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314-R-DUCLOS-NAQ(33)-CAUDOS-ElectricitéSoleilBassin:Ylliade-JacquinJeantet-Mios-50,52/"/>
    </mc:Choice>
  </mc:AlternateContent>
  <xr:revisionPtr revIDLastSave="0" documentId="13_ncr:1_{EEE008D9-38C2-2246-926E-C7A9B7CCDAC3}" xr6:coauthVersionLast="47" xr6:coauthVersionMax="47" xr10:uidLastSave="{00000000-0000-0000-0000-000000000000}"/>
  <bookViews>
    <workbookView xWindow="-10680" yWindow="-28300" windowWidth="51200" windowHeight="2830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3" i="6" l="1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Q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HG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G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V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V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HI38" i="2"/>
  <c r="FS38" i="2"/>
  <c r="EA38" i="2"/>
  <c r="HH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G44" i="2"/>
  <c r="EC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H57" i="2"/>
  <c r="EB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A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B112" i="2"/>
  <c r="FQ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HI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H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FS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R140" i="2"/>
  <c r="FS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I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G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HJ154" i="2" s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DH156" i="2"/>
  <c r="AB156" i="2"/>
  <c r="E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HH157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W158" i="2"/>
  <c r="EC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HH161" i="2"/>
  <c r="FS161" i="2"/>
  <c r="EA161" i="2"/>
  <c r="HG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HH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EB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X167" i="2"/>
  <c r="HI167" i="2"/>
  <c r="DG167" i="2"/>
  <c r="EB167" i="2"/>
  <c r="FR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HH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W185" i="2"/>
  <c r="EV185" i="2"/>
  <c r="HI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C192" i="2"/>
  <c r="EB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EA193" i="2"/>
  <c r="HI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AA197" i="2"/>
  <c r="EW197" i="2"/>
  <c r="EA197" i="2"/>
  <c r="HH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X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3" i="2" l="1" a="1"/>
  <c r="AH163" i="2" s="1"/>
  <c r="AH62" i="2" a="1"/>
  <c r="AH62" i="2" s="1"/>
  <c r="AH199" i="2" a="1"/>
  <c r="AH199" i="2" s="1"/>
  <c r="AH166" i="2" a="1"/>
  <c r="AH166" i="2" s="1"/>
  <c r="AH19" i="2" a="1"/>
  <c r="AH19" i="2" s="1"/>
  <c r="AH90" i="2" a="1"/>
  <c r="AH90" i="2" s="1"/>
  <c r="AH151" i="2" a="1"/>
  <c r="AH151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<sst xmlns="http://schemas.openxmlformats.org/spreadsheetml/2006/main" count="1171" uniqueCount="324">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</sst>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2.1401809042543243</c:v>
                </c:pt>
                <c:pt idx="2">
                  <c:v>2.9539701571329178</c:v>
                </c:pt>
                <c:pt idx="3">
                  <c:v>4.0785236834754839</c:v>
                </c:pt>
                <c:pt idx="4">
                  <c:v>5.632990739716111</c:v>
                </c:pt>
                <c:pt idx="5">
                  <c:v>7.7823738660110378</c:v>
                </c:pt>
                <c:pt idx="6">
                  <c:v>10.755235827707105</c:v>
                </c:pt>
                <c:pt idx="7">
                  <c:v>14.868265954570242</c:v>
                </c:pt>
                <c:pt idx="8">
                  <c:v>20.560370745051507</c:v>
                </c:pt>
                <c:pt idx="9">
                  <c:v>28.439991596203328</c:v>
                </c:pt>
                <c:pt idx="10">
                  <c:v>39.350795770602367</c:v>
                </c:pt>
                <c:pt idx="11">
                  <c:v>54.462893774670114</c:v>
                </c:pt>
                <c:pt idx="12">
                  <c:v>75.39952790323126</c:v>
                </c:pt>
                <c:pt idx="13">
                  <c:v>104.41306006066355</c:v>
                </c:pt>
                <c:pt idx="14">
                  <c:v>144.62948990738442</c:v>
                </c:pt>
                <c:pt idx="15">
                  <c:v>128.60946872101411</c:v>
                </c:pt>
                <c:pt idx="16">
                  <c:v>157.23320596601718</c:v>
                </c:pt>
                <c:pt idx="17">
                  <c:v>185.73291888589367</c:v>
                </c:pt>
                <c:pt idx="18">
                  <c:v>214.13035769575148</c:v>
                </c:pt>
                <c:pt idx="19">
                  <c:v>242.44100517915163</c:v>
                </c:pt>
                <c:pt idx="20">
                  <c:v>193.29052168884596</c:v>
                </c:pt>
                <c:pt idx="21">
                  <c:v>220.93536617179186</c:v>
                </c:pt>
                <c:pt idx="22">
                  <c:v>248.50075413542206</c:v>
                </c:pt>
                <c:pt idx="23">
                  <c:v>275.99673833280997</c:v>
                </c:pt>
                <c:pt idx="24">
                  <c:v>303.43120230449443</c:v>
                </c:pt>
                <c:pt idx="25">
                  <c:v>330.81048669188147</c:v>
                </c:pt>
                <c:pt idx="26">
                  <c:v>279.10466657355261</c:v>
                </c:pt>
                <c:pt idx="27">
                  <c:v>305.47306451243452</c:v>
                </c:pt>
                <c:pt idx="28">
                  <c:v>331.79086499515682</c:v>
                </c:pt>
                <c:pt idx="29">
                  <c:v>358.06264251869788</c:v>
                </c:pt>
                <c:pt idx="30">
                  <c:v>384.29224564173211</c:v>
                </c:pt>
                <c:pt idx="31">
                  <c:v>410.48295490619279</c:v>
                </c:pt>
                <c:pt idx="32">
                  <c:v>436.63759831329838</c:v>
                </c:pt>
                <c:pt idx="33">
                  <c:v>363.31633763749659</c:v>
                </c:pt>
                <c:pt idx="34">
                  <c:v>387.29119605868004</c:v>
                </c:pt>
                <c:pt idx="35">
                  <c:v>411.23383740124814</c:v>
                </c:pt>
                <c:pt idx="36">
                  <c:v>435.14639951550294</c:v>
                </c:pt>
                <c:pt idx="37">
                  <c:v>459.03076628022262</c:v>
                </c:pt>
                <c:pt idx="38">
                  <c:v>482.88860968718888</c:v>
                </c:pt>
                <c:pt idx="39">
                  <c:v>506.72142317591027</c:v>
                </c:pt>
                <c:pt idx="40">
                  <c:v>530.53054837171476</c:v>
                </c:pt>
                <c:pt idx="41">
                  <c:v>554.31719677583226</c:v>
                </c:pt>
                <c:pt idx="42">
                  <c:v>578.08246754042477</c:v>
                </c:pt>
                <c:pt idx="43">
                  <c:v>601.82736217023478</c:v>
                </c:pt>
                <c:pt idx="44">
                  <c:v>625.55279678488239</c:v>
                </c:pt>
                <c:pt idx="45">
                  <c:v>649.25961242550738</c:v>
                </c:pt>
                <c:pt idx="46">
                  <c:v>3.669434796176543E-12</c:v>
                </c:pt>
                <c:pt idx="47">
                  <c:v>3.669434796176543E-12</c:v>
                </c:pt>
                <c:pt idx="48">
                  <c:v>3.669434796176543E-12</c:v>
                </c:pt>
                <c:pt idx="49">
                  <c:v>3.669434796176543E-12</c:v>
                </c:pt>
                <c:pt idx="50">
                  <c:v>3.669434796176543E-12</c:v>
                </c:pt>
                <c:pt idx="51">
                  <c:v>3.669434796176543E-12</c:v>
                </c:pt>
                <c:pt idx="52">
                  <c:v>3.669434796176543E-12</c:v>
                </c:pt>
                <c:pt idx="53">
                  <c:v>3.669434796176543E-12</c:v>
                </c:pt>
                <c:pt idx="54">
                  <c:v>3.669434796176543E-12</c:v>
                </c:pt>
                <c:pt idx="55">
                  <c:v>3.669434796176543E-12</c:v>
                </c:pt>
                <c:pt idx="56">
                  <c:v>3.669434796176543E-12</c:v>
                </c:pt>
                <c:pt idx="57">
                  <c:v>3.669434796176543E-12</c:v>
                </c:pt>
                <c:pt idx="58">
                  <c:v>3.669434796176543E-12</c:v>
                </c:pt>
                <c:pt idx="59">
                  <c:v>3.669434796176543E-12</c:v>
                </c:pt>
                <c:pt idx="60">
                  <c:v>3.669434796176543E-12</c:v>
                </c:pt>
                <c:pt idx="61">
                  <c:v>3.669434796176543E-12</c:v>
                </c:pt>
                <c:pt idx="62">
                  <c:v>3.669434796176543E-12</c:v>
                </c:pt>
                <c:pt idx="63">
                  <c:v>3.669434796176543E-12</c:v>
                </c:pt>
                <c:pt idx="64">
                  <c:v>3.669434796176543E-12</c:v>
                </c:pt>
                <c:pt idx="65">
                  <c:v>3.669434796176543E-12</c:v>
                </c:pt>
                <c:pt idx="66">
                  <c:v>3.669434796176543E-12</c:v>
                </c:pt>
                <c:pt idx="67">
                  <c:v>3.669434796176543E-12</c:v>
                </c:pt>
                <c:pt idx="68">
                  <c:v>3.669434796176543E-12</c:v>
                </c:pt>
                <c:pt idx="69">
                  <c:v>3.669434796176543E-12</c:v>
                </c:pt>
                <c:pt idx="70">
                  <c:v>3.669434796176543E-12</c:v>
                </c:pt>
                <c:pt idx="71">
                  <c:v>3.669434796176543E-12</c:v>
                </c:pt>
                <c:pt idx="72">
                  <c:v>3.669434796176543E-12</c:v>
                </c:pt>
                <c:pt idx="73">
                  <c:v>3.669434796176543E-12</c:v>
                </c:pt>
                <c:pt idx="74">
                  <c:v>3.669434796176543E-12</c:v>
                </c:pt>
                <c:pt idx="75">
                  <c:v>3.669434796176543E-12</c:v>
                </c:pt>
                <c:pt idx="76">
                  <c:v>3.669434796176543E-12</c:v>
                </c:pt>
                <c:pt idx="77">
                  <c:v>3.669434796176543E-12</c:v>
                </c:pt>
                <c:pt idx="78">
                  <c:v>3.669434796176543E-12</c:v>
                </c:pt>
                <c:pt idx="79">
                  <c:v>3.669434796176543E-12</c:v>
                </c:pt>
                <c:pt idx="80">
                  <c:v>3.669434796176543E-12</c:v>
                </c:pt>
                <c:pt idx="81">
                  <c:v>3.669434796176543E-12</c:v>
                </c:pt>
                <c:pt idx="82">
                  <c:v>3.669434796176543E-12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3.1574352117632487</c:v>
                </c:pt>
                <c:pt idx="2">
                  <c:v>3.5999782306865691</c:v>
                </c:pt>
                <c:pt idx="3">
                  <c:v>4.1047664343620669</c:v>
                </c:pt>
                <c:pt idx="4">
                  <c:v>4.6805838797664601</c:v>
                </c:pt>
                <c:pt idx="5">
                  <c:v>5.3374580784151151</c:v>
                </c:pt>
                <c:pt idx="6">
                  <c:v>6.0868365247961362</c:v>
                </c:pt>
                <c:pt idx="7">
                  <c:v>6.9417883525842585</c:v>
                </c:pt>
                <c:pt idx="8">
                  <c:v>7.9172347041745645</c:v>
                </c:pt>
                <c:pt idx="9">
                  <c:v>9.0302119118489568</c:v>
                </c:pt>
                <c:pt idx="10">
                  <c:v>10.30017217514315</c:v>
                </c:pt>
                <c:pt idx="11">
                  <c:v>11.749327089267696</c:v>
                </c:pt>
                <c:pt idx="12">
                  <c:v>13.403040145820308</c:v>
                </c:pt>
                <c:pt idx="13">
                  <c:v>15.290275203310477</c:v>
                </c:pt>
                <c:pt idx="14">
                  <c:v>17.444108926988743</c:v>
                </c:pt>
                <c:pt idx="15">
                  <c:v>19.902316343192009</c:v>
                </c:pt>
                <c:pt idx="16">
                  <c:v>22.708039963540383</c:v>
                </c:pt>
                <c:pt idx="17">
                  <c:v>25.910554432483483</c:v>
                </c:pt>
                <c:pt idx="18">
                  <c:v>29.566140364927794</c:v>
                </c:pt>
                <c:pt idx="19">
                  <c:v>33.739082999908902</c:v>
                </c:pt>
                <c:pt idx="20">
                  <c:v>38.502813536884425</c:v>
                </c:pt>
                <c:pt idx="21">
                  <c:v>43.941213583690264</c:v>
                </c:pt>
                <c:pt idx="22">
                  <c:v>50.150106075834543</c:v>
                </c:pt>
                <c:pt idx="23">
                  <c:v>57.238959378578983</c:v>
                </c:pt>
                <c:pt idx="24">
                  <c:v>65.332835116792566</c:v>
                </c:pt>
                <c:pt idx="25">
                  <c:v>74.574614662209299</c:v>
                </c:pt>
                <c:pt idx="26">
                  <c:v>86.158510470515964</c:v>
                </c:pt>
                <c:pt idx="27">
                  <c:v>97.703177946167614</c:v>
                </c:pt>
                <c:pt idx="28">
                  <c:v>109.21391592938788</c:v>
                </c:pt>
                <c:pt idx="29">
                  <c:v>120.69481062217777</c:v>
                </c:pt>
                <c:pt idx="30">
                  <c:v>132.14910489975802</c:v>
                </c:pt>
                <c:pt idx="31">
                  <c:v>144.05520916362818</c:v>
                </c:pt>
                <c:pt idx="32">
                  <c:v>155.93775882820455</c:v>
                </c:pt>
                <c:pt idx="33">
                  <c:v>167.79880331835713</c:v>
                </c:pt>
                <c:pt idx="34">
                  <c:v>179.64007820340888</c:v>
                </c:pt>
                <c:pt idx="35">
                  <c:v>191.46307124402202</c:v>
                </c:pt>
                <c:pt idx="36">
                  <c:v>173.48498574926043</c:v>
                </c:pt>
                <c:pt idx="37">
                  <c:v>186.26311995847519</c:v>
                </c:pt>
                <c:pt idx="38">
                  <c:v>199.02079476214126</c:v>
                </c:pt>
                <c:pt idx="39">
                  <c:v>211.75950715739978</c:v>
                </c:pt>
                <c:pt idx="40">
                  <c:v>224.48055915021379</c:v>
                </c:pt>
                <c:pt idx="41">
                  <c:v>204.68470429512658</c:v>
                </c:pt>
                <c:pt idx="42">
                  <c:v>217.88658883714629</c:v>
                </c:pt>
                <c:pt idx="43">
                  <c:v>231.07009053068865</c:v>
                </c:pt>
                <c:pt idx="44">
                  <c:v>244.23640635769303</c:v>
                </c:pt>
                <c:pt idx="45">
                  <c:v>257.3865936219953</c:v>
                </c:pt>
                <c:pt idx="46">
                  <c:v>237.6553276150083</c:v>
                </c:pt>
                <c:pt idx="47">
                  <c:v>250.81345477764856</c:v>
                </c:pt>
                <c:pt idx="48">
                  <c:v>263.9559369584577</c:v>
                </c:pt>
                <c:pt idx="49">
                  <c:v>277.08366310900448</c:v>
                </c:pt>
                <c:pt idx="50">
                  <c:v>290.19743103031283</c:v>
                </c:pt>
                <c:pt idx="51">
                  <c:v>270.5215927056289</c:v>
                </c:pt>
                <c:pt idx="52">
                  <c:v>283.64224516951543</c:v>
                </c:pt>
                <c:pt idx="53">
                  <c:v>296.74930832673988</c:v>
                </c:pt>
                <c:pt idx="54">
                  <c:v>309.84346710446152</c:v>
                </c:pt>
                <c:pt idx="55">
                  <c:v>322.92534379451814</c:v>
                </c:pt>
                <c:pt idx="56">
                  <c:v>302.83030487228262</c:v>
                </c:pt>
                <c:pt idx="57">
                  <c:v>315.45145534176953</c:v>
                </c:pt>
                <c:pt idx="58">
                  <c:v>328.06141769701776</c:v>
                </c:pt>
                <c:pt idx="59">
                  <c:v>340.66068267684113</c:v>
                </c:pt>
                <c:pt idx="60">
                  <c:v>353.24970174806896</c:v>
                </c:pt>
                <c:pt idx="61">
                  <c:v>333.19571649252038</c:v>
                </c:pt>
                <c:pt idx="62">
                  <c:v>345.79075477962851</c:v>
                </c:pt>
                <c:pt idx="63">
                  <c:v>358.37572087946961</c:v>
                </c:pt>
                <c:pt idx="64">
                  <c:v>370.95101839037164</c:v>
                </c:pt>
                <c:pt idx="65">
                  <c:v>383.51702130873826</c:v>
                </c:pt>
                <c:pt idx="66">
                  <c:v>362.56854195764782</c:v>
                </c:pt>
                <c:pt idx="67">
                  <c:v>374.20974903573409</c:v>
                </c:pt>
                <c:pt idx="68">
                  <c:v>385.84306708196328</c:v>
                </c:pt>
                <c:pt idx="69">
                  <c:v>397.46876752677196</c:v>
                </c:pt>
                <c:pt idx="70">
                  <c:v>409.08710462349319</c:v>
                </c:pt>
                <c:pt idx="71">
                  <c:v>388.16880820600954</c:v>
                </c:pt>
                <c:pt idx="72">
                  <c:v>399.79301616201764</c:v>
                </c:pt>
                <c:pt idx="73">
                  <c:v>411.40990969949058</c:v>
                </c:pt>
                <c:pt idx="74">
                  <c:v>423.01972449465933</c:v>
                </c:pt>
                <c:pt idx="75">
                  <c:v>434.62268223024995</c:v>
                </c:pt>
                <c:pt idx="76">
                  <c:v>412.80345673799064</c:v>
                </c:pt>
                <c:pt idx="77">
                  <c:v>423.48397302905875</c:v>
                </c:pt>
                <c:pt idx="78">
                  <c:v>434.15869291655468</c:v>
                </c:pt>
                <c:pt idx="79">
                  <c:v>444.82777903657205</c:v>
                </c:pt>
                <c:pt idx="80">
                  <c:v>455.49138558575515</c:v>
                </c:pt>
                <c:pt idx="81">
                  <c:v>433.23068233058711</c:v>
                </c:pt>
                <c:pt idx="82">
                  <c:v>443.43647307310084</c:v>
                </c:pt>
                <c:pt idx="83">
                  <c:v>453.63723243721915</c:v>
                </c:pt>
                <c:pt idx="84">
                  <c:v>463.83308953522004</c:v>
                </c:pt>
                <c:pt idx="85">
                  <c:v>474.02416733906404</c:v>
                </c:pt>
                <c:pt idx="86">
                  <c:v>451.31931304097878</c:v>
                </c:pt>
                <c:pt idx="87">
                  <c:v>461.05288028198476</c:v>
                </c:pt>
                <c:pt idx="88">
                  <c:v>470.78206284896743</c:v>
                </c:pt>
                <c:pt idx="89">
                  <c:v>480.50696415087856</c:v>
                </c:pt>
                <c:pt idx="90">
                  <c:v>490.22768306866232</c:v>
                </c:pt>
                <c:pt idx="91">
                  <c:v>466.612943336554</c:v>
                </c:pt>
                <c:pt idx="92">
                  <c:v>475.41349600485597</c:v>
                </c:pt>
                <c:pt idx="93">
                  <c:v>484.21058310097686</c:v>
                </c:pt>
                <c:pt idx="94">
                  <c:v>493.00427648341247</c:v>
                </c:pt>
                <c:pt idx="95">
                  <c:v>501.79464523740444</c:v>
                </c:pt>
                <c:pt idx="96">
                  <c:v>477.72885193803205</c:v>
                </c:pt>
                <c:pt idx="97">
                  <c:v>486.06216663988477</c:v>
                </c:pt>
                <c:pt idx="98">
                  <c:v>494.3924487367961</c:v>
                </c:pt>
                <c:pt idx="99">
                  <c:v>502.71975654847216</c:v>
                </c:pt>
                <c:pt idx="100">
                  <c:v>511.04414630438487</c:v>
                </c:pt>
                <c:pt idx="101">
                  <c:v>486.06216663988454</c:v>
                </c:pt>
                <c:pt idx="102">
                  <c:v>493.46700976362052</c:v>
                </c:pt>
                <c:pt idx="103">
                  <c:v>500.86949782708098</c:v>
                </c:pt>
                <c:pt idx="104">
                  <c:v>508.26967055923711</c:v>
                </c:pt>
                <c:pt idx="105">
                  <c:v>515.66756643738336</c:v>
                </c:pt>
                <c:pt idx="106">
                  <c:v>490.22768306866232</c:v>
                </c:pt>
                <c:pt idx="107">
                  <c:v>497.16854566479333</c:v>
                </c:pt>
                <c:pt idx="108">
                  <c:v>504.10735599489294</c:v>
                </c:pt>
                <c:pt idx="109">
                  <c:v>511.04414630438481</c:v>
                </c:pt>
                <c:pt idx="110">
                  <c:v>517.97894789153111</c:v>
                </c:pt>
                <c:pt idx="111">
                  <c:v>493.92973384479973</c:v>
                </c:pt>
                <c:pt idx="112">
                  <c:v>499.94431424130948</c:v>
                </c:pt>
                <c:pt idx="113">
                  <c:v>505.95736294849252</c:v>
                </c:pt>
                <c:pt idx="114">
                  <c:v>511.96890074753566</c:v>
                </c:pt>
                <c:pt idx="115">
                  <c:v>517.97894789153111</c:v>
                </c:pt>
                <c:pt idx="116">
                  <c:v>494.85515444943525</c:v>
                </c:pt>
                <c:pt idx="117">
                  <c:v>501.79464523740421</c:v>
                </c:pt>
                <c:pt idx="118">
                  <c:v>508.73210536359448</c:v>
                </c:pt>
                <c:pt idx="119">
                  <c:v>515.66756643738324</c:v>
                </c:pt>
                <c:pt idx="120">
                  <c:v>522.60105914818246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K22" sqref="K22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7" t="s">
        <v>192</v>
      </c>
      <c r="C3" s="298"/>
      <c r="D3" s="298"/>
      <c r="E3" s="298"/>
      <c r="F3" s="299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3" t="s">
        <v>231</v>
      </c>
      <c r="B5" s="303"/>
      <c r="C5" s="26">
        <v>51</v>
      </c>
      <c r="D5" s="304" t="s">
        <v>229</v>
      </c>
      <c r="E5" s="305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1" t="s">
        <v>226</v>
      </c>
      <c r="B7" s="301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36</v>
      </c>
      <c r="C9" s="35">
        <v>0.985294</v>
      </c>
      <c r="D9" s="36">
        <f t="shared" ref="D9:D18" si="0">C9*$C$5</f>
        <v>50.249994000000001</v>
      </c>
      <c r="E9" s="37">
        <v>45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10</v>
      </c>
      <c r="C10" s="35">
        <v>1.4706E-2</v>
      </c>
      <c r="D10" s="36">
        <f t="shared" si="0"/>
        <v>0.75000600000000006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51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0" t="s">
        <v>232</v>
      </c>
      <c r="B22" s="300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2" t="s">
        <v>227</v>
      </c>
      <c r="B30" s="302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Pin maritime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14</v>
      </c>
      <c r="B36" s="63">
        <v>108.18</v>
      </c>
      <c r="C36" s="63">
        <v>1</v>
      </c>
      <c r="D36" s="63">
        <v>34.25</v>
      </c>
      <c r="E36" s="54">
        <v>0.2</v>
      </c>
      <c r="F36" s="54">
        <v>0.45</v>
      </c>
      <c r="G36" s="54">
        <v>0.35</v>
      </c>
      <c r="H36" s="54"/>
      <c r="I36" s="52">
        <f>IFERROR(B36/A36,"")</f>
        <v>7.7271428571428578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19</v>
      </c>
      <c r="B37" s="63">
        <v>183.77</v>
      </c>
      <c r="C37" s="63">
        <v>2</v>
      </c>
      <c r="D37" s="63">
        <v>59.5</v>
      </c>
      <c r="E37" s="54">
        <v>0.4</v>
      </c>
      <c r="F37" s="54">
        <v>0.34</v>
      </c>
      <c r="G37" s="54">
        <v>0.26</v>
      </c>
      <c r="H37" s="54"/>
      <c r="I37" s="56">
        <f t="shared" ref="I37:I55" si="1">IF(A37&lt;&gt;0,(B37-(B36-D36))/(A37-A36),"")</f>
        <v>21.968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25</v>
      </c>
      <c r="B38" s="63">
        <v>252.69</v>
      </c>
      <c r="C38" s="63">
        <v>3</v>
      </c>
      <c r="D38" s="63">
        <v>60.96</v>
      </c>
      <c r="E38" s="54">
        <v>0.6</v>
      </c>
      <c r="F38" s="54">
        <v>0.22</v>
      </c>
      <c r="G38" s="54">
        <v>0.18</v>
      </c>
      <c r="H38" s="54"/>
      <c r="I38" s="56">
        <f t="shared" si="1"/>
        <v>21.403333333333332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32</v>
      </c>
      <c r="B39" s="63">
        <v>335.76</v>
      </c>
      <c r="C39" s="63">
        <v>4</v>
      </c>
      <c r="D39" s="63">
        <v>76.42</v>
      </c>
      <c r="E39" s="54">
        <v>0.8</v>
      </c>
      <c r="F39" s="54">
        <v>0.11</v>
      </c>
      <c r="G39" s="54">
        <v>0.09</v>
      </c>
      <c r="H39" s="54"/>
      <c r="I39" s="52">
        <f t="shared" si="1"/>
        <v>20.575714285714287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45</v>
      </c>
      <c r="B40" s="63">
        <v>503.89</v>
      </c>
      <c r="C40" s="63">
        <v>5</v>
      </c>
      <c r="D40" s="63">
        <v>503.89</v>
      </c>
      <c r="E40" s="54">
        <v>0.9</v>
      </c>
      <c r="F40" s="54">
        <v>0.06</v>
      </c>
      <c r="G40" s="54">
        <v>0.04</v>
      </c>
      <c r="H40" s="54"/>
      <c r="I40" s="52">
        <f t="shared" si="1"/>
        <v>18.811538461538461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2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2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2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2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2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2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2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2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Chêne-liège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25</v>
      </c>
      <c r="B62" s="63">
        <v>30</v>
      </c>
      <c r="C62" s="63">
        <v>1</v>
      </c>
      <c r="D62" s="63">
        <v>0</v>
      </c>
      <c r="E62" s="54">
        <v>0</v>
      </c>
      <c r="F62" s="54"/>
      <c r="G62" s="54"/>
      <c r="H62" s="54">
        <v>1</v>
      </c>
      <c r="I62" s="56">
        <f>IFERROR(B62/A62,"")</f>
        <v>1.2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30</v>
      </c>
      <c r="B63" s="63">
        <v>54</v>
      </c>
      <c r="C63" s="63">
        <v>2</v>
      </c>
      <c r="D63" s="63">
        <v>0</v>
      </c>
      <c r="E63" s="54">
        <v>0</v>
      </c>
      <c r="F63" s="54"/>
      <c r="G63" s="54"/>
      <c r="H63" s="54">
        <v>1</v>
      </c>
      <c r="I63" s="52">
        <f>IF(A63&lt;&gt;0,(B63-(B62-D62))/(A63-A62),"")</f>
        <v>4.8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35</v>
      </c>
      <c r="B64" s="63">
        <v>79</v>
      </c>
      <c r="C64" s="63">
        <v>3</v>
      </c>
      <c r="D64" s="63">
        <v>13</v>
      </c>
      <c r="E64" s="54">
        <v>0</v>
      </c>
      <c r="F64" s="54"/>
      <c r="G64" s="54"/>
      <c r="H64" s="54">
        <v>1</v>
      </c>
      <c r="I64" s="52">
        <f>IF(A64&lt;&gt;0,(B64-(B63-D63))/(A64-A63),"")</f>
        <v>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40</v>
      </c>
      <c r="B65" s="63">
        <v>93</v>
      </c>
      <c r="C65" s="63">
        <v>4</v>
      </c>
      <c r="D65" s="63">
        <v>14</v>
      </c>
      <c r="E65" s="54">
        <v>0.2</v>
      </c>
      <c r="F65" s="54"/>
      <c r="G65" s="54"/>
      <c r="H65" s="54">
        <v>0.8</v>
      </c>
      <c r="I65" s="52">
        <f>IF(A65&lt;&gt;0,(B65-(B64-D64))/(A65-A64),"")</f>
        <v>5.4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45</v>
      </c>
      <c r="B66" s="63">
        <v>107</v>
      </c>
      <c r="C66" s="63">
        <v>5</v>
      </c>
      <c r="D66" s="63">
        <v>14</v>
      </c>
      <c r="E66" s="54">
        <v>0.2</v>
      </c>
      <c r="F66" s="54"/>
      <c r="G66" s="54"/>
      <c r="H66" s="54">
        <v>0.8</v>
      </c>
      <c r="I66" s="52">
        <f t="shared" ref="I66:I81" si="2">IF(A66&lt;&gt;0,(B66-(B65-D65))/(A66-A65),"")</f>
        <v>5.6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>
        <v>50</v>
      </c>
      <c r="B67" s="63">
        <v>121</v>
      </c>
      <c r="C67" s="63">
        <v>6</v>
      </c>
      <c r="D67" s="63">
        <v>14</v>
      </c>
      <c r="E67" s="54">
        <v>0.2</v>
      </c>
      <c r="F67" s="54"/>
      <c r="G67" s="54"/>
      <c r="H67" s="54">
        <v>0.8</v>
      </c>
      <c r="I67" s="52">
        <f t="shared" si="2"/>
        <v>5.6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>
        <v>55</v>
      </c>
      <c r="B68" s="63">
        <v>135</v>
      </c>
      <c r="C68" s="63">
        <v>7</v>
      </c>
      <c r="D68" s="63">
        <v>14</v>
      </c>
      <c r="E68" s="54">
        <v>0.3</v>
      </c>
      <c r="F68" s="54"/>
      <c r="G68" s="54"/>
      <c r="H68" s="54">
        <v>0.7</v>
      </c>
      <c r="I68" s="52">
        <f t="shared" si="2"/>
        <v>5.6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>
        <v>60</v>
      </c>
      <c r="B69" s="53">
        <v>148</v>
      </c>
      <c r="C69" s="53">
        <v>8</v>
      </c>
      <c r="D69" s="53">
        <v>14</v>
      </c>
      <c r="E69" s="54">
        <v>0.3</v>
      </c>
      <c r="F69" s="54"/>
      <c r="G69" s="54"/>
      <c r="H69" s="54">
        <v>0.7</v>
      </c>
      <c r="I69" s="52">
        <f t="shared" si="2"/>
        <v>5.4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>
        <v>65</v>
      </c>
      <c r="B70" s="53">
        <v>161</v>
      </c>
      <c r="C70" s="53">
        <v>9</v>
      </c>
      <c r="D70" s="53">
        <v>14</v>
      </c>
      <c r="E70" s="54">
        <v>0.4</v>
      </c>
      <c r="F70" s="54"/>
      <c r="G70" s="54"/>
      <c r="H70" s="54">
        <v>0.6</v>
      </c>
      <c r="I70" s="52">
        <f t="shared" si="2"/>
        <v>5.4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>
        <v>70</v>
      </c>
      <c r="B71" s="53">
        <v>172</v>
      </c>
      <c r="C71" s="53">
        <v>10</v>
      </c>
      <c r="D71" s="53">
        <v>14</v>
      </c>
      <c r="E71" s="54">
        <v>0.4</v>
      </c>
      <c r="F71" s="54"/>
      <c r="G71" s="54"/>
      <c r="H71" s="54">
        <v>0.6</v>
      </c>
      <c r="I71" s="52">
        <f t="shared" si="2"/>
        <v>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>
        <v>75</v>
      </c>
      <c r="B72" s="53">
        <v>183</v>
      </c>
      <c r="C72" s="53">
        <v>11</v>
      </c>
      <c r="D72" s="53">
        <v>14</v>
      </c>
      <c r="E72" s="54">
        <v>0.5</v>
      </c>
      <c r="F72" s="54"/>
      <c r="G72" s="54"/>
      <c r="H72" s="54">
        <v>0.5</v>
      </c>
      <c r="I72" s="52">
        <f t="shared" si="2"/>
        <v>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>
        <v>80</v>
      </c>
      <c r="B73" s="53">
        <v>192</v>
      </c>
      <c r="C73" s="53">
        <v>12</v>
      </c>
      <c r="D73" s="53">
        <v>14</v>
      </c>
      <c r="E73" s="54">
        <v>0.5</v>
      </c>
      <c r="F73" s="54"/>
      <c r="G73" s="54"/>
      <c r="H73" s="54">
        <v>0.5</v>
      </c>
      <c r="I73" s="52">
        <f t="shared" si="2"/>
        <v>4.5999999999999996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>
        <v>85</v>
      </c>
      <c r="B74" s="53">
        <v>200</v>
      </c>
      <c r="C74" s="53">
        <v>13</v>
      </c>
      <c r="D74" s="53">
        <v>14</v>
      </c>
      <c r="E74" s="54">
        <v>0.6</v>
      </c>
      <c r="F74" s="54"/>
      <c r="G74" s="54"/>
      <c r="H74" s="54">
        <v>0.4</v>
      </c>
      <c r="I74" s="52">
        <f t="shared" si="2"/>
        <v>4.4000000000000004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>
        <v>90</v>
      </c>
      <c r="B75" s="53">
        <v>207</v>
      </c>
      <c r="C75" s="53">
        <v>14</v>
      </c>
      <c r="D75" s="53">
        <v>14</v>
      </c>
      <c r="E75" s="54">
        <v>0.6</v>
      </c>
      <c r="F75" s="54"/>
      <c r="G75" s="54"/>
      <c r="H75" s="54">
        <v>0.4</v>
      </c>
      <c r="I75" s="52">
        <f t="shared" si="2"/>
        <v>4.2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>
        <v>95</v>
      </c>
      <c r="B76" s="53">
        <v>212</v>
      </c>
      <c r="C76" s="53">
        <v>15</v>
      </c>
      <c r="D76" s="53">
        <v>14</v>
      </c>
      <c r="E76" s="54">
        <v>0.7</v>
      </c>
      <c r="F76" s="54"/>
      <c r="G76" s="54"/>
      <c r="H76" s="54">
        <v>0.3</v>
      </c>
      <c r="I76" s="52">
        <f t="shared" si="2"/>
        <v>3.8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>
        <v>100</v>
      </c>
      <c r="B77" s="53">
        <v>216</v>
      </c>
      <c r="C77" s="53">
        <v>16</v>
      </c>
      <c r="D77" s="53">
        <v>14</v>
      </c>
      <c r="E77" s="54">
        <v>0.7</v>
      </c>
      <c r="F77" s="54"/>
      <c r="G77" s="54"/>
      <c r="H77" s="54">
        <v>0.3</v>
      </c>
      <c r="I77" s="52">
        <f t="shared" si="2"/>
        <v>3.6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>
        <v>105</v>
      </c>
      <c r="B78" s="53">
        <v>218</v>
      </c>
      <c r="C78" s="53">
        <v>17</v>
      </c>
      <c r="D78" s="53">
        <v>14</v>
      </c>
      <c r="E78" s="54">
        <v>0.7</v>
      </c>
      <c r="F78" s="54"/>
      <c r="G78" s="54"/>
      <c r="H78" s="54">
        <v>0.3</v>
      </c>
      <c r="I78" s="52">
        <f t="shared" si="2"/>
        <v>3.2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>
        <v>110</v>
      </c>
      <c r="B79" s="53">
        <v>219</v>
      </c>
      <c r="C79" s="53">
        <v>18</v>
      </c>
      <c r="D79" s="53">
        <v>13</v>
      </c>
      <c r="E79" s="54">
        <v>0.7</v>
      </c>
      <c r="F79" s="54"/>
      <c r="G79" s="54"/>
      <c r="H79" s="54">
        <v>0.3</v>
      </c>
      <c r="I79" s="52">
        <f t="shared" si="2"/>
        <v>3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>
        <v>115</v>
      </c>
      <c r="B80" s="53">
        <v>219</v>
      </c>
      <c r="C80" s="53">
        <v>19</v>
      </c>
      <c r="D80" s="53">
        <v>13</v>
      </c>
      <c r="E80" s="54">
        <v>0.7</v>
      </c>
      <c r="F80" s="54"/>
      <c r="G80" s="54"/>
      <c r="H80" s="54">
        <v>0.3</v>
      </c>
      <c r="I80" s="52">
        <f t="shared" si="2"/>
        <v>2.6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>
        <v>120</v>
      </c>
      <c r="B81" s="53">
        <v>221</v>
      </c>
      <c r="C81" s="53">
        <v>20</v>
      </c>
      <c r="D81" s="53">
        <v>221</v>
      </c>
      <c r="E81" s="54">
        <v>0.8</v>
      </c>
      <c r="F81" s="54"/>
      <c r="G81" s="54"/>
      <c r="H81" s="54">
        <v>0.2</v>
      </c>
      <c r="I81" s="52">
        <f t="shared" si="2"/>
        <v>3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/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/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/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Normal="100" workbookViewId="0">
      <selection activeCell="G25" sqref="G2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Pin maritime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Chêne-liège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/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/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234.60993819620847</v>
      </c>
      <c r="T3" s="62">
        <f>IF('Données projet'!E9&gt;30,$R$33-$H$33,LOOKUP('Données projet'!$E$9,$A$3:$A$203,R3:R203)-LOOKUP('Données projet'!$E$9,$A$3:$A$203,$H$3:$H$203))</f>
        <v>346.26896655159095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224.31750842452965</v>
      </c>
      <c r="AO3" s="62">
        <f>IF('Données projet'!E10&gt;30,$AM$33-$H$33,LOOKUP('Données projet'!$E$10,$A$3:$A$203,AM3:AM203)-LOOKUP('Données projet'!$E$10,$A$3:$A$203,$H$3:$H$203))</f>
        <v>94.125825809616856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7.7271428571428578</v>
      </c>
      <c r="N4" s="14">
        <f>IF('Données projet'!$A$36&gt;35,N3+M4-V3,IF(A4&lt;'Données projet'!$A$36,$K$205^A4,IF(A4='Données projet'!$A$36,'Données projet'!$B$36,N3+M4-V3)))</f>
        <v>1.3973210857138749</v>
      </c>
      <c r="O4" s="14">
        <f>N4*VLOOKUP('Données projet'!$B$9,Paramètres!$A$1:$I$89,3,0)*VLOOKUP('Données projet'!$B$9,Paramètres!$A$1:$I$89,5,0)</f>
        <v>0.83559800925689731</v>
      </c>
      <c r="P4" s="14">
        <f>EXP(-1.0587+0.8836*LN(O4)+0.284)</f>
        <v>0.39321399318577704</v>
      </c>
      <c r="Q4" s="22">
        <f t="shared" ref="Q4:Q34" si="2">(O4+P4)*0.475*44/12</f>
        <v>2.1401809042543243</v>
      </c>
      <c r="R4" s="62">
        <f t="shared" si="0"/>
        <v>295.47351423758766</v>
      </c>
      <c r="S4" s="62">
        <f ca="1">AVERAGE(OFFSET($R$3,0,0,'Données projet'!$E$9+1,1))-AVERAGE(OFFSET($H$3,0,0,'Données projet'!$E$9+1,1))</f>
        <v>234.60993819620847</v>
      </c>
      <c r="T4" s="62">
        <f>$T$3</f>
        <v>346.26896655159095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1.2</v>
      </c>
      <c r="AI4" s="14">
        <f>IF('Données projet'!$A$62&gt;35,AI3+AH4-AQ3,IF(A4&lt;'Données projet'!$A$62,$AF$205^A4,IF(A4='Données projet'!$A$62,'Données projet'!$B$62,AI3+AH4-AQ3)))</f>
        <v>1.1457367676485573</v>
      </c>
      <c r="AJ4" s="14">
        <f>AI4*VLOOKUP('Données projet'!$B$10,Paramètres!$A$1:$I$89,3,0)*VLOOKUP('Données projet'!$B$10,Paramètres!$A$1:$I$89,5,0)</f>
        <v>1.2511445502722245</v>
      </c>
      <c r="AK4" s="14">
        <f>EXP(-1.0587+0.8836*LN(AJ4)+0.284)</f>
        <v>0.56173691102724865</v>
      </c>
      <c r="AL4" s="22">
        <f t="shared" ref="AL4:AL67" si="4">(AJ4+AK4)*0.475*44/12</f>
        <v>3.1574352117632487</v>
      </c>
      <c r="AM4" s="62">
        <f t="shared" ref="AM4:AM67" si="5">AL4+(AD4+AE4)*44/12</f>
        <v>296.49076854509656</v>
      </c>
      <c r="AN4" s="62">
        <f ca="1">AVERAGE(OFFSET($AM$3,0,0,'Données projet'!$E$10+1,1))-AVERAGE(OFFSET($H$3,0,0,'Données projet'!$E$10+1,1))</f>
        <v>224.31750842452965</v>
      </c>
      <c r="AO4" s="62">
        <f>$AO$3</f>
        <v>94.125825809616856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7.7271428571428578</v>
      </c>
      <c r="N5" s="14">
        <f>IF('Données projet'!$A$36&gt;35,N4+M5-V4,IF(A5&lt;'Données projet'!$A$36,$K$205^A5,IF(A5='Données projet'!$A$36,'Données projet'!$B$36,N4+M5-V4)))</f>
        <v>1.9525062165806022</v>
      </c>
      <c r="O5" s="14">
        <f>N5*VLOOKUP('Données projet'!$B$9,Paramètres!$A$1:$I$89,3,0)*VLOOKUP('Données projet'!$B$9,Paramètres!$A$1:$I$89,5,0)</f>
        <v>1.1675987175152003</v>
      </c>
      <c r="P5" s="14">
        <f t="shared" ref="P5:P68" si="33">EXP(-1.0587+0.8836*LN(O5)+0.284)</f>
        <v>0.52846070284819757</v>
      </c>
      <c r="Q5" s="22">
        <f t="shared" si="2"/>
        <v>2.9539701571329178</v>
      </c>
      <c r="R5" s="62">
        <f t="shared" si="0"/>
        <v>296.28730349046623</v>
      </c>
      <c r="S5" s="62">
        <f ca="1">AVERAGE(OFFSET($R$3,0,0,'Données projet'!$E$9+1,1))-AVERAGE(OFFSET($H$3,0,0,'Données projet'!$E$9+1,1))</f>
        <v>234.60993819620847</v>
      </c>
      <c r="T5" s="62">
        <f t="shared" ref="T5:T68" si="34">$T$3</f>
        <v>346.26896655159095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1.2</v>
      </c>
      <c r="AI5" s="14">
        <f>IF('Données projet'!$A$62&gt;35,AI4+AH5-AQ4,IF(A5&lt;'Données projet'!$A$62,$AF$205^A5,IF(A5='Données projet'!$A$62,'Données projet'!$B$62,AI4+AH5-AQ4)))</f>
        <v>1.312712740741764</v>
      </c>
      <c r="AJ5" s="14">
        <f>AI5*VLOOKUP('Données projet'!$B$10,Paramètres!$A$1:$I$89,3,0)*VLOOKUP('Données projet'!$B$10,Paramètres!$A$1:$I$89,5,0)</f>
        <v>1.4334823128900063</v>
      </c>
      <c r="AK5" s="14">
        <f t="shared" ref="AK5:AK68" si="35">EXP(-1.0587+0.8836*LN(AJ5)+0.284)</f>
        <v>0.63349083391567951</v>
      </c>
      <c r="AL5" s="22">
        <f t="shared" si="4"/>
        <v>3.5999782306865691</v>
      </c>
      <c r="AM5" s="62">
        <f t="shared" si="5"/>
        <v>296.9333115640199</v>
      </c>
      <c r="AN5" s="62">
        <f ca="1">AVERAGE(OFFSET($AM$3,0,0,'Données projet'!$E$10+1,1))-AVERAGE(OFFSET($H$3,0,0,'Données projet'!$E$10+1,1))</f>
        <v>224.31750842452965</v>
      </c>
      <c r="AO5" s="62">
        <f t="shared" ref="AO5:AO68" si="36">$AO$3</f>
        <v>94.125825809616856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7.7271428571428578</v>
      </c>
      <c r="N6" s="14">
        <f>IF('Données projet'!$A$36&gt;35,N5+M6-V5,IF(A6&lt;'Données projet'!$A$36,$K$205^A6,IF(A6='Données projet'!$A$36,'Données projet'!$B$36,N5+M6-V5)))</f>
        <v>2.7282781064154973</v>
      </c>
      <c r="O6" s="14">
        <f>N6*VLOOKUP('Données projet'!$B$9,Paramètres!$A$1:$I$89,3,0)*VLOOKUP('Données projet'!$B$9,Paramètres!$A$1:$I$89,5,0)</f>
        <v>1.6315103076364676</v>
      </c>
      <c r="P6" s="14">
        <f t="shared" si="33"/>
        <v>0.71022577856955182</v>
      </c>
      <c r="Q6" s="22">
        <f t="shared" si="2"/>
        <v>4.0785236834754839</v>
      </c>
      <c r="R6" s="62">
        <f t="shared" si="0"/>
        <v>297.41185701680882</v>
      </c>
      <c r="S6" s="62">
        <f ca="1">AVERAGE(OFFSET($R$3,0,0,'Données projet'!$E$9+1,1))-AVERAGE(OFFSET($H$3,0,0,'Données projet'!$E$9+1,1))</f>
        <v>234.60993819620847</v>
      </c>
      <c r="T6" s="62">
        <f t="shared" si="34"/>
        <v>346.26896655159095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1.2</v>
      </c>
      <c r="AI6" s="14">
        <f>IF('Données projet'!$A$62&gt;35,AI5+AH6-AQ5,IF(A6&lt;'Données projet'!$A$62,$AF$205^A6,IF(A6='Données projet'!$A$62,'Données projet'!$B$62,AI5+AH6-AQ5)))</f>
        <v>1.5040232524285473</v>
      </c>
      <c r="AJ6" s="14">
        <f>AI6*VLOOKUP('Données projet'!$B$10,Paramètres!$A$1:$I$89,3,0)*VLOOKUP('Données projet'!$B$10,Paramètres!$A$1:$I$89,5,0)</f>
        <v>1.6423933916519737</v>
      </c>
      <c r="AK6" s="14">
        <f t="shared" si="35"/>
        <v>0.71441030271859118</v>
      </c>
      <c r="AL6" s="22">
        <f t="shared" si="4"/>
        <v>4.1047664343620669</v>
      </c>
      <c r="AM6" s="62">
        <f t="shared" si="5"/>
        <v>297.43809976769541</v>
      </c>
      <c r="AN6" s="62">
        <f ca="1">AVERAGE(OFFSET($AM$3,0,0,'Données projet'!$E$10+1,1))-AVERAGE(OFFSET($H$3,0,0,'Données projet'!$E$10+1,1))</f>
        <v>224.31750842452965</v>
      </c>
      <c r="AO6" s="62">
        <f t="shared" si="36"/>
        <v>94.125825809616856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7.7271428571428578</v>
      </c>
      <c r="N7" s="14">
        <f>IF('Données projet'!$A$36&gt;35,N6+M7-V6,IF(A7&lt;'Données projet'!$A$36,$K$205^A7,IF(A7='Données projet'!$A$36,'Données projet'!$B$36,N6+M7-V6)))</f>
        <v>3.8122805257858974</v>
      </c>
      <c r="O7" s="14">
        <f>N7*VLOOKUP('Données projet'!$B$9,Paramètres!$A$1:$I$89,3,0)*VLOOKUP('Données projet'!$B$9,Paramètres!$A$1:$I$89,5,0)</f>
        <v>2.2797437544199668</v>
      </c>
      <c r="P7" s="14">
        <f t="shared" si="33"/>
        <v>0.95450930187636462</v>
      </c>
      <c r="Q7" s="22">
        <f t="shared" si="2"/>
        <v>5.632990739716111</v>
      </c>
      <c r="R7" s="62">
        <f t="shared" si="0"/>
        <v>298.96632407304941</v>
      </c>
      <c r="S7" s="62">
        <f ca="1">AVERAGE(OFFSET($R$3,0,0,'Données projet'!$E$9+1,1))-AVERAGE(OFFSET($H$3,0,0,'Données projet'!$E$9+1,1))</f>
        <v>234.60993819620847</v>
      </c>
      <c r="T7" s="62">
        <f t="shared" si="34"/>
        <v>346.26896655159095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1.2</v>
      </c>
      <c r="AI7" s="14">
        <f>IF('Données projet'!$A$62&gt;35,AI6+AH7-AQ6,IF(A7&lt;'Données projet'!$A$62,$AF$205^A7,IF(A7='Données projet'!$A$62,'Données projet'!$B$62,AI6+AH7-AQ6)))</f>
        <v>1.7232147397057538</v>
      </c>
      <c r="AJ7" s="14">
        <f>AI7*VLOOKUP('Données projet'!$B$10,Paramètres!$A$1:$I$89,3,0)*VLOOKUP('Données projet'!$B$10,Paramètres!$A$1:$I$89,5,0)</f>
        <v>1.881750495758683</v>
      </c>
      <c r="AK7" s="14">
        <f t="shared" si="35"/>
        <v>0.80566608592540934</v>
      </c>
      <c r="AL7" s="22">
        <f t="shared" si="4"/>
        <v>4.6805838797664601</v>
      </c>
      <c r="AM7" s="62">
        <f t="shared" si="5"/>
        <v>298.01391721309977</v>
      </c>
      <c r="AN7" s="62">
        <f ca="1">AVERAGE(OFFSET($AM$3,0,0,'Données projet'!$E$10+1,1))-AVERAGE(OFFSET($H$3,0,0,'Données projet'!$E$10+1,1))</f>
        <v>224.31750842452965</v>
      </c>
      <c r="AO7" s="62">
        <f t="shared" si="36"/>
        <v>94.125825809616856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7.7271428571428578</v>
      </c>
      <c r="N8" s="14">
        <f>IF('Données projet'!$A$36&gt;35,N7+M8-V7,IF(A8&lt;'Données projet'!$A$36,$K$205^A8,IF(A8='Données projet'!$A$36,'Données projet'!$B$36,N7+M8-V7)))</f>
        <v>5.3269799633370116</v>
      </c>
      <c r="O8" s="14">
        <f>N8*VLOOKUP('Données projet'!$B$9,Paramètres!$A$1:$I$89,3,0)*VLOOKUP('Données projet'!$B$9,Paramètres!$A$1:$I$89,5,0)</f>
        <v>3.1855340180755332</v>
      </c>
      <c r="P8" s="14">
        <f t="shared" si="33"/>
        <v>1.2828146131269762</v>
      </c>
      <c r="Q8" s="22">
        <f t="shared" si="2"/>
        <v>7.7823738660110378</v>
      </c>
      <c r="R8" s="62">
        <f t="shared" si="0"/>
        <v>301.11570719934434</v>
      </c>
      <c r="S8" s="62">
        <f ca="1">AVERAGE(OFFSET($R$3,0,0,'Données projet'!$E$9+1,1))-AVERAGE(OFFSET($H$3,0,0,'Données projet'!$E$9+1,1))</f>
        <v>234.60993819620847</v>
      </c>
      <c r="T8" s="62">
        <f t="shared" si="34"/>
        <v>346.26896655159095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1.2</v>
      </c>
      <c r="AI8" s="14">
        <f>IF('Données projet'!$A$62&gt;35,AI7+AH8-AQ7,IF(A8&lt;'Données projet'!$A$62,$AF$205^A8,IF(A8='Données projet'!$A$62,'Données projet'!$B$62,AI7+AH8-AQ7)))</f>
        <v>1.9743504858348202</v>
      </c>
      <c r="AJ8" s="14">
        <f>AI8*VLOOKUP('Données projet'!$B$10,Paramètres!$A$1:$I$89,3,0)*VLOOKUP('Données projet'!$B$10,Paramètres!$A$1:$I$89,5,0)</f>
        <v>2.1559907305316233</v>
      </c>
      <c r="AK8" s="14">
        <f t="shared" si="35"/>
        <v>0.90857850109428084</v>
      </c>
      <c r="AL8" s="22">
        <f t="shared" si="4"/>
        <v>5.3374580784151151</v>
      </c>
      <c r="AM8" s="62">
        <f t="shared" si="5"/>
        <v>298.67079141174844</v>
      </c>
      <c r="AN8" s="62">
        <f ca="1">AVERAGE(OFFSET($AM$3,0,0,'Données projet'!$E$10+1,1))-AVERAGE(OFFSET($H$3,0,0,'Données projet'!$E$10+1,1))</f>
        <v>224.31750842452965</v>
      </c>
      <c r="AO8" s="62">
        <f t="shared" si="36"/>
        <v>94.125825809616856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7.7271428571428578</v>
      </c>
      <c r="N9" s="14">
        <f>IF('Données projet'!$A$36&gt;35,N8+M9-V8,IF(A9&lt;'Données projet'!$A$36,$K$205^A9,IF(A9='Données projet'!$A$36,'Données projet'!$B$36,N8+M9-V8)))</f>
        <v>7.4435014259461312</v>
      </c>
      <c r="O9" s="14">
        <f>N9*VLOOKUP('Données projet'!$B$9,Paramètres!$A$1:$I$89,3,0)*VLOOKUP('Données projet'!$B$9,Paramètres!$A$1:$I$89,5,0)</f>
        <v>4.451213852715787</v>
      </c>
      <c r="P9" s="14">
        <f t="shared" si="33"/>
        <v>1.7240411679772885</v>
      </c>
      <c r="Q9" s="22">
        <f t="shared" si="2"/>
        <v>10.755235827707105</v>
      </c>
      <c r="R9" s="62">
        <f t="shared" si="0"/>
        <v>304.08856916104043</v>
      </c>
      <c r="S9" s="62">
        <f ca="1">AVERAGE(OFFSET($R$3,0,0,'Données projet'!$E$9+1,1))-AVERAGE(OFFSET($H$3,0,0,'Données projet'!$E$9+1,1))</f>
        <v>234.60993819620847</v>
      </c>
      <c r="T9" s="62">
        <f t="shared" si="34"/>
        <v>346.26896655159095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1.2</v>
      </c>
      <c r="AI9" s="14">
        <f>IF('Données projet'!$A$62&gt;35,AI8+AH9-AQ8,IF(A9&lt;'Données projet'!$A$62,$AF$205^A9,IF(A9='Données projet'!$A$62,'Données projet'!$B$62,AI8+AH9-AQ8)))</f>
        <v>2.2620859438457455</v>
      </c>
      <c r="AJ9" s="14">
        <f>AI9*VLOOKUP('Données projet'!$B$10,Paramètres!$A$1:$I$89,3,0)*VLOOKUP('Données projet'!$B$10,Paramètres!$A$1:$I$89,5,0)</f>
        <v>2.4701978506795541</v>
      </c>
      <c r="AK9" s="14">
        <f t="shared" si="35"/>
        <v>1.0246365176244476</v>
      </c>
      <c r="AL9" s="22">
        <f t="shared" si="4"/>
        <v>6.0868365247961362</v>
      </c>
      <c r="AM9" s="62">
        <f t="shared" si="5"/>
        <v>299.42016985812944</v>
      </c>
      <c r="AN9" s="62">
        <f ca="1">AVERAGE(OFFSET($AM$3,0,0,'Données projet'!$E$10+1,1))-AVERAGE(OFFSET($H$3,0,0,'Données projet'!$E$10+1,1))</f>
        <v>224.31750842452965</v>
      </c>
      <c r="AO9" s="62">
        <f t="shared" si="36"/>
        <v>94.125825809616856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7.7271428571428578</v>
      </c>
      <c r="N10" s="14">
        <f>IF('Données projet'!$A$36&gt;35,N9+M10-V9,IF(A10&lt;'Données projet'!$A$36,$K$205^A10,IF(A10='Données projet'!$A$36,'Données projet'!$B$36,N9+M10-V9)))</f>
        <v>10.400961494015824</v>
      </c>
      <c r="O10" s="14">
        <f>N10*VLOOKUP('Données projet'!$B$9,Paramètres!$A$1:$I$89,3,0)*VLOOKUP('Données projet'!$B$9,Paramètres!$A$1:$I$89,5,0)</f>
        <v>6.2197749734214636</v>
      </c>
      <c r="P10" s="14">
        <f t="shared" si="33"/>
        <v>2.3170284454705419</v>
      </c>
      <c r="Q10" s="22">
        <f t="shared" si="2"/>
        <v>14.868265954570242</v>
      </c>
      <c r="R10" s="62">
        <f t="shared" si="0"/>
        <v>308.20159928790355</v>
      </c>
      <c r="S10" s="62">
        <f ca="1">AVERAGE(OFFSET($R$3,0,0,'Données projet'!$E$9+1,1))-AVERAGE(OFFSET($H$3,0,0,'Données projet'!$E$9+1,1))</f>
        <v>234.60993819620847</v>
      </c>
      <c r="T10" s="62">
        <f t="shared" si="34"/>
        <v>346.26896655159095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1.2</v>
      </c>
      <c r="AI10" s="14">
        <f>IF('Données projet'!$A$62&gt;35,AI9+AH10-AQ9,IF(A10&lt;'Données projet'!$A$62,$AF$205^A10,IF(A10='Données projet'!$A$62,'Données projet'!$B$62,AI9+AH10-AQ9)))</f>
        <v>2.5917550374450604</v>
      </c>
      <c r="AJ10" s="14">
        <f>AI10*VLOOKUP('Données projet'!$B$10,Paramètres!$A$1:$I$89,3,0)*VLOOKUP('Données projet'!$B$10,Paramètres!$A$1:$I$89,5,0)</f>
        <v>2.8301965008900059</v>
      </c>
      <c r="AK10" s="14">
        <f t="shared" si="35"/>
        <v>1.1555192996368417</v>
      </c>
      <c r="AL10" s="22">
        <f t="shared" si="4"/>
        <v>6.9417883525842585</v>
      </c>
      <c r="AM10" s="62">
        <f t="shared" si="5"/>
        <v>300.27512168591755</v>
      </c>
      <c r="AN10" s="62">
        <f ca="1">AVERAGE(OFFSET($AM$3,0,0,'Données projet'!$E$10+1,1))-AVERAGE(OFFSET($H$3,0,0,'Données projet'!$E$10+1,1))</f>
        <v>224.31750842452965</v>
      </c>
      <c r="AO10" s="62">
        <f t="shared" si="36"/>
        <v>94.125825809616856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7.7271428571428578</v>
      </c>
      <c r="N11" s="14">
        <f>IF('Données projet'!$A$36&gt;35,N10+M11-V10,IF(A11&lt;'Données projet'!$A$36,$K$205^A11,IF(A11='Données projet'!$A$36,'Données projet'!$B$36,N10+M11-V10)))</f>
        <v>14.533482807286399</v>
      </c>
      <c r="O11" s="14">
        <f>N11*VLOOKUP('Données projet'!$B$9,Paramètres!$A$1:$I$89,3,0)*VLOOKUP('Données projet'!$B$9,Paramètres!$A$1:$I$89,5,0)</f>
        <v>8.6910227187572673</v>
      </c>
      <c r="P11" s="14">
        <f t="shared" si="33"/>
        <v>3.1139748382101038</v>
      </c>
      <c r="Q11" s="22">
        <f t="shared" si="2"/>
        <v>20.560370745051507</v>
      </c>
      <c r="R11" s="62">
        <f t="shared" si="0"/>
        <v>313.89370407838481</v>
      </c>
      <c r="S11" s="62">
        <f ca="1">AVERAGE(OFFSET($R$3,0,0,'Données projet'!$E$9+1,1))-AVERAGE(OFFSET($H$3,0,0,'Données projet'!$E$9+1,1))</f>
        <v>234.60993819620847</v>
      </c>
      <c r="T11" s="62">
        <f t="shared" si="34"/>
        <v>346.26896655159095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1.2</v>
      </c>
      <c r="AI11" s="14">
        <f>IF('Données projet'!$A$62&gt;35,AI10+AH11-AQ10,IF(A11&lt;'Données projet'!$A$62,$AF$205^A11,IF(A11='Données projet'!$A$62,'Données projet'!$B$62,AI10+AH11-AQ10)))</f>
        <v>2.9694690391391689</v>
      </c>
      <c r="AJ11" s="14">
        <f>AI11*VLOOKUP('Données projet'!$B$10,Paramètres!$A$1:$I$89,3,0)*VLOOKUP('Données projet'!$B$10,Paramètres!$A$1:$I$89,5,0)</f>
        <v>3.2426601907399726</v>
      </c>
      <c r="AK11" s="14">
        <f t="shared" si="35"/>
        <v>1.3031205006521218</v>
      </c>
      <c r="AL11" s="22">
        <f t="shared" si="4"/>
        <v>7.9172347041745645</v>
      </c>
      <c r="AM11" s="62">
        <f t="shared" si="5"/>
        <v>301.25056803750789</v>
      </c>
      <c r="AN11" s="62">
        <f ca="1">AVERAGE(OFFSET($AM$3,0,0,'Données projet'!$E$10+1,1))-AVERAGE(OFFSET($H$3,0,0,'Données projet'!$E$10+1,1))</f>
        <v>224.31750842452965</v>
      </c>
      <c r="AO11" s="62">
        <f t="shared" si="36"/>
        <v>94.125825809616856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7.7271428571428578</v>
      </c>
      <c r="N12" s="14">
        <f>IF('Données projet'!$A$36&gt;35,N11+M12-V11,IF(A12&lt;'Données projet'!$A$36,$K$205^A12,IF(A12='Données projet'!$A$36,'Données projet'!$B$36,N11+M12-V11)))</f>
        <v>20.307941975481366</v>
      </c>
      <c r="O12" s="14">
        <f>N12*VLOOKUP('Données projet'!$B$9,Paramètres!$A$1:$I$89,3,0)*VLOOKUP('Données projet'!$B$9,Paramètres!$A$1:$I$89,5,0)</f>
        <v>12.144149301337858</v>
      </c>
      <c r="P12" s="14">
        <f t="shared" si="33"/>
        <v>4.1850324763865441</v>
      </c>
      <c r="Q12" s="22">
        <f t="shared" si="2"/>
        <v>28.439991596203328</v>
      </c>
      <c r="R12" s="62">
        <f t="shared" si="0"/>
        <v>321.77332492953667</v>
      </c>
      <c r="S12" s="62">
        <f ca="1">AVERAGE(OFFSET($R$3,0,0,'Données projet'!$E$9+1,1))-AVERAGE(OFFSET($H$3,0,0,'Données projet'!$E$9+1,1))</f>
        <v>234.60993819620847</v>
      </c>
      <c r="T12" s="62">
        <f t="shared" si="34"/>
        <v>346.26896655159095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1.2</v>
      </c>
      <c r="AI12" s="14">
        <f>IF('Données projet'!$A$62&gt;35,AI11+AH12-AQ11,IF(A12&lt;'Données projet'!$A$62,$AF$205^A12,IF(A12='Données projet'!$A$62,'Données projet'!$B$62,AI11+AH12-AQ11)))</f>
        <v>3.4022298585357786</v>
      </c>
      <c r="AJ12" s="14">
        <f>AI12*VLOOKUP('Données projet'!$B$10,Paramètres!$A$1:$I$89,3,0)*VLOOKUP('Données projet'!$B$10,Paramètres!$A$1:$I$89,5,0)</f>
        <v>3.7152350055210697</v>
      </c>
      <c r="AK12" s="14">
        <f t="shared" si="35"/>
        <v>1.4695756615692401</v>
      </c>
      <c r="AL12" s="22">
        <f t="shared" si="4"/>
        <v>9.0302119118489568</v>
      </c>
      <c r="AM12" s="62">
        <f t="shared" si="5"/>
        <v>302.36354524518225</v>
      </c>
      <c r="AN12" s="62">
        <f ca="1">AVERAGE(OFFSET($AM$3,0,0,'Données projet'!$E$10+1,1))-AVERAGE(OFFSET($H$3,0,0,'Données projet'!$E$10+1,1))</f>
        <v>224.31750842452965</v>
      </c>
      <c r="AO12" s="62">
        <f t="shared" si="36"/>
        <v>94.125825809616856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7.7271428571428578</v>
      </c>
      <c r="N13" s="14">
        <f>IF('Données projet'!$A$36&gt;35,N12+M13-V12,IF(A13&lt;'Données projet'!$A$36,$K$205^A13,IF(A13='Données projet'!$A$36,'Données projet'!$B$36,N12+M13-V12)))</f>
        <v>28.376715529793994</v>
      </c>
      <c r="O13" s="14">
        <f>N13*VLOOKUP('Données projet'!$B$9,Paramètres!$A$1:$I$89,3,0)*VLOOKUP('Données projet'!$B$9,Paramètres!$A$1:$I$89,5,0)</f>
        <v>16.96927588681681</v>
      </c>
      <c r="P13" s="14">
        <f t="shared" si="33"/>
        <v>5.6244824503711541</v>
      </c>
      <c r="Q13" s="22">
        <f t="shared" si="2"/>
        <v>39.350795770602367</v>
      </c>
      <c r="R13" s="62">
        <f t="shared" si="0"/>
        <v>332.68412910393567</v>
      </c>
      <c r="S13" s="62">
        <f ca="1">AVERAGE(OFFSET($R$3,0,0,'Données projet'!$E$9+1,1))-AVERAGE(OFFSET($H$3,0,0,'Données projet'!$E$9+1,1))</f>
        <v>234.60993819620847</v>
      </c>
      <c r="T13" s="62">
        <f t="shared" si="34"/>
        <v>346.26896655159095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1.2</v>
      </c>
      <c r="AI13" s="14">
        <f>IF('Données projet'!$A$62&gt;35,AI12+AH13-AQ12,IF(A13&lt;'Données projet'!$A$62,$AF$205^A13,IF(A13='Données projet'!$A$62,'Données projet'!$B$62,AI12+AH13-AQ12)))</f>
        <v>3.8980598409161908</v>
      </c>
      <c r="AJ13" s="14">
        <f>AI13*VLOOKUP('Données projet'!$B$10,Paramètres!$A$1:$I$89,3,0)*VLOOKUP('Données projet'!$B$10,Paramètres!$A$1:$I$89,5,0)</f>
        <v>4.2566813462804802</v>
      </c>
      <c r="AK13" s="14">
        <f t="shared" si="35"/>
        <v>1.6572931083471663</v>
      </c>
      <c r="AL13" s="22">
        <f t="shared" si="4"/>
        <v>10.30017217514315</v>
      </c>
      <c r="AM13" s="62">
        <f t="shared" si="5"/>
        <v>303.63350550847645</v>
      </c>
      <c r="AN13" s="62">
        <f ca="1">AVERAGE(OFFSET($AM$3,0,0,'Données projet'!$E$10+1,1))-AVERAGE(OFFSET($H$3,0,0,'Données projet'!$E$10+1,1))</f>
        <v>224.31750842452965</v>
      </c>
      <c r="AO13" s="62">
        <f t="shared" si="36"/>
        <v>94.125825809616856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7.7271428571428578</v>
      </c>
      <c r="N14" s="14">
        <f>IF('Données projet'!$A$36&gt;35,N13+M14-V13,IF(A14&lt;'Données projet'!$A$36,$K$205^A14,IF(A14='Données projet'!$A$36,'Données projet'!$B$36,N13+M14-V13)))</f>
        <v>39.651382953085523</v>
      </c>
      <c r="O14" s="14">
        <f>N14*VLOOKUP('Données projet'!$B$9,Paramètres!$A$1:$I$89,3,0)*VLOOKUP('Données projet'!$B$9,Paramètres!$A$1:$I$89,5,0)</f>
        <v>23.711527005945143</v>
      </c>
      <c r="P14" s="14">
        <f t="shared" si="33"/>
        <v>7.5590340130042035</v>
      </c>
      <c r="Q14" s="22">
        <f t="shared" si="2"/>
        <v>54.462893774670114</v>
      </c>
      <c r="R14" s="62">
        <f t="shared" si="0"/>
        <v>347.79622710800345</v>
      </c>
      <c r="S14" s="62">
        <f ca="1">AVERAGE(OFFSET($R$3,0,0,'Données projet'!$E$9+1,1))-AVERAGE(OFFSET($H$3,0,0,'Données projet'!$E$9+1,1))</f>
        <v>234.60993819620847</v>
      </c>
      <c r="T14" s="62">
        <f t="shared" si="34"/>
        <v>346.26896655159095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1.2</v>
      </c>
      <c r="AI14" s="14">
        <f>IF('Données projet'!$A$62&gt;35,AI13+AH14-AQ13,IF(A14&lt;'Données projet'!$A$62,$AF$205^A14,IF(A14='Données projet'!$A$62,'Données projet'!$B$62,AI13+AH14-AQ13)))</f>
        <v>4.4661504822319662</v>
      </c>
      <c r="AJ14" s="14">
        <f>AI14*VLOOKUP('Données projet'!$B$10,Paramètres!$A$1:$I$89,3,0)*VLOOKUP('Données projet'!$B$10,Paramètres!$A$1:$I$89,5,0)</f>
        <v>4.8770363265973069</v>
      </c>
      <c r="AK14" s="14">
        <f t="shared" si="35"/>
        <v>1.8689887964272076</v>
      </c>
      <c r="AL14" s="22">
        <f t="shared" si="4"/>
        <v>11.749327089267696</v>
      </c>
      <c r="AM14" s="62">
        <f t="shared" si="5"/>
        <v>305.08266042260101</v>
      </c>
      <c r="AN14" s="62">
        <f ca="1">AVERAGE(OFFSET($AM$3,0,0,'Données projet'!$E$10+1,1))-AVERAGE(OFFSET($H$3,0,0,'Données projet'!$E$10+1,1))</f>
        <v>224.31750842452965</v>
      </c>
      <c r="AO14" s="62">
        <f t="shared" si="36"/>
        <v>94.125825809616856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7.7271428571428578</v>
      </c>
      <c r="N15" s="14">
        <f>IF('Données projet'!$A$36&gt;35,N14+M15-V14,IF(A15&lt;'Données projet'!$A$36,$K$205^A15,IF(A15='Données projet'!$A$36,'Données projet'!$B$36,N14+M15-V14)))</f>
        <v>55.40571347806209</v>
      </c>
      <c r="O15" s="14">
        <f>N15*VLOOKUP('Données projet'!$B$9,Paramètres!$A$1:$I$89,3,0)*VLOOKUP('Données projet'!$B$9,Paramètres!$A$1:$I$89,5,0)</f>
        <v>33.13261665988113</v>
      </c>
      <c r="P15" s="14">
        <f t="shared" si="33"/>
        <v>10.158978308481325</v>
      </c>
      <c r="Q15" s="22">
        <f t="shared" si="2"/>
        <v>75.39952790323126</v>
      </c>
      <c r="R15" s="62">
        <f t="shared" si="0"/>
        <v>368.73286123656459</v>
      </c>
      <c r="S15" s="62">
        <f ca="1">AVERAGE(OFFSET($R$3,0,0,'Données projet'!$E$9+1,1))-AVERAGE(OFFSET($H$3,0,0,'Données projet'!$E$9+1,1))</f>
        <v>234.60993819620847</v>
      </c>
      <c r="T15" s="62">
        <f t="shared" si="34"/>
        <v>346.26896655159095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1.2</v>
      </c>
      <c r="AI15" s="14">
        <f>IF('Données projet'!$A$62&gt;35,AI14+AH15-AQ14,IF(A15&lt;'Données projet'!$A$62,$AF$205^A15,IF(A15='Données projet'!$A$62,'Données projet'!$B$62,AI14+AH15-AQ14)))</f>
        <v>5.1170328173444979</v>
      </c>
      <c r="AJ15" s="14">
        <f>AI15*VLOOKUP('Données projet'!$B$10,Paramètres!$A$1:$I$89,3,0)*VLOOKUP('Données projet'!$B$10,Paramètres!$A$1:$I$89,5,0)</f>
        <v>5.5877998365401913</v>
      </c>
      <c r="AK15" s="14">
        <f t="shared" si="35"/>
        <v>2.1077256060360634</v>
      </c>
      <c r="AL15" s="22">
        <f t="shared" si="4"/>
        <v>13.403040145820308</v>
      </c>
      <c r="AM15" s="62">
        <f t="shared" si="5"/>
        <v>306.7363734791536</v>
      </c>
      <c r="AN15" s="62">
        <f ca="1">AVERAGE(OFFSET($AM$3,0,0,'Données projet'!$E$10+1,1))-AVERAGE(OFFSET($H$3,0,0,'Données projet'!$E$10+1,1))</f>
        <v>224.31750842452965</v>
      </c>
      <c r="AO15" s="62">
        <f t="shared" si="36"/>
        <v>94.125825809616856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7.7271428571428578</v>
      </c>
      <c r="N16" s="14">
        <f>IF('Données projet'!$A$36&gt;35,N15+M16-V15,IF(A16&lt;'Données projet'!$A$36,$K$205^A16,IF(A16='Données projet'!$A$36,'Données projet'!$B$36,N15+M16-V15)))</f>
        <v>77.419571711917584</v>
      </c>
      <c r="O16" s="14">
        <f>N16*VLOOKUP('Données projet'!$B$9,Paramètres!$A$1:$I$89,3,0)*VLOOKUP('Données projet'!$B$9,Paramètres!$A$1:$I$89,5,0)</f>
        <v>46.296903883726721</v>
      </c>
      <c r="P16" s="14">
        <f t="shared" si="33"/>
        <v>13.653178447754749</v>
      </c>
      <c r="Q16" s="22">
        <f t="shared" si="2"/>
        <v>104.41306006066355</v>
      </c>
      <c r="R16" s="62">
        <f t="shared" si="0"/>
        <v>397.74639339399687</v>
      </c>
      <c r="S16" s="62">
        <f ca="1">AVERAGE(OFFSET($R$3,0,0,'Données projet'!$E$9+1,1))-AVERAGE(OFFSET($H$3,0,0,'Données projet'!$E$9+1,1))</f>
        <v>234.60993819620847</v>
      </c>
      <c r="T16" s="62">
        <f t="shared" si="34"/>
        <v>346.26896655159095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1.2</v>
      </c>
      <c r="AI16" s="14">
        <f>IF('Données projet'!$A$62&gt;35,AI15+AH16-AQ15,IF(A16&lt;'Données projet'!$A$62,$AF$205^A16,IF(A16='Données projet'!$A$62,'Données projet'!$B$62,AI15+AH16-AQ15)))</f>
        <v>5.8627726400958746</v>
      </c>
      <c r="AJ16" s="14">
        <f>AI16*VLOOKUP('Données projet'!$B$10,Paramètres!$A$1:$I$89,3,0)*VLOOKUP('Données projet'!$B$10,Paramètres!$A$1:$I$89,5,0)</f>
        <v>6.4021477229846955</v>
      </c>
      <c r="AK16" s="14">
        <f t="shared" si="35"/>
        <v>2.376957656906487</v>
      </c>
      <c r="AL16" s="22">
        <f t="shared" si="4"/>
        <v>15.290275203310477</v>
      </c>
      <c r="AM16" s="62">
        <f t="shared" si="5"/>
        <v>308.62360853664381</v>
      </c>
      <c r="AN16" s="62">
        <f ca="1">AVERAGE(OFFSET($AM$3,0,0,'Données projet'!$E$10+1,1))-AVERAGE(OFFSET($H$3,0,0,'Données projet'!$E$10+1,1))</f>
        <v>224.31750842452965</v>
      </c>
      <c r="AO16" s="62">
        <f t="shared" si="36"/>
        <v>94.125825809616856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>
        <f>VLOOKUP(A17,'Données projet'!$A$35:$I$55,2,0)</f>
        <v>108.18</v>
      </c>
      <c r="L17" s="13">
        <f>VLOOKUP(A17,'Données projet'!$A$35:$I$55,9,0)</f>
        <v>7.7271428571428578</v>
      </c>
      <c r="M17" s="13">
        <f t="array" ref="M17">INDEX(L:L,MIN(IF(ISNUMBER(L17:L213),ROW(L17:L213),"")))</f>
        <v>7.7271428571428578</v>
      </c>
      <c r="N17" s="14">
        <f>IF('Données projet'!$A$36&gt;35,N16+M17-V16,IF(A17&lt;'Données projet'!$A$36,$K$205^A17,IF(A17='Données projet'!$A$36,'Données projet'!$B$36,N16+M17-V16)))</f>
        <v>108.18</v>
      </c>
      <c r="O17" s="14">
        <f>N17*VLOOKUP('Données projet'!$B$9,Paramètres!$A$1:$I$89,3,0)*VLOOKUP('Données projet'!$B$9,Paramètres!$A$1:$I$89,5,0)</f>
        <v>64.691640000000007</v>
      </c>
      <c r="P17" s="14">
        <f t="shared" si="33"/>
        <v>18.349215449215929</v>
      </c>
      <c r="Q17" s="22">
        <f t="shared" si="2"/>
        <v>144.62948990738442</v>
      </c>
      <c r="R17" s="62">
        <f t="shared" si="0"/>
        <v>437.96282324071774</v>
      </c>
      <c r="S17" s="62">
        <f ca="1">AVERAGE(OFFSET($R$3,0,0,'Données projet'!$E$9+1,1))-AVERAGE(OFFSET($H$3,0,0,'Données projet'!$E$9+1,1))</f>
        <v>234.60993819620847</v>
      </c>
      <c r="T17" s="62">
        <f t="shared" si="34"/>
        <v>346.26896655159095</v>
      </c>
      <c r="U17" s="16">
        <f>IF(ISNA(VLOOKUP(A17,'Données projet'!$A$35:$I$55,3,0)),0,VLOOKUP(A17,'Données projet'!$A$35:$I$55,3,0))</f>
        <v>1</v>
      </c>
      <c r="V17" s="16">
        <f>IF(ISNA(VLOOKUP(A17,'Données projet'!$A$35:$I$55,4,0)),0,VLOOKUP(A17,'Données projet'!$A$35:$I$55,4,0))</f>
        <v>34.25</v>
      </c>
      <c r="W17" s="17">
        <f>IF(ISNA(VLOOKUP(A17,'Données projet'!$A$35:$I$55,5,0)),0%,VLOOKUP(A17,'Données projet'!$A$35:$I$55,5,0)*VLOOKUP('Données projet'!$B$9,Paramètres!$A$1:$I$89,7,0))</f>
        <v>9.0000000000000011E-2</v>
      </c>
      <c r="X17" s="17">
        <f>IF(ISNA(VLOOKUP(A17,'Données projet'!$A$35:$I$55,6,0)),0%,VLOOKUP(A17,'Données projet'!$A$35:$I$55,6,0)*VLOOKUP('Données projet'!$B$9,Paramètres!$A$1:$I$89,7,0))</f>
        <v>0.20250000000000001</v>
      </c>
      <c r="Y17" s="17">
        <f>IF(ISNA(VLOOKUP(A17,'Données projet'!$A$35:$I$55,7,0)),0%,VLOOKUP(A17,'Données projet'!$A$35:$I$55,7,0))</f>
        <v>0.35</v>
      </c>
      <c r="Z17" s="23">
        <f>EXP(-LN(2)/35)*Z16+(1-EXP(-LN(2)/35))/(LN(2)/35)*V17*W17*VLOOKUP('Données projet'!$B$9,Paramètres!$A$1:$I$89,3,0)*0.475*44/12</f>
        <v>2.4453026904676456</v>
      </c>
      <c r="AA17" s="23">
        <f>EXP(-LN(2)/25)*AA16+(1-EXP(-LN(2)/25))/(LN(2)/25)*Calculateur!V17*Calculateur!X17*VLOOKUP('Données projet'!$B$9,Paramètres!$A$1:$I$89,3,0)*0.475*44/12</f>
        <v>5.4802678545942785</v>
      </c>
      <c r="AB17" s="23">
        <f>EXP(-LN(2)/2)*AB16+(1-EXP(-LN(2)/2))/(LN(2)/2)*V17*Y17*VLOOKUP('Données projet'!$B$9,Paramètres!$A$1:$I$89,3,0)*0.475*44/12</f>
        <v>8.1164355306259086</v>
      </c>
      <c r="AC17" s="24">
        <f t="shared" si="3"/>
        <v>16.042006075687834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1.2</v>
      </c>
      <c r="AI17" s="14">
        <f>IF('Données projet'!$A$62&gt;35,AI16+AH17-AQ16,IF(A17&lt;'Données projet'!$A$62,$AF$205^A17,IF(A17='Données projet'!$A$62,'Données projet'!$B$62,AI16+AH17-AQ16)))</f>
        <v>6.7171941741218459</v>
      </c>
      <c r="AJ17" s="14">
        <f>AI17*VLOOKUP('Données projet'!$B$10,Paramètres!$A$1:$I$89,3,0)*VLOOKUP('Données projet'!$B$10,Paramètres!$A$1:$I$89,5,0)</f>
        <v>7.3351760381410562</v>
      </c>
      <c r="AK17" s="14">
        <f t="shared" si="35"/>
        <v>2.6805802835749706</v>
      </c>
      <c r="AL17" s="22">
        <f t="shared" si="4"/>
        <v>17.444108926988743</v>
      </c>
      <c r="AM17" s="62">
        <f t="shared" si="5"/>
        <v>310.77744226032206</v>
      </c>
      <c r="AN17" s="62">
        <f ca="1">AVERAGE(OFFSET($AM$3,0,0,'Données projet'!$E$10+1,1))-AVERAGE(OFFSET($H$3,0,0,'Données projet'!$E$10+1,1))</f>
        <v>224.31750842452965</v>
      </c>
      <c r="AO17" s="62">
        <f t="shared" si="36"/>
        <v>94.125825809616856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21.968</v>
      </c>
      <c r="N18" s="14">
        <f>IF('Données projet'!$A$36&gt;35,N17+M18-V17,IF(A18&lt;'Données projet'!$A$36,$K$205^A18,IF(A18='Données projet'!$A$36,'Données projet'!$B$36,N17+M18-V17)))</f>
        <v>95.897999999999996</v>
      </c>
      <c r="O18" s="14">
        <f>N18*VLOOKUP('Données projet'!$B$9,Paramètres!$A$1:$I$89,3,0)*VLOOKUP('Données projet'!$B$9,Paramètres!$A$1:$I$89,5,0)</f>
        <v>57.347004000000005</v>
      </c>
      <c r="P18" s="14">
        <f t="shared" si="33"/>
        <v>16.49575316039088</v>
      </c>
      <c r="Q18" s="22">
        <f t="shared" si="2"/>
        <v>128.60946872101411</v>
      </c>
      <c r="R18" s="62">
        <f t="shared" si="0"/>
        <v>421.94280205434745</v>
      </c>
      <c r="S18" s="62">
        <f ca="1">AVERAGE(OFFSET($R$3,0,0,'Données projet'!$E$9+1,1))-AVERAGE(OFFSET($H$3,0,0,'Données projet'!$E$9+1,1))</f>
        <v>234.60993819620847</v>
      </c>
      <c r="T18" s="62">
        <f t="shared" si="34"/>
        <v>346.26896655159095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2.3973517961949442</v>
      </c>
      <c r="AA18" s="23">
        <f>EXP(-LN(2)/25)*AA17+(1-EXP(-LN(2)/25))/(LN(2)/25)*Calculateur!V18*Calculateur!X18*VLOOKUP('Données projet'!$B$9,Paramètres!$A$1:$I$89,3,0)*0.475*44/12</f>
        <v>5.3304096419156366</v>
      </c>
      <c r="AB18" s="23">
        <f>EXP(-LN(2)/2)*AB17+(1-EXP(-LN(2)/2))/(LN(2)/2)*V18*Y18*VLOOKUP('Données projet'!$B$9,Paramètres!$A$1:$I$89,3,0)*0.475*44/12</f>
        <v>5.7391866027690144</v>
      </c>
      <c r="AC18" s="24">
        <f t="shared" si="3"/>
        <v>13.466948040879595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1.2</v>
      </c>
      <c r="AI18" s="14">
        <f>IF('Données projet'!$A$62&gt;35,AI17+AH18-AQ17,IF(A18&lt;'Données projet'!$A$62,$AF$205^A18,IF(A18='Données projet'!$A$62,'Données projet'!$B$62,AI17+AH18-AQ17)))</f>
        <v>7.6961363407260848</v>
      </c>
      <c r="AJ18" s="14">
        <f>AI18*VLOOKUP('Données projet'!$B$10,Paramètres!$A$1:$I$89,3,0)*VLOOKUP('Données projet'!$B$10,Paramètres!$A$1:$I$89,5,0)</f>
        <v>8.4041808840728844</v>
      </c>
      <c r="AK18" s="14">
        <f t="shared" si="35"/>
        <v>3.0229863943148727</v>
      </c>
      <c r="AL18" s="22">
        <f t="shared" si="4"/>
        <v>19.902316343192009</v>
      </c>
      <c r="AM18" s="62">
        <f t="shared" si="5"/>
        <v>313.23564967652533</v>
      </c>
      <c r="AN18" s="62">
        <f ca="1">AVERAGE(OFFSET($AM$3,0,0,'Données projet'!$E$10+1,1))-AVERAGE(OFFSET($H$3,0,0,'Données projet'!$E$10+1,1))</f>
        <v>224.31750842452965</v>
      </c>
      <c r="AO18" s="62">
        <f t="shared" si="36"/>
        <v>94.125825809616856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21.968</v>
      </c>
      <c r="N19" s="14">
        <f>IF('Données projet'!$A$36&gt;35,N18+M19-V18,IF(A19&lt;'Données projet'!$A$36,$K$205^A19,IF(A19='Données projet'!$A$36,'Données projet'!$B$36,N18+M19-V18)))</f>
        <v>117.866</v>
      </c>
      <c r="O19" s="14">
        <f>N19*VLOOKUP('Données projet'!$B$9,Paramètres!$A$1:$I$89,3,0)*VLOOKUP('Données projet'!$B$9,Paramètres!$A$1:$I$89,5,0)</f>
        <v>70.483868000000001</v>
      </c>
      <c r="P19" s="14">
        <f t="shared" si="33"/>
        <v>19.793570832162988</v>
      </c>
      <c r="Q19" s="22">
        <f t="shared" si="2"/>
        <v>157.23320596601718</v>
      </c>
      <c r="R19" s="62">
        <f t="shared" si="0"/>
        <v>450.5665392993505</v>
      </c>
      <c r="S19" s="62">
        <f ca="1">AVERAGE(OFFSET($R$3,0,0,'Données projet'!$E$9+1,1))-AVERAGE(OFFSET($H$3,0,0,'Données projet'!$E$9+1,1))</f>
        <v>234.60993819620847</v>
      </c>
      <c r="T19" s="62">
        <f t="shared" si="34"/>
        <v>346.26896655159095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2.3503411897117727</v>
      </c>
      <c r="AA19" s="23">
        <f>EXP(-LN(2)/25)*AA18+(1-EXP(-LN(2)/25))/(LN(2)/25)*Calculateur!V19*Calculateur!X19*VLOOKUP('Données projet'!$B$9,Paramètres!$A$1:$I$89,3,0)*0.475*44/12</f>
        <v>5.184649309943393</v>
      </c>
      <c r="AB19" s="23">
        <f>EXP(-LN(2)/2)*AB18+(1-EXP(-LN(2)/2))/(LN(2)/2)*V19*Y19*VLOOKUP('Données projet'!$B$9,Paramètres!$A$1:$I$89,3,0)*0.475*44/12</f>
        <v>4.0582177653129552</v>
      </c>
      <c r="AC19" s="24">
        <f t="shared" si="3"/>
        <v>11.593208264968121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1.2</v>
      </c>
      <c r="AI19" s="14">
        <f>IF('Données projet'!$A$62&gt;35,AI18+AH19-AQ18,IF(A19&lt;'Données projet'!$A$62,$AF$205^A19,IF(A19='Données projet'!$A$62,'Données projet'!$B$62,AI18+AH19-AQ18)))</f>
        <v>8.8177463744060987</v>
      </c>
      <c r="AJ19" s="14">
        <f>AI19*VLOOKUP('Données projet'!$B$10,Paramètres!$A$1:$I$89,3,0)*VLOOKUP('Données projet'!$B$10,Paramètres!$A$1:$I$89,5,0)</f>
        <v>9.6289790408514602</v>
      </c>
      <c r="AK19" s="14">
        <f t="shared" si="35"/>
        <v>3.4091300291238786</v>
      </c>
      <c r="AL19" s="22">
        <f t="shared" si="4"/>
        <v>22.708039963540383</v>
      </c>
      <c r="AM19" s="62">
        <f t="shared" si="5"/>
        <v>316.0413732968737</v>
      </c>
      <c r="AN19" s="62">
        <f ca="1">AVERAGE(OFFSET($AM$3,0,0,'Données projet'!$E$10+1,1))-AVERAGE(OFFSET($H$3,0,0,'Données projet'!$E$10+1,1))</f>
        <v>224.31750842452965</v>
      </c>
      <c r="AO19" s="62">
        <f t="shared" si="36"/>
        <v>94.125825809616856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21.968</v>
      </c>
      <c r="N20" s="14">
        <f>IF('Données projet'!$A$36&gt;35,N19+M20-V19,IF(A20&lt;'Données projet'!$A$36,$K$205^A20,IF(A20='Données projet'!$A$36,'Données projet'!$B$36,N19+M20-V19)))</f>
        <v>139.834</v>
      </c>
      <c r="O20" s="14">
        <f>N20*VLOOKUP('Données projet'!$B$9,Paramètres!$A$1:$I$89,3,0)*VLOOKUP('Données projet'!$B$9,Paramètres!$A$1:$I$89,5,0)</f>
        <v>83.620732000000004</v>
      </c>
      <c r="P20" s="14">
        <f t="shared" si="33"/>
        <v>23.020178365106414</v>
      </c>
      <c r="Q20" s="22">
        <f t="shared" si="2"/>
        <v>185.73291888589367</v>
      </c>
      <c r="R20" s="62">
        <f t="shared" si="0"/>
        <v>479.06625221922695</v>
      </c>
      <c r="S20" s="62">
        <f ca="1">AVERAGE(OFFSET($R$3,0,0,'Données projet'!$E$9+1,1))-AVERAGE(OFFSET($H$3,0,0,'Données projet'!$E$9+1,1))</f>
        <v>234.60993819620847</v>
      </c>
      <c r="T20" s="62">
        <f t="shared" si="34"/>
        <v>346.26896655159095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2.3042524325480978</v>
      </c>
      <c r="AA20" s="23">
        <f>EXP(-LN(2)/25)*AA19+(1-EXP(-LN(2)/25))/(LN(2)/25)*Calculateur!V20*Calculateur!X20*VLOOKUP('Données projet'!$B$9,Paramètres!$A$1:$I$89,3,0)*0.475*44/12</f>
        <v>5.0428748019141336</v>
      </c>
      <c r="AB20" s="23">
        <f>EXP(-LN(2)/2)*AB19+(1-EXP(-LN(2)/2))/(LN(2)/2)*V20*Y20*VLOOKUP('Données projet'!$B$9,Paramètres!$A$1:$I$89,3,0)*0.475*44/12</f>
        <v>2.8695933013845081</v>
      </c>
      <c r="AC20" s="24">
        <f t="shared" si="3"/>
        <v>10.21672053584674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1.2</v>
      </c>
      <c r="AI20" s="14">
        <f>IF('Données projet'!$A$62&gt;35,AI19+AH20-AQ19,IF(A20&lt;'Données projet'!$A$62,$AF$205^A20,IF(A20='Données projet'!$A$62,'Données projet'!$B$62,AI19+AH20-AQ19)))</f>
        <v>10.102816228956828</v>
      </c>
      <c r="AJ20" s="14">
        <f>AI20*VLOOKUP('Données projet'!$B$10,Paramètres!$A$1:$I$89,3,0)*VLOOKUP('Données projet'!$B$10,Paramètres!$A$1:$I$89,5,0)</f>
        <v>11.032275322020855</v>
      </c>
      <c r="AK20" s="14">
        <f t="shared" si="35"/>
        <v>3.8445980363428705</v>
      </c>
      <c r="AL20" s="22">
        <f t="shared" si="4"/>
        <v>25.910554432483483</v>
      </c>
      <c r="AM20" s="62">
        <f t="shared" si="5"/>
        <v>319.24388776581679</v>
      </c>
      <c r="AN20" s="62">
        <f ca="1">AVERAGE(OFFSET($AM$3,0,0,'Données projet'!$E$10+1,1))-AVERAGE(OFFSET($H$3,0,0,'Données projet'!$E$10+1,1))</f>
        <v>224.31750842452965</v>
      </c>
      <c r="AO20" s="62">
        <f t="shared" si="36"/>
        <v>94.125825809616856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21.968</v>
      </c>
      <c r="N21" s="14">
        <f>IF('Données projet'!$A$36&gt;35,N20+M21-V20,IF(A21&lt;'Données projet'!$A$36,$K$205^A21,IF(A21='Données projet'!$A$36,'Données projet'!$B$36,N20+M21-V20)))</f>
        <v>161.80199999999999</v>
      </c>
      <c r="O21" s="14">
        <f>N21*VLOOKUP('Données projet'!$B$9,Paramètres!$A$1:$I$89,3,0)*VLOOKUP('Données projet'!$B$9,Paramètres!$A$1:$I$89,5,0)</f>
        <v>96.757596000000007</v>
      </c>
      <c r="P21" s="14">
        <f t="shared" si="33"/>
        <v>26.188063921005639</v>
      </c>
      <c r="Q21" s="22">
        <f t="shared" si="2"/>
        <v>214.13035769575148</v>
      </c>
      <c r="R21" s="62">
        <f t="shared" si="0"/>
        <v>507.46369102908477</v>
      </c>
      <c r="S21" s="62">
        <f ca="1">AVERAGE(OFFSET($R$3,0,0,'Données projet'!$E$9+1,1))-AVERAGE(OFFSET($H$3,0,0,'Données projet'!$E$9+1,1))</f>
        <v>234.60993819620847</v>
      </c>
      <c r="T21" s="62">
        <f t="shared" si="34"/>
        <v>346.26896655159095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2.2590674478010362</v>
      </c>
      <c r="AA21" s="23">
        <f>EXP(-LN(2)/25)*AA20+(1-EXP(-LN(2)/25))/(LN(2)/25)*Calculateur!V21*Calculateur!X21*VLOOKUP('Données projet'!$B$9,Paramètres!$A$1:$I$89,3,0)*0.475*44/12</f>
        <v>4.9049771252625316</v>
      </c>
      <c r="AB21" s="23">
        <f>EXP(-LN(2)/2)*AB20+(1-EXP(-LN(2)/2))/(LN(2)/2)*V21*Y21*VLOOKUP('Données projet'!$B$9,Paramètres!$A$1:$I$89,3,0)*0.475*44/12</f>
        <v>2.029108882656478</v>
      </c>
      <c r="AC21" s="24">
        <f t="shared" si="3"/>
        <v>9.1931534557200454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1.2</v>
      </c>
      <c r="AI21" s="14">
        <f>IF('Données projet'!$A$62&gt;35,AI20+AH21-AQ20,IF(A21&lt;'Données projet'!$A$62,$AF$205^A21,IF(A21='Données projet'!$A$62,'Données projet'!$B$62,AI20+AH21-AQ20)))</f>
        <v>11.575168010312384</v>
      </c>
      <c r="AJ21" s="14">
        <f>AI21*VLOOKUP('Données projet'!$B$10,Paramètres!$A$1:$I$89,3,0)*VLOOKUP('Données projet'!$B$10,Paramètres!$A$1:$I$89,5,0)</f>
        <v>12.640083467261123</v>
      </c>
      <c r="AK21" s="14">
        <f t="shared" si="35"/>
        <v>4.335690904946226</v>
      </c>
      <c r="AL21" s="22">
        <f t="shared" si="4"/>
        <v>29.566140364927794</v>
      </c>
      <c r="AM21" s="62">
        <f t="shared" si="5"/>
        <v>322.89947369826109</v>
      </c>
      <c r="AN21" s="62">
        <f ca="1">AVERAGE(OFFSET($AM$3,0,0,'Données projet'!$E$10+1,1))-AVERAGE(OFFSET($H$3,0,0,'Données projet'!$E$10+1,1))</f>
        <v>224.31750842452965</v>
      </c>
      <c r="AO21" s="62">
        <f t="shared" si="36"/>
        <v>94.125825809616856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183.77</v>
      </c>
      <c r="L22" s="13">
        <f>VLOOKUP(A22,'Données projet'!$A$35:$I$55,9,0)</f>
        <v>21.968</v>
      </c>
      <c r="M22" s="13">
        <f t="array" ref="M22">INDEX(L:L,MIN(IF(ISNUMBER(L22:L218),ROW(L22:L218),"")))</f>
        <v>21.968</v>
      </c>
      <c r="N22" s="14">
        <f>IF('Données projet'!$A$36&gt;35,N21+M22-V21,IF(A22&lt;'Données projet'!$A$36,$K$205^A22,IF(A22='Données projet'!$A$36,'Données projet'!$B$36,N21+M22-V21)))</f>
        <v>183.76999999999998</v>
      </c>
      <c r="O22" s="14">
        <f>N22*VLOOKUP('Données projet'!$B$9,Paramètres!$A$1:$I$89,3,0)*VLOOKUP('Données projet'!$B$9,Paramètres!$A$1:$I$89,5,0)</f>
        <v>109.89446</v>
      </c>
      <c r="P22" s="14">
        <f t="shared" si="33"/>
        <v>29.30611713635502</v>
      </c>
      <c r="Q22" s="22">
        <f t="shared" si="2"/>
        <v>242.44100517915163</v>
      </c>
      <c r="R22" s="62">
        <f t="shared" si="0"/>
        <v>535.77433851248497</v>
      </c>
      <c r="S22" s="62">
        <f ca="1">AVERAGE(OFFSET($R$3,0,0,'Données projet'!$E$9+1,1))-AVERAGE(OFFSET($H$3,0,0,'Données projet'!$E$9+1,1))</f>
        <v>234.60993819620847</v>
      </c>
      <c r="T22" s="62">
        <f t="shared" si="34"/>
        <v>346.26896655159095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59.5</v>
      </c>
      <c r="W22" s="17">
        <f>IF(ISNA(VLOOKUP(A22,'Données projet'!$A$35:$I$55,5,0)),0%,VLOOKUP(A22,'Données projet'!$A$35:$I$55,5,0)*VLOOKUP('Données projet'!$B$9,Paramètres!$A$1:$I$89,7,0))</f>
        <v>0.18000000000000002</v>
      </c>
      <c r="X22" s="17">
        <f>IF(ISNA(VLOOKUP(A22,'Données projet'!$A$35:$I$55,6,0)),0%,VLOOKUP(A22,'Données projet'!$A$35:$I$55,6,0)*VLOOKUP('Données projet'!$B$9,Paramètres!$A$1:$I$89,7,0))</f>
        <v>0.15300000000000002</v>
      </c>
      <c r="Y22" s="17">
        <f>IF(ISNA(VLOOKUP(A22,'Données projet'!$A$35:$I$55,7,0)),0%,VLOOKUP(A22,'Données projet'!$A$35:$I$55,7,0))</f>
        <v>0.26</v>
      </c>
      <c r="Z22" s="23">
        <f>EXP(-LN(2)/35)*Z21+(1-EXP(-LN(2)/35))/(LN(2)/35)*V22*W22*VLOOKUP('Données projet'!$B$9,Paramètres!$A$1:$I$89,3,0)*0.475*44/12</f>
        <v>10.710856693063718</v>
      </c>
      <c r="AA22" s="23">
        <f>EXP(-LN(2)/25)*AA21+(1-EXP(-LN(2)/25))/(LN(2)/25)*Calculateur!V22*Calculateur!X22*VLOOKUP('Données projet'!$B$9,Paramètres!$A$1:$I$89,3,0)*0.475*44/12</f>
        <v>11.964090734882909</v>
      </c>
      <c r="AB22" s="23">
        <f>EXP(-LN(2)/2)*AB21+(1-EXP(-LN(2)/2))/(LN(2)/2)*V22*Y22*VLOOKUP('Données projet'!$B$9,Paramètres!$A$1:$I$89,3,0)*0.475*44/12</f>
        <v>11.909145569047441</v>
      </c>
      <c r="AC22" s="24">
        <f t="shared" si="3"/>
        <v>34.584092996994066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1.2</v>
      </c>
      <c r="AI22" s="14">
        <f>IF('Données projet'!$A$62&gt;35,AI21+AH22-AQ21,IF(A22&lt;'Données projet'!$A$62,$AF$205^A22,IF(A22='Données projet'!$A$62,'Données projet'!$B$62,AI21+AH22-AQ21)))</f>
        <v>13.262095581124292</v>
      </c>
      <c r="AJ22" s="14">
        <f>AI22*VLOOKUP('Données projet'!$B$10,Paramètres!$A$1:$I$89,3,0)*VLOOKUP('Données projet'!$B$10,Paramètres!$A$1:$I$89,5,0)</f>
        <v>14.482208374587726</v>
      </c>
      <c r="AK22" s="14">
        <f t="shared" si="35"/>
        <v>4.8895139220106891</v>
      </c>
      <c r="AL22" s="22">
        <f t="shared" si="4"/>
        <v>33.739082999908902</v>
      </c>
      <c r="AM22" s="62">
        <f t="shared" si="5"/>
        <v>327.07241633324224</v>
      </c>
      <c r="AN22" s="62">
        <f ca="1">AVERAGE(OFFSET($AM$3,0,0,'Données projet'!$E$10+1,1))-AVERAGE(OFFSET($H$3,0,0,'Données projet'!$E$10+1,1))</f>
        <v>224.31750842452965</v>
      </c>
      <c r="AO22" s="62">
        <f t="shared" si="36"/>
        <v>94.125825809616856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21.403333333333332</v>
      </c>
      <c r="N23" s="14">
        <f>IF('Données projet'!$A$36&gt;35,N22+M23-V22,IF(A23&lt;'Données projet'!$A$36,$K$205^A23,IF(A23='Données projet'!$A$36,'Données projet'!$B$36,N22+M23-V22)))</f>
        <v>145.67333333333332</v>
      </c>
      <c r="O23" s="14">
        <f>N23*VLOOKUP('Données projet'!$B$9,Paramètres!$A$1:$I$89,3,0)*VLOOKUP('Données projet'!$B$9,Paramètres!$A$1:$I$89,5,0)</f>
        <v>87.112653333333327</v>
      </c>
      <c r="P23" s="14">
        <f t="shared" si="33"/>
        <v>23.867550507152405</v>
      </c>
      <c r="Q23" s="22">
        <f t="shared" si="2"/>
        <v>193.29052168884596</v>
      </c>
      <c r="R23" s="62">
        <f t="shared" si="0"/>
        <v>486.62385502217927</v>
      </c>
      <c r="S23" s="62">
        <f ca="1">AVERAGE(OFFSET($R$3,0,0,'Données projet'!$E$9+1,1))-AVERAGE(OFFSET($H$3,0,0,'Données projet'!$E$9+1,1))</f>
        <v>234.60993819620847</v>
      </c>
      <c r="T23" s="62">
        <f t="shared" si="34"/>
        <v>346.26896655159095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10.500823326290243</v>
      </c>
      <c r="AA23" s="23">
        <f>EXP(-LN(2)/25)*AA22+(1-EXP(-LN(2)/25))/(LN(2)/25)*Calculateur!V23*Calculateur!X23*VLOOKUP('Données projet'!$B$9,Paramètres!$A$1:$I$89,3,0)*0.475*44/12</f>
        <v>11.636932044573348</v>
      </c>
      <c r="AB23" s="23">
        <f>EXP(-LN(2)/2)*AB22+(1-EXP(-LN(2)/2))/(LN(2)/2)*V23*Y23*VLOOKUP('Données projet'!$B$9,Paramètres!$A$1:$I$89,3,0)*0.475*44/12</f>
        <v>8.4210375900111707</v>
      </c>
      <c r="AC23" s="24">
        <f t="shared" si="3"/>
        <v>30.558792960874761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1.2</v>
      </c>
      <c r="AI23" s="14">
        <f>IF('Données projet'!$A$62&gt;35,AI22+AH23-AQ22,IF(A23&lt;'Données projet'!$A$62,$AF$205^A23,IF(A23='Données projet'!$A$62,'Données projet'!$B$62,AI22+AH23-AQ22)))</f>
        <v>15.194870523363559</v>
      </c>
      <c r="AJ23" s="14">
        <f>AI23*VLOOKUP('Données projet'!$B$10,Paramètres!$A$1:$I$89,3,0)*VLOOKUP('Données projet'!$B$10,Paramètres!$A$1:$I$89,5,0)</f>
        <v>16.592798611513004</v>
      </c>
      <c r="AK23" s="14">
        <f t="shared" si="35"/>
        <v>5.5140799742579558</v>
      </c>
      <c r="AL23" s="22">
        <f t="shared" si="4"/>
        <v>38.502813536884425</v>
      </c>
      <c r="AM23" s="62">
        <f t="shared" si="5"/>
        <v>331.83614687021776</v>
      </c>
      <c r="AN23" s="62">
        <f ca="1">AVERAGE(OFFSET($AM$3,0,0,'Données projet'!$E$10+1,1))-AVERAGE(OFFSET($H$3,0,0,'Données projet'!$E$10+1,1))</f>
        <v>224.31750842452965</v>
      </c>
      <c r="AO23" s="62">
        <f t="shared" si="36"/>
        <v>94.125825809616856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21.403333333333332</v>
      </c>
      <c r="N24" s="14">
        <f>IF('Données projet'!$A$36&gt;35,N23+M24-V23,IF(A24&lt;'Données projet'!$A$36,$K$205^A24,IF(A24='Données projet'!$A$36,'Données projet'!$B$36,N23+M24-V23)))</f>
        <v>167.07666666666665</v>
      </c>
      <c r="O24" s="14">
        <f>N24*VLOOKUP('Données projet'!$B$9,Paramètres!$A$1:$I$89,3,0)*VLOOKUP('Données projet'!$B$9,Paramètres!$A$1:$I$89,5,0)</f>
        <v>99.911846666666662</v>
      </c>
      <c r="P24" s="14">
        <f t="shared" si="33"/>
        <v>26.940995154457852</v>
      </c>
      <c r="Q24" s="22">
        <f t="shared" si="2"/>
        <v>220.93536617179186</v>
      </c>
      <c r="R24" s="62">
        <f t="shared" si="0"/>
        <v>514.26869950512514</v>
      </c>
      <c r="S24" s="62">
        <f ca="1">AVERAGE(OFFSET($R$3,0,0,'Données projet'!$E$9+1,1))-AVERAGE(OFFSET($H$3,0,0,'Données projet'!$E$9+1,1))</f>
        <v>234.60993819620847</v>
      </c>
      <c r="T24" s="62">
        <f t="shared" si="34"/>
        <v>346.26896655159095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10.294908585731493</v>
      </c>
      <c r="AA24" s="23">
        <f>EXP(-LN(2)/25)*AA23+(1-EXP(-LN(2)/25))/(LN(2)/25)*Calculateur!V24*Calculateur!X24*VLOOKUP('Données projet'!$B$9,Paramètres!$A$1:$I$89,3,0)*0.475*44/12</f>
        <v>11.31871952585483</v>
      </c>
      <c r="AB24" s="23">
        <f>EXP(-LN(2)/2)*AB23+(1-EXP(-LN(2)/2))/(LN(2)/2)*V24*Y24*VLOOKUP('Données projet'!$B$9,Paramètres!$A$1:$I$89,3,0)*0.475*44/12</f>
        <v>5.9545727845237204</v>
      </c>
      <c r="AC24" s="24">
        <f t="shared" si="3"/>
        <v>27.568200896110042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1.2</v>
      </c>
      <c r="AI24" s="14">
        <f>IF('Données projet'!$A$62&gt;35,AI23+AH24-AQ23,IF(A24&lt;'Données projet'!$A$62,$AF$205^A24,IF(A24='Données projet'!$A$62,'Données projet'!$B$62,AI23+AH24-AQ23)))</f>
        <v>17.409321838276906</v>
      </c>
      <c r="AJ24" s="14">
        <f>AI24*VLOOKUP('Données projet'!$B$10,Paramètres!$A$1:$I$89,3,0)*VLOOKUP('Données projet'!$B$10,Paramètres!$A$1:$I$89,5,0)</f>
        <v>19.01097944739838</v>
      </c>
      <c r="AK24" s="14">
        <f t="shared" si="35"/>
        <v>6.2184254810362249</v>
      </c>
      <c r="AL24" s="22">
        <f t="shared" si="4"/>
        <v>43.941213583690264</v>
      </c>
      <c r="AM24" s="62">
        <f t="shared" si="5"/>
        <v>337.2745469170236</v>
      </c>
      <c r="AN24" s="62">
        <f ca="1">AVERAGE(OFFSET($AM$3,0,0,'Données projet'!$E$10+1,1))-AVERAGE(OFFSET($H$3,0,0,'Données projet'!$E$10+1,1))</f>
        <v>224.31750842452965</v>
      </c>
      <c r="AO24" s="62">
        <f t="shared" si="36"/>
        <v>94.125825809616856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21.403333333333332</v>
      </c>
      <c r="N25" s="14">
        <f>IF('Données projet'!$A$36&gt;35,N24+M25-V24,IF(A25&lt;'Données projet'!$A$36,$K$205^A25,IF(A25='Données projet'!$A$36,'Données projet'!$B$36,N24+M25-V24)))</f>
        <v>188.48</v>
      </c>
      <c r="O25" s="14">
        <f>N25*VLOOKUP('Données projet'!$B$9,Paramètres!$A$1:$I$89,3,0)*VLOOKUP('Données projet'!$B$9,Paramètres!$A$1:$I$89,5,0)</f>
        <v>112.71104000000001</v>
      </c>
      <c r="P25" s="14">
        <f t="shared" si="33"/>
        <v>29.968818833735142</v>
      </c>
      <c r="Q25" s="22">
        <f t="shared" si="2"/>
        <v>248.50075413542206</v>
      </c>
      <c r="R25" s="62">
        <f t="shared" si="0"/>
        <v>541.83408746875534</v>
      </c>
      <c r="S25" s="62">
        <f ca="1">AVERAGE(OFFSET($R$3,0,0,'Données projet'!$E$9+1,1))-AVERAGE(OFFSET($H$3,0,0,'Données projet'!$E$9+1,1))</f>
        <v>234.60993819620847</v>
      </c>
      <c r="T25" s="62">
        <f t="shared" si="34"/>
        <v>346.26896655159095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10.09303170763951</v>
      </c>
      <c r="AA25" s="23">
        <f>EXP(-LN(2)/25)*AA24+(1-EXP(-LN(2)/25))/(LN(2)/25)*Calculateur!V25*Calculateur!X25*VLOOKUP('Données projet'!$B$9,Paramètres!$A$1:$I$89,3,0)*0.475*44/12</f>
        <v>11.009208545194738</v>
      </c>
      <c r="AB25" s="23">
        <f>EXP(-LN(2)/2)*AB24+(1-EXP(-LN(2)/2))/(LN(2)/2)*V25*Y25*VLOOKUP('Données projet'!$B$9,Paramètres!$A$1:$I$89,3,0)*0.475*44/12</f>
        <v>4.2105187950055853</v>
      </c>
      <c r="AC25" s="24">
        <f t="shared" si="3"/>
        <v>25.312759047839833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1.2</v>
      </c>
      <c r="AI25" s="14">
        <f>IF('Données projet'!$A$62&gt;35,AI24+AH25-AQ24,IF(A25&lt;'Données projet'!$A$62,$AF$205^A25,IF(A25='Données projet'!$A$62,'Données projet'!$B$62,AI24+AH25-AQ24)))</f>
        <v>19.946500129940819</v>
      </c>
      <c r="AJ25" s="14">
        <f>AI25*VLOOKUP('Données projet'!$B$10,Paramètres!$A$1:$I$89,3,0)*VLOOKUP('Données projet'!$B$10,Paramètres!$A$1:$I$89,5,0)</f>
        <v>21.781578141895373</v>
      </c>
      <c r="AK25" s="14">
        <f t="shared" si="35"/>
        <v>7.0127411360957543</v>
      </c>
      <c r="AL25" s="22">
        <f t="shared" si="4"/>
        <v>50.150106075834543</v>
      </c>
      <c r="AM25" s="62">
        <f t="shared" si="5"/>
        <v>343.48343940916789</v>
      </c>
      <c r="AN25" s="62">
        <f ca="1">AVERAGE(OFFSET($AM$3,0,0,'Données projet'!$E$10+1,1))-AVERAGE(OFFSET($H$3,0,0,'Données projet'!$E$10+1,1))</f>
        <v>224.31750842452965</v>
      </c>
      <c r="AO25" s="62">
        <f t="shared" si="36"/>
        <v>94.125825809616856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21.403333333333332</v>
      </c>
      <c r="N26" s="14">
        <f>IF('Données projet'!$A$36&gt;35,N25+M26-V25,IF(A26&lt;'Données projet'!$A$36,$K$205^A26,IF(A26='Données projet'!$A$36,'Données projet'!$B$36,N25+M26-V25)))</f>
        <v>209.88333333333333</v>
      </c>
      <c r="O26" s="14">
        <f>N26*VLOOKUP('Données projet'!$B$9,Paramètres!$A$1:$I$89,3,0)*VLOOKUP('Données projet'!$B$9,Paramètres!$A$1:$I$89,5,0)</f>
        <v>125.51023333333335</v>
      </c>
      <c r="P26" s="14">
        <f t="shared" si="33"/>
        <v>32.956793460624539</v>
      </c>
      <c r="Q26" s="22">
        <f t="shared" si="2"/>
        <v>275.99673833280997</v>
      </c>
      <c r="R26" s="62">
        <f t="shared" si="0"/>
        <v>569.33007166614334</v>
      </c>
      <c r="S26" s="62">
        <f ca="1">AVERAGE(OFFSET($R$3,0,0,'Données projet'!$E$9+1,1))-AVERAGE(OFFSET($H$3,0,0,'Données projet'!$E$9+1,1))</f>
        <v>234.60993819620847</v>
      </c>
      <c r="T26" s="62">
        <f t="shared" si="34"/>
        <v>346.26896655159095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9.8951135119941718</v>
      </c>
      <c r="AA26" s="23">
        <f>EXP(-LN(2)/25)*AA25+(1-EXP(-LN(2)/25))/(LN(2)/25)*Calculateur!V26*Calculateur!X26*VLOOKUP('Données projet'!$B$9,Paramètres!$A$1:$I$89,3,0)*0.475*44/12</f>
        <v>10.708161158577273</v>
      </c>
      <c r="AB26" s="23">
        <f>EXP(-LN(2)/2)*AB25+(1-EXP(-LN(2)/2))/(LN(2)/2)*V26*Y26*VLOOKUP('Données projet'!$B$9,Paramètres!$A$1:$I$89,3,0)*0.475*44/12</f>
        <v>2.9772863922618602</v>
      </c>
      <c r="AC26" s="24">
        <f t="shared" si="3"/>
        <v>23.580561062833304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1.2</v>
      </c>
      <c r="AI26" s="14">
        <f>IF('Données projet'!$A$62&gt;35,AI25+AH26-AQ25,IF(A26&lt;'Données projet'!$A$62,$AF$205^A26,IF(A26='Données projet'!$A$62,'Données projet'!$B$62,AI25+AH26-AQ25)))</f>
        <v>22.853438584779923</v>
      </c>
      <c r="AJ26" s="14">
        <f>AI26*VLOOKUP('Données projet'!$B$10,Paramètres!$A$1:$I$89,3,0)*VLOOKUP('Données projet'!$B$10,Paramètres!$A$1:$I$89,5,0)</f>
        <v>24.955954934579676</v>
      </c>
      <c r="AK26" s="14">
        <f t="shared" si="35"/>
        <v>7.9085193497718969</v>
      </c>
      <c r="AL26" s="22">
        <f t="shared" si="4"/>
        <v>57.238959378578983</v>
      </c>
      <c r="AM26" s="62">
        <f t="shared" si="5"/>
        <v>350.57229271191227</v>
      </c>
      <c r="AN26" s="62">
        <f ca="1">AVERAGE(OFFSET($AM$3,0,0,'Données projet'!$E$10+1,1))-AVERAGE(OFFSET($H$3,0,0,'Données projet'!$E$10+1,1))</f>
        <v>224.31750842452965</v>
      </c>
      <c r="AO26" s="62">
        <f t="shared" si="36"/>
        <v>94.125825809616856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21.403333333333332</v>
      </c>
      <c r="N27" s="14">
        <f>IF('Données projet'!$A$36&gt;35,N26+M27-V26,IF(A27&lt;'Données projet'!$A$36,$K$205^A27,IF(A27='Données projet'!$A$36,'Données projet'!$B$36,N26+M27-V26)))</f>
        <v>231.28666666666666</v>
      </c>
      <c r="O27" s="14">
        <f>N27*VLOOKUP('Données projet'!$B$9,Paramètres!$A$1:$I$89,3,0)*VLOOKUP('Données projet'!$B$9,Paramètres!$A$1:$I$89,5,0)</f>
        <v>138.30942666666667</v>
      </c>
      <c r="P27" s="14">
        <f t="shared" si="33"/>
        <v>35.909445469885178</v>
      </c>
      <c r="Q27" s="22">
        <f t="shared" si="2"/>
        <v>303.43120230449443</v>
      </c>
      <c r="R27" s="62">
        <f t="shared" si="0"/>
        <v>596.76453563782775</v>
      </c>
      <c r="S27" s="62">
        <f ca="1">AVERAGE(OFFSET($R$3,0,0,'Données projet'!$E$9+1,1))-AVERAGE(OFFSET($H$3,0,0,'Données projet'!$E$9+1,1))</f>
        <v>234.60993819620847</v>
      </c>
      <c r="T27" s="62">
        <f t="shared" si="34"/>
        <v>346.26896655159095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9.7010763714472592</v>
      </c>
      <c r="AA27" s="23">
        <f>EXP(-LN(2)/25)*AA26+(1-EXP(-LN(2)/25))/(LN(2)/25)*Calculateur!V27*Calculateur!X27*VLOOKUP('Données projet'!$B$9,Paramètres!$A$1:$I$89,3,0)*0.475*44/12</f>
        <v>10.415345928578256</v>
      </c>
      <c r="AB27" s="23">
        <f>EXP(-LN(2)/2)*AB26+(1-EXP(-LN(2)/2))/(LN(2)/2)*V27*Y27*VLOOKUP('Données projet'!$B$9,Paramètres!$A$1:$I$89,3,0)*0.475*44/12</f>
        <v>2.1052593975027927</v>
      </c>
      <c r="AC27" s="24">
        <f t="shared" si="3"/>
        <v>22.221681697528307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1.2</v>
      </c>
      <c r="AI27" s="14">
        <f>IF('Données projet'!$A$62&gt;35,AI26+AH27-AQ26,IF(A27&lt;'Données projet'!$A$62,$AF$205^A27,IF(A27='Données projet'!$A$62,'Données projet'!$B$62,AI26+AH27-AQ26)))</f>
        <v>26.184024853780567</v>
      </c>
      <c r="AJ27" s="14">
        <f>AI27*VLOOKUP('Données projet'!$B$10,Paramètres!$A$1:$I$89,3,0)*VLOOKUP('Données projet'!$B$10,Paramètres!$A$1:$I$89,5,0)</f>
        <v>28.592955140328378</v>
      </c>
      <c r="AK27" s="14">
        <f t="shared" si="35"/>
        <v>8.9187205248156847</v>
      </c>
      <c r="AL27" s="22">
        <f t="shared" si="4"/>
        <v>65.332835116792566</v>
      </c>
      <c r="AM27" s="62">
        <f t="shared" si="5"/>
        <v>358.66616845012589</v>
      </c>
      <c r="AN27" s="62">
        <f ca="1">AVERAGE(OFFSET($AM$3,0,0,'Données projet'!$E$10+1,1))-AVERAGE(OFFSET($H$3,0,0,'Données projet'!$E$10+1,1))</f>
        <v>224.31750842452965</v>
      </c>
      <c r="AO27" s="62">
        <f t="shared" si="36"/>
        <v>94.125825809616856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252.69</v>
      </c>
      <c r="L28" s="13">
        <f>VLOOKUP(A28,'Données projet'!$A$35:$I$55,9,0)</f>
        <v>21.403333333333332</v>
      </c>
      <c r="M28" s="13">
        <f t="array" ref="M28">INDEX(L:L,MIN(IF(ISNUMBER(L28:L224),ROW(L28:L224),"")))</f>
        <v>21.403333333333332</v>
      </c>
      <c r="N28" s="14">
        <f>IF('Données projet'!$A$36&gt;35,N27+M28-V27,IF(A28&lt;'Données projet'!$A$36,$K$205^A28,IF(A28='Données projet'!$A$36,'Données projet'!$B$36,N27+M28-V27)))</f>
        <v>252.69</v>
      </c>
      <c r="O28" s="14">
        <f>N28*VLOOKUP('Données projet'!$B$9,Paramètres!$A$1:$I$89,3,0)*VLOOKUP('Données projet'!$B$9,Paramètres!$A$1:$I$89,5,0)</f>
        <v>151.10862</v>
      </c>
      <c r="P28" s="14">
        <f t="shared" si="33"/>
        <v>38.830415421175942</v>
      </c>
      <c r="Q28" s="22">
        <f t="shared" si="2"/>
        <v>330.81048669188147</v>
      </c>
      <c r="R28" s="62">
        <f t="shared" si="0"/>
        <v>624.14382002521484</v>
      </c>
      <c r="S28" s="62">
        <f ca="1">AVERAGE(OFFSET($R$3,0,0,'Données projet'!$E$9+1,1))-AVERAGE(OFFSET($H$3,0,0,'Données projet'!$E$9+1,1))</f>
        <v>234.60993819620847</v>
      </c>
      <c r="T28" s="62">
        <f t="shared" si="34"/>
        <v>346.26896655159095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60.96</v>
      </c>
      <c r="W28" s="17">
        <f>IF(ISNA(VLOOKUP(A28,'Données projet'!$A$35:$I$55,5,0)),0%,VLOOKUP(A28,'Données projet'!$A$35:$I$55,5,0)*VLOOKUP('Données projet'!$B$9,Paramètres!$A$1:$I$89,7,0))</f>
        <v>0.27</v>
      </c>
      <c r="X28" s="17">
        <f>IF(ISNA(VLOOKUP(A28,'Données projet'!$A$35:$I$55,6,0)),0%,VLOOKUP(A28,'Données projet'!$A$35:$I$55,6,0)*VLOOKUP('Données projet'!$B$9,Paramètres!$A$1:$I$89,7,0))</f>
        <v>9.9000000000000005E-2</v>
      </c>
      <c r="Y28" s="17">
        <f>IF(ISNA(VLOOKUP(A28,'Données projet'!$A$35:$I$55,7,0)),0%,VLOOKUP(A28,'Données projet'!$A$35:$I$55,7,0))</f>
        <v>0.18</v>
      </c>
      <c r="Z28" s="23">
        <f>EXP(-LN(2)/35)*Z27+(1-EXP(-LN(2)/35))/(LN(2)/35)*V28*W28*VLOOKUP('Données projet'!$B$9,Paramètres!$A$1:$I$89,3,0)*0.475*44/12</f>
        <v>22.567689612487854</v>
      </c>
      <c r="AA28" s="23">
        <f>EXP(-LN(2)/25)*AA27+(1-EXP(-LN(2)/25))/(LN(2)/25)*Calculateur!V28*Calculateur!X28*VLOOKUP('Données projet'!$B$9,Paramètres!$A$1:$I$89,3,0)*0.475*44/12</f>
        <v>14.899197487012026</v>
      </c>
      <c r="AB28" s="23">
        <f>EXP(-LN(2)/2)*AB27+(1-EXP(-LN(2)/2))/(LN(2)/2)*V28*Y28*VLOOKUP('Données projet'!$B$9,Paramètres!$A$1:$I$89,3,0)*0.475*44/12</f>
        <v>8.9180508116013755</v>
      </c>
      <c r="AC28" s="24">
        <f t="shared" si="3"/>
        <v>46.384937911101254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30</v>
      </c>
      <c r="AG28" s="13">
        <f>VLOOKUP(A28,'Données projet'!$A$61:$I$81,9,0)</f>
        <v>1.2</v>
      </c>
      <c r="AH28" s="13">
        <f t="array" ref="AH28">INDEX(AG:AG,MIN(IF(ISNUMBER(AG28:AG224),ROW(AG28:AG224),"")))</f>
        <v>1.2</v>
      </c>
      <c r="AI28" s="14">
        <f>IF('Données projet'!$A$62&gt;35,AI27+AH28-AQ27,IF(A28&lt;'Données projet'!$A$62,$AF$205^A28,IF(A28='Données projet'!$A$62,'Données projet'!$B$62,AI27+AH28-AQ27)))</f>
        <v>30</v>
      </c>
      <c r="AJ28" s="14">
        <f>AI28*VLOOKUP('Données projet'!$B$10,Paramètres!$A$1:$I$89,3,0)*VLOOKUP('Données projet'!$B$10,Paramètres!$A$1:$I$89,5,0)</f>
        <v>32.76</v>
      </c>
      <c r="AK28" s="14">
        <f t="shared" si="35"/>
        <v>10.057960571603429</v>
      </c>
      <c r="AL28" s="22">
        <f t="shared" si="4"/>
        <v>74.574614662209299</v>
      </c>
      <c r="AM28" s="62">
        <f t="shared" si="5"/>
        <v>367.9079479955426</v>
      </c>
      <c r="AN28" s="62">
        <f ca="1">AVERAGE(OFFSET($AM$3,0,0,'Données projet'!$E$10+1,1))-AVERAGE(OFFSET($H$3,0,0,'Données projet'!$E$10+1,1))</f>
        <v>224.31750842452965</v>
      </c>
      <c r="AO28" s="62">
        <f t="shared" si="36"/>
        <v>94.125825809616856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20.575714285714287</v>
      </c>
      <c r="N29" s="14">
        <f>IF('Données projet'!$A$36&gt;35,N28+M29-V28,IF(A29&lt;'Données projet'!$A$36,$K$205^A29,IF(A29='Données projet'!$A$36,'Données projet'!$B$36,N28+M29-V28)))</f>
        <v>212.30571428571429</v>
      </c>
      <c r="O29" s="14">
        <f>N29*VLOOKUP('Données projet'!$B$9,Paramètres!$A$1:$I$89,3,0)*VLOOKUP('Données projet'!$B$9,Paramètres!$A$1:$I$89,5,0)</f>
        <v>126.95881714285716</v>
      </c>
      <c r="P29" s="14">
        <f t="shared" si="33"/>
        <v>33.292666057268733</v>
      </c>
      <c r="Q29" s="22">
        <f t="shared" si="2"/>
        <v>279.10466657355261</v>
      </c>
      <c r="R29" s="62">
        <f t="shared" si="0"/>
        <v>572.43799990688592</v>
      </c>
      <c r="S29" s="62">
        <f ca="1">AVERAGE(OFFSET($R$3,0,0,'Données projet'!$E$9+1,1))-AVERAGE(OFFSET($H$3,0,0,'Données projet'!$E$9+1,1))</f>
        <v>234.60993819620847</v>
      </c>
      <c r="T29" s="62">
        <f t="shared" si="34"/>
        <v>346.26896655159095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22.125150984118456</v>
      </c>
      <c r="AA29" s="23">
        <f>EXP(-LN(2)/25)*AA28+(1-EXP(-LN(2)/25))/(LN(2)/25)*Calculateur!V29*Calculateur!X29*VLOOKUP('Données projet'!$B$9,Paramètres!$A$1:$I$89,3,0)*0.475*44/12</f>
        <v>14.491778148214939</v>
      </c>
      <c r="AB29" s="23">
        <f>EXP(-LN(2)/2)*AB28+(1-EXP(-LN(2)/2))/(LN(2)/2)*V29*Y29*VLOOKUP('Données projet'!$B$9,Paramètres!$A$1:$I$89,3,0)*0.475*44/12</f>
        <v>6.3060142038495268</v>
      </c>
      <c r="AC29" s="24">
        <f t="shared" si="3"/>
        <v>42.922943336182925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4.8</v>
      </c>
      <c r="AI29" s="14">
        <f>IF('Données projet'!$A$62&gt;35,AI28+AH29-AQ28,IF(A29&lt;'Données projet'!$A$62,$AF$205^A29,IF(A29='Données projet'!$A$62,'Données projet'!$B$62,AI28+AH29-AQ28)))</f>
        <v>34.799999999999997</v>
      </c>
      <c r="AJ29" s="14">
        <f>AI29*VLOOKUP('Données projet'!$B$10,Paramètres!$A$1:$I$89,3,0)*VLOOKUP('Données projet'!$B$10,Paramètres!$A$1:$I$89,5,0)</f>
        <v>38.001599999999996</v>
      </c>
      <c r="AK29" s="14">
        <f t="shared" si="35"/>
        <v>11.467401227090512</v>
      </c>
      <c r="AL29" s="22">
        <f t="shared" si="4"/>
        <v>86.158510470515964</v>
      </c>
      <c r="AM29" s="62">
        <f t="shared" si="5"/>
        <v>379.49184380384929</v>
      </c>
      <c r="AN29" s="62">
        <f ca="1">AVERAGE(OFFSET($AM$3,0,0,'Données projet'!$E$10+1,1))-AVERAGE(OFFSET($H$3,0,0,'Données projet'!$E$10+1,1))</f>
        <v>224.31750842452965</v>
      </c>
      <c r="AO29" s="62">
        <f t="shared" si="36"/>
        <v>94.125825809616856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20.575714285714287</v>
      </c>
      <c r="N30" s="14">
        <f>IF('Données projet'!$A$36&gt;35,N29+M30-V29,IF(A30&lt;'Données projet'!$A$36,$K$205^A30,IF(A30='Données projet'!$A$36,'Données projet'!$B$36,N29+M30-V29)))</f>
        <v>232.88142857142859</v>
      </c>
      <c r="O30" s="14">
        <f>N30*VLOOKUP('Données projet'!$B$9,Paramètres!$A$1:$I$89,3,0)*VLOOKUP('Données projet'!$B$9,Paramètres!$A$1:$I$89,5,0)</f>
        <v>139.26309428571432</v>
      </c>
      <c r="P30" s="14">
        <f t="shared" si="33"/>
        <v>36.128138927166717</v>
      </c>
      <c r="Q30" s="22">
        <f t="shared" si="2"/>
        <v>305.47306451243452</v>
      </c>
      <c r="R30" s="62">
        <f t="shared" si="0"/>
        <v>598.80639784576783</v>
      </c>
      <c r="S30" s="62">
        <f ca="1">AVERAGE(OFFSET($R$3,0,0,'Données projet'!$E$9+1,1))-AVERAGE(OFFSET($H$3,0,0,'Données projet'!$E$9+1,1))</f>
        <v>234.60993819620847</v>
      </c>
      <c r="T30" s="62">
        <f t="shared" si="34"/>
        <v>346.26896655159095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21.691290268329471</v>
      </c>
      <c r="AA30" s="23">
        <f>EXP(-LN(2)/25)*AA29+(1-EXP(-LN(2)/25))/(LN(2)/25)*Calculateur!V30*Calculateur!X30*VLOOKUP('Données projet'!$B$9,Paramètres!$A$1:$I$89,3,0)*0.475*44/12</f>
        <v>14.095499712662511</v>
      </c>
      <c r="AB30" s="23">
        <f>EXP(-LN(2)/2)*AB29+(1-EXP(-LN(2)/2))/(LN(2)/2)*V30*Y30*VLOOKUP('Données projet'!$B$9,Paramètres!$A$1:$I$89,3,0)*0.475*44/12</f>
        <v>4.4590254058006886</v>
      </c>
      <c r="AC30" s="24">
        <f t="shared" si="3"/>
        <v>40.245815386792671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4.8</v>
      </c>
      <c r="AI30" s="14">
        <f>IF('Données projet'!$A$62&gt;35,AI29+AH30-AQ29,IF(A30&lt;'Données projet'!$A$62,$AF$205^A30,IF(A30='Données projet'!$A$62,'Données projet'!$B$62,AI29+AH30-AQ29)))</f>
        <v>39.599999999999994</v>
      </c>
      <c r="AJ30" s="14">
        <f>AI30*VLOOKUP('Données projet'!$B$10,Paramètres!$A$1:$I$89,3,0)*VLOOKUP('Données projet'!$B$10,Paramètres!$A$1:$I$89,5,0)</f>
        <v>43.243199999999995</v>
      </c>
      <c r="AK30" s="14">
        <f t="shared" si="35"/>
        <v>12.854318437990981</v>
      </c>
      <c r="AL30" s="22">
        <f t="shared" si="4"/>
        <v>97.703177946167614</v>
      </c>
      <c r="AM30" s="62">
        <f t="shared" si="5"/>
        <v>391.03651127950093</v>
      </c>
      <c r="AN30" s="62">
        <f ca="1">AVERAGE(OFFSET($AM$3,0,0,'Données projet'!$E$10+1,1))-AVERAGE(OFFSET($H$3,0,0,'Données projet'!$E$10+1,1))</f>
        <v>224.31750842452965</v>
      </c>
      <c r="AO30" s="62">
        <f t="shared" si="36"/>
        <v>94.125825809616856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20.575714285714287</v>
      </c>
      <c r="N31" s="14">
        <f>IF('Données projet'!$A$36&gt;35,N30+M31-V30,IF(A31&lt;'Données projet'!$A$36,$K$205^A31,IF(A31='Données projet'!$A$36,'Données projet'!$B$36,N30+M31-V30)))</f>
        <v>253.45714285714288</v>
      </c>
      <c r="O31" s="14">
        <f>N31*VLOOKUP('Données projet'!$B$9,Paramètres!$A$1:$I$89,3,0)*VLOOKUP('Données projet'!$B$9,Paramètres!$A$1:$I$89,5,0)</f>
        <v>151.56737142857145</v>
      </c>
      <c r="P31" s="14">
        <f t="shared" si="33"/>
        <v>38.934560626064055</v>
      </c>
      <c r="Q31" s="22">
        <f t="shared" si="2"/>
        <v>331.79086499515682</v>
      </c>
      <c r="R31" s="62">
        <f t="shared" si="0"/>
        <v>625.12419832849014</v>
      </c>
      <c r="S31" s="62">
        <f ca="1">AVERAGE(OFFSET($R$3,0,0,'Données projet'!$E$9+1,1))-AVERAGE(OFFSET($H$3,0,0,'Données projet'!$E$9+1,1))</f>
        <v>234.60993819620847</v>
      </c>
      <c r="T31" s="62">
        <f t="shared" si="34"/>
        <v>346.26896655159095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21.265937296548202</v>
      </c>
      <c r="AA31" s="23">
        <f>EXP(-LN(2)/25)*AA30+(1-EXP(-LN(2)/25))/(LN(2)/25)*Calculateur!V31*Calculateur!X31*VLOOKUP('Données projet'!$B$9,Paramètres!$A$1:$I$89,3,0)*0.475*44/12</f>
        <v>13.710057531769641</v>
      </c>
      <c r="AB31" s="23">
        <f>EXP(-LN(2)/2)*AB30+(1-EXP(-LN(2)/2))/(LN(2)/2)*V31*Y31*VLOOKUP('Données projet'!$B$9,Paramètres!$A$1:$I$89,3,0)*0.475*44/12</f>
        <v>3.1530071019247639</v>
      </c>
      <c r="AC31" s="24">
        <f t="shared" si="3"/>
        <v>38.129001930242609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4.8</v>
      </c>
      <c r="AI31" s="14">
        <f>IF('Données projet'!$A$62&gt;35,AI30+AH31-AQ30,IF(A31&lt;'Données projet'!$A$62,$AF$205^A31,IF(A31='Données projet'!$A$62,'Données projet'!$B$62,AI30+AH31-AQ30)))</f>
        <v>44.399999999999991</v>
      </c>
      <c r="AJ31" s="14">
        <f>AI31*VLOOKUP('Données projet'!$B$10,Paramètres!$A$1:$I$89,3,0)*VLOOKUP('Données projet'!$B$10,Paramètres!$A$1:$I$89,5,0)</f>
        <v>48.484799999999986</v>
      </c>
      <c r="AK31" s="14">
        <f t="shared" si="35"/>
        <v>14.221754600605497</v>
      </c>
      <c r="AL31" s="22">
        <f t="shared" si="4"/>
        <v>109.21391592938788</v>
      </c>
      <c r="AM31" s="62">
        <f t="shared" si="5"/>
        <v>402.54724926272121</v>
      </c>
      <c r="AN31" s="62">
        <f ca="1">AVERAGE(OFFSET($AM$3,0,0,'Données projet'!$E$10+1,1))-AVERAGE(OFFSET($H$3,0,0,'Données projet'!$E$10+1,1))</f>
        <v>224.31750842452965</v>
      </c>
      <c r="AO31" s="62">
        <f t="shared" si="36"/>
        <v>94.125825809616856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20.575714285714287</v>
      </c>
      <c r="N32" s="14">
        <f>IF('Données projet'!$A$36&gt;35,N31+M32-V31,IF(A32&lt;'Données projet'!$A$36,$K$205^A32,IF(A32='Données projet'!$A$36,'Données projet'!$B$36,N31+M32-V31)))</f>
        <v>274.03285714285715</v>
      </c>
      <c r="O32" s="14">
        <f>N32*VLOOKUP('Données projet'!$B$9,Paramètres!$A$1:$I$89,3,0)*VLOOKUP('Données projet'!$B$9,Paramètres!$A$1:$I$89,5,0)</f>
        <v>163.87164857142858</v>
      </c>
      <c r="P32" s="14">
        <f t="shared" si="33"/>
        <v>41.714557659402736</v>
      </c>
      <c r="Q32" s="22">
        <f t="shared" si="2"/>
        <v>358.06264251869788</v>
      </c>
      <c r="R32" s="62">
        <f t="shared" si="0"/>
        <v>651.39597585203114</v>
      </c>
      <c r="S32" s="62">
        <f ca="1">AVERAGE(OFFSET($R$3,0,0,'Données projet'!$E$9+1,1))-AVERAGE(OFFSET($H$3,0,0,'Données projet'!$E$9+1,1))</f>
        <v>234.60993819620847</v>
      </c>
      <c r="T32" s="62">
        <f t="shared" si="34"/>
        <v>346.26896655159095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20.84892523710387</v>
      </c>
      <c r="AA32" s="23">
        <f>EXP(-LN(2)/25)*AA31+(1-EXP(-LN(2)/25))/(LN(2)/25)*Calculateur!V32*Calculateur!X32*VLOOKUP('Données projet'!$B$9,Paramètres!$A$1:$I$89,3,0)*0.475*44/12</f>
        <v>13.335155287582809</v>
      </c>
      <c r="AB32" s="23">
        <f>EXP(-LN(2)/2)*AB31+(1-EXP(-LN(2)/2))/(LN(2)/2)*V32*Y32*VLOOKUP('Données projet'!$B$9,Paramètres!$A$1:$I$89,3,0)*0.475*44/12</f>
        <v>2.2295127029003443</v>
      </c>
      <c r="AC32" s="24">
        <f t="shared" si="3"/>
        <v>36.413593227587022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4.8</v>
      </c>
      <c r="AI32" s="14">
        <f>IF('Données projet'!$A$62&gt;35,AI31+AH32-AQ31,IF(A32&lt;'Données projet'!$A$62,$AF$205^A32,IF(A32='Données projet'!$A$62,'Données projet'!$B$62,AI31+AH32-AQ31)))</f>
        <v>49.199999999999989</v>
      </c>
      <c r="AJ32" s="14">
        <f>AI32*VLOOKUP('Données projet'!$B$10,Paramètres!$A$1:$I$89,3,0)*VLOOKUP('Données projet'!$B$10,Paramètres!$A$1:$I$89,5,0)</f>
        <v>53.726399999999984</v>
      </c>
      <c r="AK32" s="14">
        <f t="shared" si="35"/>
        <v>15.572055859623617</v>
      </c>
      <c r="AL32" s="22">
        <f t="shared" si="4"/>
        <v>120.69481062217777</v>
      </c>
      <c r="AM32" s="62">
        <f t="shared" si="5"/>
        <v>414.0281439555111</v>
      </c>
      <c r="AN32" s="62">
        <f ca="1">AVERAGE(OFFSET($AM$3,0,0,'Données projet'!$E$10+1,1))-AVERAGE(OFFSET($H$3,0,0,'Données projet'!$E$10+1,1))</f>
        <v>224.31750842452965</v>
      </c>
      <c r="AO32" s="62">
        <f t="shared" si="36"/>
        <v>94.125825809616856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20.575714285714287</v>
      </c>
      <c r="N33" s="14">
        <f>IF('Données projet'!$A$36&gt;35,N32+M33-V32,IF(A33&lt;'Données projet'!$A$36,$K$205^A33,IF(A33='Données projet'!$A$36,'Données projet'!$B$36,N32+M33-V32)))</f>
        <v>294.60857142857145</v>
      </c>
      <c r="O33" s="14">
        <f>N33*VLOOKUP('Données projet'!$B$9,Paramètres!$A$1:$I$89,3,0)*VLOOKUP('Données projet'!$B$9,Paramètres!$A$1:$I$89,5,0)</f>
        <v>176.17592571428574</v>
      </c>
      <c r="P33" s="14">
        <f t="shared" si="33"/>
        <v>44.470339725943226</v>
      </c>
      <c r="Q33" s="22">
        <f t="shared" si="2"/>
        <v>384.29224564173211</v>
      </c>
      <c r="R33" s="62">
        <f t="shared" si="0"/>
        <v>677.62557897506542</v>
      </c>
      <c r="S33" s="62">
        <f ca="1">AVERAGE(OFFSET($R$3,0,0,'Données projet'!$E$9+1,1))-AVERAGE(OFFSET($H$3,0,0,'Données projet'!$E$9+1,1))</f>
        <v>234.60993819620847</v>
      </c>
      <c r="T33" s="62">
        <f t="shared" si="34"/>
        <v>346.26896655159095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20.440090529793</v>
      </c>
      <c r="AA33" s="23">
        <f>EXP(-LN(2)/25)*AA32+(1-EXP(-LN(2)/25))/(LN(2)/25)*Calculateur!V33*Calculateur!X33*VLOOKUP('Données projet'!$B$9,Paramètres!$A$1:$I$89,3,0)*0.475*44/12</f>
        <v>12.97050476497852</v>
      </c>
      <c r="AB33" s="23">
        <f>EXP(-LN(2)/2)*AB32+(1-EXP(-LN(2)/2))/(LN(2)/2)*V33*Y33*VLOOKUP('Données projet'!$B$9,Paramètres!$A$1:$I$89,3,0)*0.475*44/12</f>
        <v>1.5765035509623819</v>
      </c>
      <c r="AC33" s="24">
        <f t="shared" si="3"/>
        <v>34.987098845733897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54</v>
      </c>
      <c r="AG33" s="13">
        <f>VLOOKUP(A33,'Données projet'!$A$61:$I$81,9,0)</f>
        <v>4.8</v>
      </c>
      <c r="AH33" s="13">
        <f t="array" ref="AH33">INDEX(AG:AG,MIN(IF(ISNUMBER(AG33:AG229),ROW(AG33:AG229),"")))</f>
        <v>4.8</v>
      </c>
      <c r="AI33" s="14">
        <f>IF('Données projet'!$A$62&gt;35,AI32+AH33-AQ32,IF(A33&lt;'Données projet'!$A$62,$AF$205^A33,IF(A33='Données projet'!$A$62,'Données projet'!$B$62,AI32+AH33-AQ32)))</f>
        <v>53.999999999999986</v>
      </c>
      <c r="AJ33" s="14">
        <f>AI33*VLOOKUP('Données projet'!$B$10,Paramètres!$A$1:$I$89,3,0)*VLOOKUP('Données projet'!$B$10,Paramètres!$A$1:$I$89,5,0)</f>
        <v>58.967999999999989</v>
      </c>
      <c r="AK33" s="14">
        <f t="shared" si="35"/>
        <v>16.90708415297112</v>
      </c>
      <c r="AL33" s="22">
        <f t="shared" si="4"/>
        <v>132.14910489975802</v>
      </c>
      <c r="AM33" s="62">
        <f t="shared" si="5"/>
        <v>425.48243823309133</v>
      </c>
      <c r="AN33" s="62">
        <f ca="1">AVERAGE(OFFSET($AM$3,0,0,'Données projet'!$E$10+1,1))-AVERAGE(OFFSET($H$3,0,0,'Données projet'!$E$10+1,1))</f>
        <v>224.31750842452965</v>
      </c>
      <c r="AO33" s="62">
        <f t="shared" si="36"/>
        <v>94.125825809616856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20.575714285714287</v>
      </c>
      <c r="N34" s="14">
        <f>IF('Données projet'!$A$36&gt;35,N33+M34-V33,IF(A34&lt;'Données projet'!$A$36,$K$205^A34,IF(A34='Données projet'!$A$36,'Données projet'!$B$36,N33+M34-V33)))</f>
        <v>315.18428571428575</v>
      </c>
      <c r="O34" s="14">
        <f>N34*VLOOKUP('Données projet'!$B$9,Paramètres!$A$1:$I$89,3,0)*VLOOKUP('Données projet'!$B$9,Paramètres!$A$1:$I$89,5,0)</f>
        <v>188.4802028571429</v>
      </c>
      <c r="P34" s="14">
        <f t="shared" si="33"/>
        <v>47.203790390431891</v>
      </c>
      <c r="Q34" s="22">
        <f t="shared" si="2"/>
        <v>410.48295490619279</v>
      </c>
      <c r="R34" s="62">
        <f t="shared" si="0"/>
        <v>703.8162882395261</v>
      </c>
      <c r="S34" s="62">
        <f ca="1">AVERAGE(OFFSET($R$3,0,0,'Données projet'!$E$9+1,1))-AVERAGE(OFFSET($H$3,0,0,'Données projet'!$E$9+1,1))</f>
        <v>234.60993819620847</v>
      </c>
      <c r="T34" s="62">
        <f t="shared" si="34"/>
        <v>346.26896655159095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20.039272821727945</v>
      </c>
      <c r="AA34" s="23">
        <f>EXP(-LN(2)/25)*AA33+(1-EXP(-LN(2)/25))/(LN(2)/25)*Calculateur!V34*Calculateur!X34*VLOOKUP('Données projet'!$B$9,Paramètres!$A$1:$I$89,3,0)*0.475*44/12</f>
        <v>12.615825630090981</v>
      </c>
      <c r="AB34" s="23">
        <f>EXP(-LN(2)/2)*AB33+(1-EXP(-LN(2)/2))/(LN(2)/2)*V34*Y34*VLOOKUP('Données projet'!$B$9,Paramètres!$A$1:$I$89,3,0)*0.475*44/12</f>
        <v>1.1147563514501722</v>
      </c>
      <c r="AC34" s="24">
        <f t="shared" si="3"/>
        <v>33.769854803269105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</v>
      </c>
      <c r="AI34" s="14">
        <f>IF('Données projet'!$A$62&gt;35,AI33+AH34-AQ33,IF(A34&lt;'Données projet'!$A$62,$AF$205^A34,IF(A34='Données projet'!$A$62,'Données projet'!$B$62,AI33+AH34-AQ33)))</f>
        <v>58.999999999999986</v>
      </c>
      <c r="AJ34" s="14">
        <f>AI34*VLOOKUP('Données projet'!$B$10,Paramètres!$A$1:$I$89,3,0)*VLOOKUP('Données projet'!$B$10,Paramètres!$A$1:$I$89,5,0)</f>
        <v>64.427999999999983</v>
      </c>
      <c r="AK34" s="14">
        <f t="shared" si="35"/>
        <v>18.283124878638205</v>
      </c>
      <c r="AL34" s="22">
        <f t="shared" si="4"/>
        <v>144.05520916362818</v>
      </c>
      <c r="AM34" s="62">
        <f t="shared" si="5"/>
        <v>437.38854249696146</v>
      </c>
      <c r="AN34" s="62">
        <f ca="1">AVERAGE(OFFSET($AM$3,0,0,'Données projet'!$E$10+1,1))-AVERAGE(OFFSET($H$3,0,0,'Données projet'!$E$10+1,1))</f>
        <v>224.31750842452965</v>
      </c>
      <c r="AO34" s="62">
        <f t="shared" si="36"/>
        <v>94.125825809616856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>
        <f>VLOOKUP(A35,'Données projet'!$A$35:$I$55,2,0)</f>
        <v>335.76</v>
      </c>
      <c r="L35" s="13">
        <f>VLOOKUP(A35,'Données projet'!$A$35:$I$55,9,0)</f>
        <v>20.575714285714287</v>
      </c>
      <c r="M35" s="13">
        <f t="array" ref="M35">INDEX(L:L,MIN(IF(ISNUMBER(L35:L231),ROW(L35:L231),"")))</f>
        <v>20.575714285714287</v>
      </c>
      <c r="N35" s="14">
        <f>IF('Données projet'!$A$36&gt;35,N34+M35-V34,IF(A35&lt;'Données projet'!$A$36,$K$205^A35,IF(A35='Données projet'!$A$36,'Données projet'!$B$36,N34+M35-V34)))</f>
        <v>335.76000000000005</v>
      </c>
      <c r="O35" s="14">
        <f>N35*VLOOKUP('Données projet'!$B$9,Paramètres!$A$1:$I$89,3,0)*VLOOKUP('Données projet'!$B$9,Paramètres!$A$1:$I$89,5,0)</f>
        <v>200.78448000000006</v>
      </c>
      <c r="P35" s="14">
        <f t="shared" si="33"/>
        <v>49.916533385625819</v>
      </c>
      <c r="Q35" s="22">
        <f t="shared" ref="Q35:Q66" si="53">(O35+P35)*0.475*44/12</f>
        <v>436.63759831329838</v>
      </c>
      <c r="R35" s="62">
        <f t="shared" si="0"/>
        <v>729.9709316466317</v>
      </c>
      <c r="S35" s="62">
        <f ca="1">AVERAGE(OFFSET($R$3,0,0,'Données projet'!$E$9+1,1))-AVERAGE(OFFSET($H$3,0,0,'Données projet'!$E$9+1,1))</f>
        <v>234.60993819620847</v>
      </c>
      <c r="T35" s="62">
        <f t="shared" si="34"/>
        <v>346.26896655159095</v>
      </c>
      <c r="U35" s="16">
        <f>IF(ISNA(VLOOKUP(A35,'Données projet'!$A$35:$I$55,3,0)),0,VLOOKUP(A35,'Données projet'!$A$35:$I$55,3,0))</f>
        <v>4</v>
      </c>
      <c r="V35" s="16">
        <f>IF(ISNA(VLOOKUP(A35,'Données projet'!$A$35:$I$55,4,0)),0,VLOOKUP(A35,'Données projet'!$A$35:$I$55,4,0))</f>
        <v>76.42</v>
      </c>
      <c r="W35" s="17">
        <f>IF(ISNA(VLOOKUP(A35,'Données projet'!$A$35:$I$55,5,0)),0%,VLOOKUP(A35,'Données projet'!$A$35:$I$55,5,0)*VLOOKUP('Données projet'!$B$9,Paramètres!$A$1:$I$89,7,0))</f>
        <v>0.36000000000000004</v>
      </c>
      <c r="X35" s="17">
        <f>IF(ISNA(VLOOKUP(A35,'Données projet'!$A$35:$I$55,6,0)),0%,VLOOKUP(A35,'Données projet'!$A$35:$I$55,6,0)*VLOOKUP('Données projet'!$B$9,Paramètres!$A$1:$I$89,7,0))</f>
        <v>4.9500000000000002E-2</v>
      </c>
      <c r="Y35" s="17">
        <f>IF(ISNA(VLOOKUP(A35,'Données projet'!$A$35:$I$55,7,0)),0%,VLOOKUP(A35,'Données projet'!$A$35:$I$55,7,0))</f>
        <v>0.09</v>
      </c>
      <c r="Z35" s="23">
        <f>EXP(-LN(2)/35)*Z34+(1-EXP(-LN(2)/35))/(LN(2)/35)*V35*W35*VLOOKUP('Données projet'!$B$9,Paramètres!$A$1:$I$89,3,0)*0.475*44/12</f>
        <v>41.470552172243387</v>
      </c>
      <c r="AA35" s="23">
        <f>EXP(-LN(2)/25)*AA34+(1-EXP(-LN(2)/25))/(LN(2)/25)*Calculateur!V35*Calculateur!X35*VLOOKUP('Données projet'!$B$9,Paramètres!$A$1:$I$89,3,0)*0.475*44/12</f>
        <v>15.259862417672378</v>
      </c>
      <c r="AB35" s="23">
        <f>EXP(-LN(2)/2)*AB34+(1-EXP(-LN(2)/2))/(LN(2)/2)*V35*Y35*VLOOKUP('Données projet'!$B$9,Paramètres!$A$1:$I$89,3,0)*0.475*44/12</f>
        <v>5.4450376184458529</v>
      </c>
      <c r="AC35" s="24">
        <f t="shared" si="3"/>
        <v>62.175452208361619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</v>
      </c>
      <c r="AI35" s="14">
        <f>IF('Données projet'!$A$62&gt;35,AI34+AH35-AQ34,IF(A35&lt;'Données projet'!$A$62,$AF$205^A35,IF(A35='Données projet'!$A$62,'Données projet'!$B$62,AI34+AH35-AQ34)))</f>
        <v>63.999999999999986</v>
      </c>
      <c r="AJ35" s="14">
        <f>AI35*VLOOKUP('Données projet'!$B$10,Paramètres!$A$1:$I$89,3,0)*VLOOKUP('Données projet'!$B$10,Paramètres!$A$1:$I$89,5,0)</f>
        <v>69.887999999999991</v>
      </c>
      <c r="AK35" s="14">
        <f t="shared" si="35"/>
        <v>19.645641432461961</v>
      </c>
      <c r="AL35" s="22">
        <f t="shared" si="4"/>
        <v>155.93775882820455</v>
      </c>
      <c r="AM35" s="62">
        <f t="shared" si="5"/>
        <v>449.27109216153787</v>
      </c>
      <c r="AN35" s="62">
        <f ca="1">AVERAGE(OFFSET($AM$3,0,0,'Données projet'!$E$10+1,1))-AVERAGE(OFFSET($H$3,0,0,'Données projet'!$E$10+1,1))</f>
        <v>224.31750842452965</v>
      </c>
      <c r="AO35" s="62">
        <f t="shared" si="36"/>
        <v>94.125825809616856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18.811538461538461</v>
      </c>
      <c r="N36" s="14">
        <f>IF('Données projet'!$A$36&gt;35,N35+M36-V35,IF(A36&lt;'Données projet'!$A$36,$K$205^A36,IF(A36='Données projet'!$A$36,'Données projet'!$B$36,N35+M36-V35)))</f>
        <v>278.15153846153851</v>
      </c>
      <c r="O36" s="14">
        <f>N36*VLOOKUP('Données projet'!$B$9,Paramètres!$A$1:$I$89,3,0)*VLOOKUP('Données projet'!$B$9,Paramètres!$A$1:$I$89,5,0)</f>
        <v>166.33462000000006</v>
      </c>
      <c r="P36" s="14">
        <f t="shared" si="33"/>
        <v>42.26806189712719</v>
      </c>
      <c r="Q36" s="22">
        <f t="shared" si="53"/>
        <v>363.31633763749659</v>
      </c>
      <c r="R36" s="62">
        <f t="shared" si="0"/>
        <v>656.6496709708299</v>
      </c>
      <c r="S36" s="62">
        <f ca="1">AVERAGE(OFFSET($R$3,0,0,'Données projet'!$E$9+1,1))-AVERAGE(OFFSET($H$3,0,0,'Données projet'!$E$9+1,1))</f>
        <v>234.60993819620847</v>
      </c>
      <c r="T36" s="62">
        <f t="shared" si="34"/>
        <v>346.26896655159095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40.657339938684892</v>
      </c>
      <c r="AA36" s="23">
        <f>EXP(-LN(2)/25)*AA35+(1-EXP(-LN(2)/25))/(LN(2)/25)*Calculateur!V36*Calculateur!X36*VLOOKUP('Données projet'!$B$9,Paramètres!$A$1:$I$89,3,0)*0.475*44/12</f>
        <v>14.842580677379839</v>
      </c>
      <c r="AB36" s="23">
        <f>EXP(-LN(2)/2)*AB35+(1-EXP(-LN(2)/2))/(LN(2)/2)*V36*Y36*VLOOKUP('Données projet'!$B$9,Paramètres!$A$1:$I$89,3,0)*0.475*44/12</f>
        <v>3.8502230238189119</v>
      </c>
      <c r="AC36" s="24">
        <f t="shared" si="3"/>
        <v>59.35014363988364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</v>
      </c>
      <c r="AI36" s="14">
        <f>IF('Données projet'!$A$62&gt;35,AI35+AH36-AQ35,IF(A36&lt;'Données projet'!$A$62,$AF$205^A36,IF(A36='Données projet'!$A$62,'Données projet'!$B$62,AI35+AH36-AQ35)))</f>
        <v>68.999999999999986</v>
      </c>
      <c r="AJ36" s="14">
        <f>AI36*VLOOKUP('Données projet'!$B$10,Paramètres!$A$1:$I$89,3,0)*VLOOKUP('Données projet'!$B$10,Paramètres!$A$1:$I$89,5,0)</f>
        <v>75.347999999999985</v>
      </c>
      <c r="AK36" s="14">
        <f t="shared" si="35"/>
        <v>20.99581051771704</v>
      </c>
      <c r="AL36" s="22">
        <f t="shared" si="4"/>
        <v>167.79880331835713</v>
      </c>
      <c r="AM36" s="62">
        <f t="shared" si="5"/>
        <v>461.13213665169042</v>
      </c>
      <c r="AN36" s="62">
        <f ca="1">AVERAGE(OFFSET($AM$3,0,0,'Données projet'!$E$10+1,1))-AVERAGE(OFFSET($H$3,0,0,'Données projet'!$E$10+1,1))</f>
        <v>224.31750842452965</v>
      </c>
      <c r="AO36" s="62">
        <f t="shared" si="36"/>
        <v>94.125825809616856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18.811538461538461</v>
      </c>
      <c r="N37" s="14">
        <f>IF('Données projet'!$A$36&gt;35,N36+M37-V36,IF(A37&lt;'Données projet'!$A$36,$K$205^A37,IF(A37='Données projet'!$A$36,'Données projet'!$B$36,N36+M37-V36)))</f>
        <v>296.96307692307698</v>
      </c>
      <c r="O37" s="14">
        <f>N37*VLOOKUP('Données projet'!$B$9,Paramètres!$A$1:$I$89,3,0)*VLOOKUP('Données projet'!$B$9,Paramètres!$A$1:$I$89,5,0)</f>
        <v>177.58392000000006</v>
      </c>
      <c r="P37" s="14">
        <f t="shared" si="33"/>
        <v>44.784230847088935</v>
      </c>
      <c r="Q37" s="22">
        <f t="shared" si="53"/>
        <v>387.29119605868004</v>
      </c>
      <c r="R37" s="62">
        <f t="shared" si="0"/>
        <v>680.6245293920133</v>
      </c>
      <c r="S37" s="62">
        <f ca="1">AVERAGE(OFFSET($R$3,0,0,'Données projet'!$E$9+1,1))-AVERAGE(OFFSET($H$3,0,0,'Données projet'!$E$9+1,1))</f>
        <v>234.60993819620847</v>
      </c>
      <c r="T37" s="62">
        <f t="shared" si="34"/>
        <v>346.26896655159095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39.860074301015992</v>
      </c>
      <c r="AA37" s="23">
        <f>EXP(-LN(2)/25)*AA36+(1-EXP(-LN(2)/25))/(LN(2)/25)*Calculateur!V37*Calculateur!X37*VLOOKUP('Données projet'!$B$9,Paramètres!$A$1:$I$89,3,0)*0.475*44/12</f>
        <v>14.436709528219493</v>
      </c>
      <c r="AB37" s="23">
        <f>EXP(-LN(2)/2)*AB36+(1-EXP(-LN(2)/2))/(LN(2)/2)*V37*Y37*VLOOKUP('Données projet'!$B$9,Paramètres!$A$1:$I$89,3,0)*0.475*44/12</f>
        <v>2.7225188092229269</v>
      </c>
      <c r="AC37" s="24">
        <f t="shared" si="3"/>
        <v>57.019302638458413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</v>
      </c>
      <c r="AI37" s="14">
        <f>IF('Données projet'!$A$62&gt;35,AI36+AH37-AQ36,IF(A37&lt;'Données projet'!$A$62,$AF$205^A37,IF(A37='Données projet'!$A$62,'Données projet'!$B$62,AI36+AH37-AQ36)))</f>
        <v>73.999999999999986</v>
      </c>
      <c r="AJ37" s="14">
        <f>AI37*VLOOKUP('Données projet'!$B$10,Paramètres!$A$1:$I$89,3,0)*VLOOKUP('Données projet'!$B$10,Paramètres!$A$1:$I$89,5,0)</f>
        <v>80.807999999999993</v>
      </c>
      <c r="AK37" s="14">
        <f t="shared" si="35"/>
        <v>22.334628633536209</v>
      </c>
      <c r="AL37" s="22">
        <f t="shared" si="4"/>
        <v>179.64007820340888</v>
      </c>
      <c r="AM37" s="62">
        <f t="shared" si="5"/>
        <v>472.97341153674222</v>
      </c>
      <c r="AN37" s="62">
        <f ca="1">AVERAGE(OFFSET($AM$3,0,0,'Données projet'!$E$10+1,1))-AVERAGE(OFFSET($H$3,0,0,'Données projet'!$E$10+1,1))</f>
        <v>224.31750842452965</v>
      </c>
      <c r="AO37" s="62">
        <f t="shared" si="36"/>
        <v>94.125825809616856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18.811538461538461</v>
      </c>
      <c r="N38" s="14">
        <f>IF('Données projet'!$A$36&gt;35,N37+M38-V37,IF(A38&lt;'Données projet'!$A$36,$K$205^A38,IF(A38='Données projet'!$A$36,'Données projet'!$B$36,N37+M38-V37)))</f>
        <v>315.77461538461546</v>
      </c>
      <c r="O38" s="14">
        <f>N38*VLOOKUP('Données projet'!$B$9,Paramètres!$A$1:$I$89,3,0)*VLOOKUP('Données projet'!$B$9,Paramètres!$A$1:$I$89,5,0)</f>
        <v>188.83322000000004</v>
      </c>
      <c r="P38" s="14">
        <f t="shared" si="33"/>
        <v>47.281901952869688</v>
      </c>
      <c r="Q38" s="22">
        <f t="shared" si="53"/>
        <v>411.23383740124814</v>
      </c>
      <c r="R38" s="62">
        <f t="shared" si="0"/>
        <v>704.5671707345814</v>
      </c>
      <c r="S38" s="62">
        <f ca="1">AVERAGE(OFFSET($R$3,0,0,'Données projet'!$E$9+1,1))-AVERAGE(OFFSET($H$3,0,0,'Données projet'!$E$9+1,1))</f>
        <v>234.60993819620847</v>
      </c>
      <c r="T38" s="62">
        <f t="shared" si="34"/>
        <v>346.26896655159095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39.078442556217759</v>
      </c>
      <c r="AA38" s="23">
        <f>EXP(-LN(2)/25)*AA37+(1-EXP(-LN(2)/25))/(LN(2)/25)*Calculateur!V38*Calculateur!X38*VLOOKUP('Données projet'!$B$9,Paramètres!$A$1:$I$89,3,0)*0.475*44/12</f>
        <v>14.041936946976772</v>
      </c>
      <c r="AB38" s="23">
        <f>EXP(-LN(2)/2)*AB37+(1-EXP(-LN(2)/2))/(LN(2)/2)*V38*Y38*VLOOKUP('Données projet'!$B$9,Paramètres!$A$1:$I$89,3,0)*0.475*44/12</f>
        <v>1.9251115119094562</v>
      </c>
      <c r="AC38" s="24">
        <f t="shared" si="3"/>
        <v>55.045491015103984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79</v>
      </c>
      <c r="AG38" s="13">
        <f>VLOOKUP(A38,'Données projet'!$A$61:$I$81,9,0)</f>
        <v>5</v>
      </c>
      <c r="AH38" s="13">
        <f t="array" ref="AH38">INDEX(AG:AG,MIN(IF(ISNUMBER(AG38:AG234),ROW(AG38:AG234),"")))</f>
        <v>5</v>
      </c>
      <c r="AI38" s="14">
        <f>IF('Données projet'!$A$62&gt;35,AI37+AH38-AQ37,IF(A38&lt;'Données projet'!$A$62,$AF$205^A38,IF(A38='Données projet'!$A$62,'Données projet'!$B$62,AI37+AH38-AQ37)))</f>
        <v>78.999999999999986</v>
      </c>
      <c r="AJ38" s="14">
        <f>AI38*VLOOKUP('Données projet'!$B$10,Paramètres!$A$1:$I$89,3,0)*VLOOKUP('Données projet'!$B$10,Paramètres!$A$1:$I$89,5,0)</f>
        <v>86.267999999999986</v>
      </c>
      <c r="AK38" s="14">
        <f t="shared" si="35"/>
        <v>23.662949996567708</v>
      </c>
      <c r="AL38" s="22">
        <f t="shared" si="4"/>
        <v>191.46307124402202</v>
      </c>
      <c r="AM38" s="62">
        <f t="shared" si="5"/>
        <v>484.79640457735536</v>
      </c>
      <c r="AN38" s="62">
        <f ca="1">AVERAGE(OFFSET($AM$3,0,0,'Données projet'!$E$10+1,1))-AVERAGE(OFFSET($H$3,0,0,'Données projet'!$E$10+1,1))</f>
        <v>224.31750842452965</v>
      </c>
      <c r="AO38" s="62">
        <f t="shared" si="36"/>
        <v>94.125825809616856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13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18.811538461538461</v>
      </c>
      <c r="N39" s="14">
        <f>IF('Données projet'!$A$36&gt;35,N38+M39-V38,IF(A39&lt;'Données projet'!$A$36,$K$205^A39,IF(A39='Données projet'!$A$36,'Données projet'!$B$36,N38+M39-V38)))</f>
        <v>334.58615384615393</v>
      </c>
      <c r="O39" s="14">
        <f>N39*VLOOKUP('Données projet'!$B$9,Paramètres!$A$1:$I$89,3,0)*VLOOKUP('Données projet'!$B$9,Paramètres!$A$1:$I$89,5,0)</f>
        <v>200.08252000000007</v>
      </c>
      <c r="P39" s="14">
        <f t="shared" si="33"/>
        <v>49.762302688326976</v>
      </c>
      <c r="Q39" s="22">
        <f t="shared" si="53"/>
        <v>435.14639951550294</v>
      </c>
      <c r="R39" s="62">
        <f t="shared" si="0"/>
        <v>728.47973284883619</v>
      </c>
      <c r="S39" s="62">
        <f ca="1">AVERAGE(OFFSET($R$3,0,0,'Données projet'!$E$9+1,1))-AVERAGE(OFFSET($H$3,0,0,'Données projet'!$E$9+1,1))</f>
        <v>234.60993819620847</v>
      </c>
      <c r="T39" s="62">
        <f t="shared" si="34"/>
        <v>346.26896655159095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38.312138133186728</v>
      </c>
      <c r="AA39" s="23">
        <f>EXP(-LN(2)/25)*AA38+(1-EXP(-LN(2)/25))/(LN(2)/25)*Calculateur!V39*Calculateur!X39*VLOOKUP('Données projet'!$B$9,Paramètres!$A$1:$I$89,3,0)*0.475*44/12</f>
        <v>13.657959442728322</v>
      </c>
      <c r="AB39" s="23">
        <f>EXP(-LN(2)/2)*AB38+(1-EXP(-LN(2)/2))/(LN(2)/2)*V39*Y39*VLOOKUP('Données projet'!$B$9,Paramètres!$A$1:$I$89,3,0)*0.475*44/12</f>
        <v>1.3612594046114637</v>
      </c>
      <c r="AC39" s="24">
        <f t="shared" si="3"/>
        <v>53.331356980526515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5.4</v>
      </c>
      <c r="AI39" s="14">
        <f>IF('Données projet'!$A$62&gt;35,AI38+AH39-AQ38,IF(A39&lt;'Données projet'!$A$62,$AF$205^A39,IF(A39='Données projet'!$A$62,'Données projet'!$B$62,AI38+AH39-AQ38)))</f>
        <v>71.399999999999991</v>
      </c>
      <c r="AJ39" s="14">
        <f>AI39*VLOOKUP('Données projet'!$B$10,Paramètres!$A$1:$I$89,3,0)*VLOOKUP('Données projet'!$B$10,Paramètres!$A$1:$I$89,5,0)</f>
        <v>77.968799999999987</v>
      </c>
      <c r="AK39" s="14">
        <f t="shared" si="35"/>
        <v>21.63980425794859</v>
      </c>
      <c r="AL39" s="22">
        <f t="shared" si="4"/>
        <v>173.48498574926043</v>
      </c>
      <c r="AM39" s="62">
        <f t="shared" si="5"/>
        <v>466.81831908259375</v>
      </c>
      <c r="AN39" s="62">
        <f ca="1">AVERAGE(OFFSET($AM$3,0,0,'Données projet'!$E$10+1,1))-AVERAGE(OFFSET($H$3,0,0,'Données projet'!$E$10+1,1))</f>
        <v>224.31750842452965</v>
      </c>
      <c r="AO39" s="62">
        <f t="shared" si="36"/>
        <v>94.125825809616856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18.811538461538461</v>
      </c>
      <c r="N40" s="14">
        <f>IF('Données projet'!$A$36&gt;35,N39+M40-V39,IF(A40&lt;'Données projet'!$A$36,$K$205^A40,IF(A40='Données projet'!$A$36,'Données projet'!$B$36,N39+M40-V39)))</f>
        <v>353.39769230769241</v>
      </c>
      <c r="O40" s="14">
        <f>N40*VLOOKUP('Données projet'!$B$9,Paramètres!$A$1:$I$89,3,0)*VLOOKUP('Données projet'!$B$9,Paramètres!$A$1:$I$89,5,0)</f>
        <v>211.33182000000008</v>
      </c>
      <c r="P40" s="14">
        <f t="shared" si="33"/>
        <v>52.226514706347821</v>
      </c>
      <c r="Q40" s="22">
        <f t="shared" si="53"/>
        <v>459.03076628022262</v>
      </c>
      <c r="R40" s="62">
        <f t="shared" si="0"/>
        <v>752.36409961355594</v>
      </c>
      <c r="S40" s="62">
        <f ca="1">AVERAGE(OFFSET($R$3,0,0,'Données projet'!$E$9+1,1))-AVERAGE(OFFSET($H$3,0,0,'Données projet'!$E$9+1,1))</f>
        <v>234.60993819620847</v>
      </c>
      <c r="T40" s="62">
        <f t="shared" si="34"/>
        <v>346.26896655159095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37.56086047249179</v>
      </c>
      <c r="AA40" s="23">
        <f>EXP(-LN(2)/25)*AA39+(1-EXP(-LN(2)/25))/(LN(2)/25)*Calculateur!V40*Calculateur!X40*VLOOKUP('Données projet'!$B$9,Paramètres!$A$1:$I$89,3,0)*0.475*44/12</f>
        <v>13.284481823526043</v>
      </c>
      <c r="AB40" s="23">
        <f>EXP(-LN(2)/2)*AB39+(1-EXP(-LN(2)/2))/(LN(2)/2)*V40*Y40*VLOOKUP('Données projet'!$B$9,Paramètres!$A$1:$I$89,3,0)*0.475*44/12</f>
        <v>0.96255575595472831</v>
      </c>
      <c r="AC40" s="24">
        <f t="shared" si="3"/>
        <v>51.807898051972565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5.4</v>
      </c>
      <c r="AI40" s="14">
        <f>IF('Données projet'!$A$62&gt;35,AI39+AH40-AQ39,IF(A40&lt;'Données projet'!$A$62,$AF$205^A40,IF(A40='Données projet'!$A$62,'Données projet'!$B$62,AI39+AH40-AQ39)))</f>
        <v>76.8</v>
      </c>
      <c r="AJ40" s="14">
        <f>AI40*VLOOKUP('Données projet'!$B$10,Paramètres!$A$1:$I$89,3,0)*VLOOKUP('Données projet'!$B$10,Paramètres!$A$1:$I$89,5,0)</f>
        <v>83.865600000000001</v>
      </c>
      <c r="AK40" s="14">
        <f t="shared" si="35"/>
        <v>23.079732033574274</v>
      </c>
      <c r="AL40" s="22">
        <f t="shared" si="4"/>
        <v>186.26311995847519</v>
      </c>
      <c r="AM40" s="62">
        <f t="shared" si="5"/>
        <v>479.59645329180853</v>
      </c>
      <c r="AN40" s="62">
        <f ca="1">AVERAGE(OFFSET($AM$3,0,0,'Données projet'!$E$10+1,1))-AVERAGE(OFFSET($H$3,0,0,'Données projet'!$E$10+1,1))</f>
        <v>224.31750842452965</v>
      </c>
      <c r="AO40" s="62">
        <f t="shared" si="36"/>
        <v>94.125825809616856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18.811538461538461</v>
      </c>
      <c r="N41" s="14">
        <f>IF('Données projet'!$A$36&gt;35,N40+M41-V40,IF(A41&lt;'Données projet'!$A$36,$K$205^A41,IF(A41='Données projet'!$A$36,'Données projet'!$B$36,N40+M41-V40)))</f>
        <v>372.20923076923089</v>
      </c>
      <c r="O41" s="14">
        <f>N41*VLOOKUP('Données projet'!$B$9,Paramètres!$A$1:$I$89,3,0)*VLOOKUP('Données projet'!$B$9,Paramètres!$A$1:$I$89,5,0)</f>
        <v>222.58112000000008</v>
      </c>
      <c r="P41" s="14">
        <f t="shared" si="33"/>
        <v>54.675498002213622</v>
      </c>
      <c r="Q41" s="22">
        <f t="shared" si="53"/>
        <v>482.88860968718888</v>
      </c>
      <c r="R41" s="62">
        <f t="shared" si="0"/>
        <v>776.22194302052219</v>
      </c>
      <c r="S41" s="62">
        <f ca="1">AVERAGE(OFFSET($R$3,0,0,'Données projet'!$E$9+1,1))-AVERAGE(OFFSET($H$3,0,0,'Données projet'!$E$9+1,1))</f>
        <v>234.60993819620847</v>
      </c>
      <c r="T41" s="62">
        <f t="shared" si="34"/>
        <v>346.26896655159095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36.824314908488951</v>
      </c>
      <c r="AA41" s="23">
        <f>EXP(-LN(2)/25)*AA40+(1-EXP(-LN(2)/25))/(LN(2)/25)*Calculateur!V41*Calculateur!X41*VLOOKUP('Données projet'!$B$9,Paramètres!$A$1:$I$89,3,0)*0.475*44/12</f>
        <v>12.921216969461186</v>
      </c>
      <c r="AB41" s="23">
        <f>EXP(-LN(2)/2)*AB40+(1-EXP(-LN(2)/2))/(LN(2)/2)*V41*Y41*VLOOKUP('Données projet'!$B$9,Paramètres!$A$1:$I$89,3,0)*0.475*44/12</f>
        <v>0.68062970230573194</v>
      </c>
      <c r="AC41" s="24">
        <f t="shared" si="3"/>
        <v>50.426161580255865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5.4</v>
      </c>
      <c r="AI41" s="14">
        <f>IF('Données projet'!$A$62&gt;35,AI40+AH41-AQ40,IF(A41&lt;'Données projet'!$A$62,$AF$205^A41,IF(A41='Données projet'!$A$62,'Données projet'!$B$62,AI40+AH41-AQ40)))</f>
        <v>82.2</v>
      </c>
      <c r="AJ41" s="14">
        <f>AI41*VLOOKUP('Données projet'!$B$10,Paramètres!$A$1:$I$89,3,0)*VLOOKUP('Données projet'!$B$10,Paramètres!$A$1:$I$89,5,0)</f>
        <v>89.7624</v>
      </c>
      <c r="AK41" s="14">
        <f t="shared" si="35"/>
        <v>24.507912782090678</v>
      </c>
      <c r="AL41" s="22">
        <f t="shared" si="4"/>
        <v>199.02079476214126</v>
      </c>
      <c r="AM41" s="62">
        <f t="shared" si="5"/>
        <v>492.35412809547461</v>
      </c>
      <c r="AN41" s="62">
        <f ca="1">AVERAGE(OFFSET($AM$3,0,0,'Données projet'!$E$10+1,1))-AVERAGE(OFFSET($H$3,0,0,'Données projet'!$E$10+1,1))</f>
        <v>224.31750842452965</v>
      </c>
      <c r="AO41" s="62">
        <f t="shared" si="36"/>
        <v>94.125825809616856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18.811538461538461</v>
      </c>
      <c r="N42" s="14">
        <f>IF('Données projet'!$A$36&gt;35,N41+M42-V41,IF(A42&lt;'Données projet'!$A$36,$K$205^A42,IF(A42='Données projet'!$A$36,'Données projet'!$B$36,N41+M42-V41)))</f>
        <v>391.02076923076936</v>
      </c>
      <c r="O42" s="14">
        <f>N42*VLOOKUP('Données projet'!$B$9,Paramètres!$A$1:$I$89,3,0)*VLOOKUP('Données projet'!$B$9,Paramètres!$A$1:$I$89,5,0)</f>
        <v>233.83042000000009</v>
      </c>
      <c r="P42" s="14">
        <f t="shared" si="33"/>
        <v>57.11011005315418</v>
      </c>
      <c r="Q42" s="22">
        <f t="shared" si="53"/>
        <v>506.72142317591027</v>
      </c>
      <c r="R42" s="62">
        <f t="shared" si="0"/>
        <v>800.05475650924359</v>
      </c>
      <c r="S42" s="62">
        <f ca="1">AVERAGE(OFFSET($R$3,0,0,'Données projet'!$E$9+1,1))-AVERAGE(OFFSET($H$3,0,0,'Données projet'!$E$9+1,1))</f>
        <v>234.60993819620847</v>
      </c>
      <c r="T42" s="62">
        <f t="shared" si="34"/>
        <v>346.26896655159095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36.102212553747776</v>
      </c>
      <c r="AA42" s="23">
        <f>EXP(-LN(2)/25)*AA41+(1-EXP(-LN(2)/25))/(LN(2)/25)*Calculateur!V42*Calculateur!X42*VLOOKUP('Données projet'!$B$9,Paramètres!$A$1:$I$89,3,0)*0.475*44/12</f>
        <v>12.567885611934001</v>
      </c>
      <c r="AB42" s="23">
        <f>EXP(-LN(2)/2)*AB41+(1-EXP(-LN(2)/2))/(LN(2)/2)*V42*Y42*VLOOKUP('Données projet'!$B$9,Paramètres!$A$1:$I$89,3,0)*0.475*44/12</f>
        <v>0.48127787797736421</v>
      </c>
      <c r="AC42" s="24">
        <f t="shared" si="3"/>
        <v>49.151376043659141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5.4</v>
      </c>
      <c r="AI42" s="14">
        <f>IF('Données projet'!$A$62&gt;35,AI41+AH42-AQ41,IF(A42&lt;'Données projet'!$A$62,$AF$205^A42,IF(A42='Données projet'!$A$62,'Données projet'!$B$62,AI41+AH42-AQ41)))</f>
        <v>87.600000000000009</v>
      </c>
      <c r="AJ42" s="14">
        <f>AI42*VLOOKUP('Données projet'!$B$10,Paramètres!$A$1:$I$89,3,0)*VLOOKUP('Données projet'!$B$10,Paramètres!$A$1:$I$89,5,0)</f>
        <v>95.659199999999998</v>
      </c>
      <c r="AK42" s="14">
        <f t="shared" si="35"/>
        <v>25.92520602338745</v>
      </c>
      <c r="AL42" s="22">
        <f t="shared" si="4"/>
        <v>211.75950715739978</v>
      </c>
      <c r="AM42" s="62">
        <f t="shared" si="5"/>
        <v>505.09284049073312</v>
      </c>
      <c r="AN42" s="62">
        <f ca="1">AVERAGE(OFFSET($AM$3,0,0,'Données projet'!$E$10+1,1))-AVERAGE(OFFSET($H$3,0,0,'Données projet'!$E$10+1,1))</f>
        <v>224.31750842452965</v>
      </c>
      <c r="AO42" s="62">
        <f t="shared" si="36"/>
        <v>94.125825809616856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18.811538461538461</v>
      </c>
      <c r="N43" s="14">
        <f>IF('Données projet'!$A$36&gt;35,N42+M43-V42,IF(A43&lt;'Données projet'!$A$36,$K$205^A43,IF(A43='Données projet'!$A$36,'Données projet'!$B$36,N42+M43-V42)))</f>
        <v>409.83230769230784</v>
      </c>
      <c r="O43" s="14">
        <f>N43*VLOOKUP('Données projet'!$B$9,Paramètres!$A$1:$I$89,3,0)*VLOOKUP('Données projet'!$B$9,Paramètres!$A$1:$I$89,5,0)</f>
        <v>245.07972000000012</v>
      </c>
      <c r="P43" s="14">
        <f t="shared" si="33"/>
        <v>59.531121170362454</v>
      </c>
      <c r="Q43" s="22">
        <f t="shared" si="53"/>
        <v>530.53054837171476</v>
      </c>
      <c r="R43" s="62">
        <f t="shared" si="0"/>
        <v>823.86388170504802</v>
      </c>
      <c r="S43" s="62">
        <f ca="1">AVERAGE(OFFSET($R$3,0,0,'Données projet'!$E$9+1,1))-AVERAGE(OFFSET($H$3,0,0,'Données projet'!$E$9+1,1))</f>
        <v>234.60993819620847</v>
      </c>
      <c r="T43" s="62">
        <f t="shared" si="34"/>
        <v>346.26896655159095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35.394270185744126</v>
      </c>
      <c r="AA43" s="23">
        <f>EXP(-LN(2)/25)*AA42+(1-EXP(-LN(2)/25))/(LN(2)/25)*Calculateur!V43*Calculateur!X43*VLOOKUP('Données projet'!$B$9,Paramètres!$A$1:$I$89,3,0)*0.475*44/12</f>
        <v>12.224216118959285</v>
      </c>
      <c r="AB43" s="23">
        <f>EXP(-LN(2)/2)*AB42+(1-EXP(-LN(2)/2))/(LN(2)/2)*V43*Y43*VLOOKUP('Données projet'!$B$9,Paramètres!$A$1:$I$89,3,0)*0.475*44/12</f>
        <v>0.34031485115286603</v>
      </c>
      <c r="AC43" s="24">
        <f t="shared" si="3"/>
        <v>47.958801155856278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93</v>
      </c>
      <c r="AG43" s="13">
        <f>VLOOKUP(A43,'Données projet'!$A$61:$I$81,9,0)</f>
        <v>5.4</v>
      </c>
      <c r="AH43" s="13">
        <f t="array" ref="AH43">INDEX(AG:AG,MIN(IF(ISNUMBER(AG43:AG239),ROW(AG43:AG239),"")))</f>
        <v>5.4</v>
      </c>
      <c r="AI43" s="14">
        <f>IF('Données projet'!$A$62&gt;35,AI42+AH43-AQ42,IF(A43&lt;'Données projet'!$A$62,$AF$205^A43,IF(A43='Données projet'!$A$62,'Données projet'!$B$62,AI42+AH43-AQ42)))</f>
        <v>93.000000000000014</v>
      </c>
      <c r="AJ43" s="14">
        <f>AI43*VLOOKUP('Données projet'!$B$10,Paramètres!$A$1:$I$89,3,0)*VLOOKUP('Données projet'!$B$10,Paramètres!$A$1:$I$89,5,0)</f>
        <v>101.55600000000001</v>
      </c>
      <c r="AK43" s="14">
        <f t="shared" si="35"/>
        <v>27.332359320696909</v>
      </c>
      <c r="AL43" s="22">
        <f t="shared" si="4"/>
        <v>224.48055915021379</v>
      </c>
      <c r="AM43" s="62">
        <f t="shared" si="5"/>
        <v>517.81389248354708</v>
      </c>
      <c r="AN43" s="62">
        <f ca="1">AVERAGE(OFFSET($AM$3,0,0,'Données projet'!$E$10+1,1))-AVERAGE(OFFSET($H$3,0,0,'Données projet'!$E$10+1,1))</f>
        <v>224.31750842452965</v>
      </c>
      <c r="AO43" s="62">
        <f t="shared" si="36"/>
        <v>94.125825809616856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14</v>
      </c>
      <c r="AR43" s="17">
        <f>IF(ISNA(VLOOKUP(A43,'Données projet'!$A$61:$I$81,5,0)),0%,VLOOKUP(A43,'Données projet'!$A$61:$I$81,5,0)*VLOOKUP('Données projet'!$B$10,Paramètres!$A$1:$I$89,7,0))</f>
        <v>8.6000000000000007E-2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1.453437079957778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1.453437079957778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18.811538461538461</v>
      </c>
      <c r="N44" s="14">
        <f>IF('Données projet'!$A$36&gt;35,N43+M44-V43,IF(A44&lt;'Données projet'!$A$36,$K$205^A44,IF(A44='Données projet'!$A$36,'Données projet'!$B$36,N43+M44-V43)))</f>
        <v>428.64384615384631</v>
      </c>
      <c r="O44" s="14">
        <f>N44*VLOOKUP('Données projet'!$B$9,Paramètres!$A$1:$I$89,3,0)*VLOOKUP('Données projet'!$B$9,Paramètres!$A$1:$I$89,5,0)</f>
        <v>256.32902000000013</v>
      </c>
      <c r="P44" s="14">
        <f t="shared" si="33"/>
        <v>61.939226952630833</v>
      </c>
      <c r="Q44" s="22">
        <f t="shared" si="53"/>
        <v>554.31719677583226</v>
      </c>
      <c r="R44" s="62">
        <f t="shared" si="0"/>
        <v>847.65053010916563</v>
      </c>
      <c r="S44" s="62">
        <f ca="1">AVERAGE(OFFSET($R$3,0,0,'Données projet'!$E$9+1,1))-AVERAGE(OFFSET($H$3,0,0,'Données projet'!$E$9+1,1))</f>
        <v>234.60993819620847</v>
      </c>
      <c r="T44" s="62">
        <f t="shared" si="34"/>
        <v>346.26896655159095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34.700210135774824</v>
      </c>
      <c r="AA44" s="23">
        <f>EXP(-LN(2)/25)*AA43+(1-EXP(-LN(2)/25))/(LN(2)/25)*Calculateur!V44*Calculateur!X44*VLOOKUP('Données projet'!$B$9,Paramètres!$A$1:$I$89,3,0)*0.475*44/12</f>
        <v>11.889944286342757</v>
      </c>
      <c r="AB44" s="23">
        <f>EXP(-LN(2)/2)*AB43+(1-EXP(-LN(2)/2))/(LN(2)/2)*V44*Y44*VLOOKUP('Données projet'!$B$9,Paramètres!$A$1:$I$89,3,0)*0.475*44/12</f>
        <v>0.24063893898868213</v>
      </c>
      <c r="AC44" s="24">
        <f t="shared" si="3"/>
        <v>46.830793361106259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5.6</v>
      </c>
      <c r="AI44" s="14">
        <f>IF('Données projet'!$A$62&gt;35,AI43+AH44-AQ43,IF(A44&lt;'Données projet'!$A$62,$AF$205^A44,IF(A44='Données projet'!$A$62,'Données projet'!$B$62,AI43+AH44-AQ43)))</f>
        <v>84.600000000000009</v>
      </c>
      <c r="AJ44" s="14">
        <f>AI44*VLOOKUP('Données projet'!$B$10,Paramètres!$A$1:$I$89,3,0)*VLOOKUP('Données projet'!$B$10,Paramètres!$A$1:$I$89,5,0)</f>
        <v>92.383200000000002</v>
      </c>
      <c r="AK44" s="14">
        <f t="shared" si="35"/>
        <v>25.13911825557507</v>
      </c>
      <c r="AL44" s="22">
        <f t="shared" si="4"/>
        <v>204.68470429512658</v>
      </c>
      <c r="AM44" s="62">
        <f t="shared" si="5"/>
        <v>498.01803762845987</v>
      </c>
      <c r="AN44" s="62">
        <f ca="1">AVERAGE(OFFSET($AM$3,0,0,'Données projet'!$E$10+1,1))-AVERAGE(OFFSET($H$3,0,0,'Données projet'!$E$10+1,1))</f>
        <v>224.31750842452965</v>
      </c>
      <c r="AO44" s="62">
        <f t="shared" si="36"/>
        <v>94.125825809616856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1.4249360653288894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1.4249360653288894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18.811538461538461</v>
      </c>
      <c r="N45" s="14">
        <f>IF('Données projet'!$A$36&gt;35,N44+M45-V44,IF(A45&lt;'Données projet'!$A$36,$K$205^A45,IF(A45='Données projet'!$A$36,'Données projet'!$B$36,N44+M45-V44)))</f>
        <v>447.45538461538479</v>
      </c>
      <c r="O45" s="14">
        <f>N45*VLOOKUP('Données projet'!$B$9,Paramètres!$A$1:$I$89,3,0)*VLOOKUP('Données projet'!$B$9,Paramètres!$A$1:$I$89,5,0)</f>
        <v>267.57832000000013</v>
      </c>
      <c r="P45" s="14">
        <f t="shared" si="33"/>
        <v>64.335058492109823</v>
      </c>
      <c r="Q45" s="22">
        <f t="shared" si="53"/>
        <v>578.08246754042477</v>
      </c>
      <c r="R45" s="62">
        <f t="shared" si="0"/>
        <v>871.41580087375814</v>
      </c>
      <c r="S45" s="62">
        <f ca="1">AVERAGE(OFFSET($R$3,0,0,'Données projet'!$E$9+1,1))-AVERAGE(OFFSET($H$3,0,0,'Données projet'!$E$9+1,1))</f>
        <v>234.60993819620847</v>
      </c>
      <c r="T45" s="62">
        <f t="shared" si="34"/>
        <v>346.26896655159095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34.019760180050589</v>
      </c>
      <c r="AA45" s="23">
        <f>EXP(-LN(2)/25)*AA44+(1-EXP(-LN(2)/25))/(LN(2)/25)*Calculateur!V45*Calculateur!X45*VLOOKUP('Données projet'!$B$9,Paramètres!$A$1:$I$89,3,0)*0.475*44/12</f>
        <v>11.56481313456772</v>
      </c>
      <c r="AB45" s="23">
        <f>EXP(-LN(2)/2)*AB44+(1-EXP(-LN(2)/2))/(LN(2)/2)*V45*Y45*VLOOKUP('Données projet'!$B$9,Paramètres!$A$1:$I$89,3,0)*0.475*44/12</f>
        <v>0.17015742557643304</v>
      </c>
      <c r="AC45" s="24">
        <f t="shared" si="3"/>
        <v>45.754730740194745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5.6</v>
      </c>
      <c r="AI45" s="14">
        <f>IF('Données projet'!$A$62&gt;35,AI44+AH45-AQ44,IF(A45&lt;'Données projet'!$A$62,$AF$205^A45,IF(A45='Données projet'!$A$62,'Données projet'!$B$62,AI44+AH45-AQ44)))</f>
        <v>90.2</v>
      </c>
      <c r="AJ45" s="14">
        <f>AI45*VLOOKUP('Données projet'!$B$10,Paramètres!$A$1:$I$89,3,0)*VLOOKUP('Données projet'!$B$10,Paramètres!$A$1:$I$89,5,0)</f>
        <v>98.498400000000004</v>
      </c>
      <c r="AK45" s="14">
        <f t="shared" si="35"/>
        <v>26.603947657691648</v>
      </c>
      <c r="AL45" s="22">
        <f t="shared" si="4"/>
        <v>217.88658883714629</v>
      </c>
      <c r="AM45" s="62">
        <f t="shared" si="5"/>
        <v>511.21992217047961</v>
      </c>
      <c r="AN45" s="62">
        <f ca="1">AVERAGE(OFFSET($AM$3,0,0,'Données projet'!$E$10+1,1))-AVERAGE(OFFSET($H$3,0,0,'Données projet'!$E$10+1,1))</f>
        <v>224.31750842452965</v>
      </c>
      <c r="AO45" s="62">
        <f t="shared" si="36"/>
        <v>94.125825809616856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1.3969939382129708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1.3969939382129708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18.811538461538461</v>
      </c>
      <c r="N46" s="14">
        <f>IF('Données projet'!$A$36&gt;35,N45+M46-V45,IF(A46&lt;'Données projet'!$A$36,$K$205^A46,IF(A46='Données projet'!$A$36,'Données projet'!$B$36,N45+M46-V45)))</f>
        <v>466.26692307692326</v>
      </c>
      <c r="O46" s="14">
        <f>N46*VLOOKUP('Données projet'!$B$9,Paramètres!$A$1:$I$89,3,0)*VLOOKUP('Données projet'!$B$9,Paramètres!$A$1:$I$89,5,0)</f>
        <v>278.82762000000014</v>
      </c>
      <c r="P46" s="14">
        <f t="shared" si="33"/>
        <v>66.719190815445643</v>
      </c>
      <c r="Q46" s="22">
        <f t="shared" si="53"/>
        <v>601.82736217023478</v>
      </c>
      <c r="R46" s="62">
        <f t="shared" si="0"/>
        <v>895.16069550356815</v>
      </c>
      <c r="S46" s="62">
        <f ca="1">AVERAGE(OFFSET($R$3,0,0,'Données projet'!$E$9+1,1))-AVERAGE(OFFSET($H$3,0,0,'Données projet'!$E$9+1,1))</f>
        <v>234.60993819620847</v>
      </c>
      <c r="T46" s="62">
        <f t="shared" si="34"/>
        <v>346.26896655159095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33.352653432924612</v>
      </c>
      <c r="AA46" s="23">
        <f>EXP(-LN(2)/25)*AA45+(1-EXP(-LN(2)/25))/(LN(2)/25)*Calculateur!V46*Calculateur!X46*VLOOKUP('Données projet'!$B$9,Paramètres!$A$1:$I$89,3,0)*0.475*44/12</f>
        <v>11.248572711235875</v>
      </c>
      <c r="AB46" s="23">
        <f>EXP(-LN(2)/2)*AB45+(1-EXP(-LN(2)/2))/(LN(2)/2)*V46*Y46*VLOOKUP('Données projet'!$B$9,Paramètres!$A$1:$I$89,3,0)*0.475*44/12</f>
        <v>0.12031946949434109</v>
      </c>
      <c r="AC46" s="24">
        <f t="shared" si="3"/>
        <v>44.721545613654826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5.6</v>
      </c>
      <c r="AI46" s="14">
        <f>IF('Données projet'!$A$62&gt;35,AI45+AH46-AQ45,IF(A46&lt;'Données projet'!$A$62,$AF$205^A46,IF(A46='Données projet'!$A$62,'Données projet'!$B$62,AI45+AH46-AQ45)))</f>
        <v>95.8</v>
      </c>
      <c r="AJ46" s="14">
        <f>AI46*VLOOKUP('Données projet'!$B$10,Paramètres!$A$1:$I$89,3,0)*VLOOKUP('Données projet'!$B$10,Paramètres!$A$1:$I$89,5,0)</f>
        <v>104.61359999999999</v>
      </c>
      <c r="AK46" s="14">
        <f t="shared" si="35"/>
        <v>28.058222314271017</v>
      </c>
      <c r="AL46" s="22">
        <f t="shared" si="4"/>
        <v>231.07009053068865</v>
      </c>
      <c r="AM46" s="62">
        <f t="shared" si="5"/>
        <v>524.40342386402199</v>
      </c>
      <c r="AN46" s="62">
        <f ca="1">AVERAGE(OFFSET($AM$3,0,0,'Données projet'!$E$10+1,1))-AVERAGE(OFFSET($H$3,0,0,'Données projet'!$E$10+1,1))</f>
        <v>224.31750842452965</v>
      </c>
      <c r="AO46" s="62">
        <f t="shared" si="36"/>
        <v>94.125825809616856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1.3695997391667807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1.3695997391667807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18.811538461538461</v>
      </c>
      <c r="N47" s="14">
        <f>IF('Données projet'!$A$36&gt;35,N46+M47-V46,IF(A47&lt;'Données projet'!$A$36,$K$205^A47,IF(A47='Données projet'!$A$36,'Données projet'!$B$36,N46+M47-V46)))</f>
        <v>485.07846153846174</v>
      </c>
      <c r="O47" s="14">
        <f>N47*VLOOKUP('Données projet'!$B$9,Paramètres!$A$1:$I$89,3,0)*VLOOKUP('Données projet'!$B$9,Paramètres!$A$1:$I$89,5,0)</f>
        <v>290.07692000000014</v>
      </c>
      <c r="P47" s="14">
        <f t="shared" si="33"/>
        <v>69.092149924334223</v>
      </c>
      <c r="Q47" s="22">
        <f t="shared" si="53"/>
        <v>625.55279678488239</v>
      </c>
      <c r="R47" s="62">
        <f t="shared" si="0"/>
        <v>918.88613011821576</v>
      </c>
      <c r="S47" s="62">
        <f ca="1">AVERAGE(OFFSET($R$3,0,0,'Données projet'!$E$9+1,1))-AVERAGE(OFFSET($H$3,0,0,'Données projet'!$E$9+1,1))</f>
        <v>234.60993819620847</v>
      </c>
      <c r="T47" s="62">
        <f t="shared" si="34"/>
        <v>346.26896655159095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32.698628242214838</v>
      </c>
      <c r="AA47" s="23">
        <f>EXP(-LN(2)/25)*AA46+(1-EXP(-LN(2)/25))/(LN(2)/25)*Calculateur!V47*Calculateur!X47*VLOOKUP('Données projet'!$B$9,Paramètres!$A$1:$I$89,3,0)*0.475*44/12</f>
        <v>10.940979898910401</v>
      </c>
      <c r="AB47" s="23">
        <f>EXP(-LN(2)/2)*AB46+(1-EXP(-LN(2)/2))/(LN(2)/2)*V47*Y47*VLOOKUP('Données projet'!$B$9,Paramètres!$A$1:$I$89,3,0)*0.475*44/12</f>
        <v>8.5078712788216534E-2</v>
      </c>
      <c r="AC47" s="24">
        <f t="shared" si="3"/>
        <v>43.724686853913454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5.6</v>
      </c>
      <c r="AI47" s="14">
        <f>IF('Données projet'!$A$62&gt;35,AI46+AH47-AQ46,IF(A47&lt;'Données projet'!$A$62,$AF$205^A47,IF(A47='Données projet'!$A$62,'Données projet'!$B$62,AI46+AH47-AQ46)))</f>
        <v>101.39999999999999</v>
      </c>
      <c r="AJ47" s="14">
        <f>AI47*VLOOKUP('Données projet'!$B$10,Paramètres!$A$1:$I$89,3,0)*VLOOKUP('Données projet'!$B$10,Paramètres!$A$1:$I$89,5,0)</f>
        <v>110.72879999999999</v>
      </c>
      <c r="AK47" s="14">
        <f t="shared" si="35"/>
        <v>29.502629487670664</v>
      </c>
      <c r="AL47" s="22">
        <f t="shared" si="4"/>
        <v>244.23640635769303</v>
      </c>
      <c r="AM47" s="62">
        <f t="shared" si="5"/>
        <v>537.56973969102637</v>
      </c>
      <c r="AN47" s="62">
        <f ca="1">AVERAGE(OFFSET($AM$3,0,0,'Données projet'!$E$10+1,1))-AVERAGE(OFFSET($H$3,0,0,'Données projet'!$E$10+1,1))</f>
        <v>224.31750842452965</v>
      </c>
      <c r="AO47" s="62">
        <f t="shared" si="36"/>
        <v>94.125825809616856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1.3427427236550746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1.3427427236550746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503.89</v>
      </c>
      <c r="L48" s="13">
        <f>VLOOKUP(A48,'Données projet'!$A$35:$I$55,9,0)</f>
        <v>18.811538461538461</v>
      </c>
      <c r="M48" s="13">
        <f t="array" ref="M48">INDEX(L:L,MIN(IF(ISNUMBER(L48:L244),ROW(L48:L244),"")))</f>
        <v>18.811538461538461</v>
      </c>
      <c r="N48" s="14">
        <f>IF('Données projet'!$A$36&gt;35,N47+M48-V47,IF(A48&lt;'Données projet'!$A$36,$K$205^A48,IF(A48='Données projet'!$A$36,'Données projet'!$B$36,N47+M48-V47)))</f>
        <v>503.89000000000021</v>
      </c>
      <c r="O48" s="14">
        <f>N48*VLOOKUP('Données projet'!$B$9,Paramètres!$A$1:$I$89,3,0)*VLOOKUP('Données projet'!$B$9,Paramètres!$A$1:$I$89,5,0)</f>
        <v>301.32622000000015</v>
      </c>
      <c r="P48" s="14">
        <f t="shared" si="33"/>
        <v>71.45441871320989</v>
      </c>
      <c r="Q48" s="22">
        <f t="shared" si="53"/>
        <v>649.25961242550738</v>
      </c>
      <c r="R48" s="62">
        <f t="shared" si="0"/>
        <v>942.59294575884064</v>
      </c>
      <c r="S48" s="62">
        <f ca="1">AVERAGE(OFFSET($R$3,0,0,'Données projet'!$E$9+1,1))-AVERAGE(OFFSET($H$3,0,0,'Données projet'!$E$9+1,1))</f>
        <v>234.60993819620847</v>
      </c>
      <c r="T48" s="62">
        <f t="shared" si="34"/>
        <v>346.26896655159095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503.89</v>
      </c>
      <c r="W48" s="17">
        <f>IF(ISNA(VLOOKUP(A48,'Données projet'!$A$35:$I$55,5,0)),0%,VLOOKUP(A48,'Données projet'!$A$35:$I$55,5,0)*VLOOKUP('Données projet'!$B$9,Paramètres!$A$1:$I$89,7,0))</f>
        <v>0.40500000000000003</v>
      </c>
      <c r="X48" s="17">
        <f>IF(ISNA(VLOOKUP(A48,'Données projet'!$A$35:$I$55,6,0)),0%,VLOOKUP(A48,'Données projet'!$A$35:$I$55,6,0)*VLOOKUP('Données projet'!$B$9,Paramètres!$A$1:$I$89,7,0))</f>
        <v>2.7E-2</v>
      </c>
      <c r="Y48" s="17">
        <f>IF(ISNA(VLOOKUP(A48,'Données projet'!$A$35:$I$55,7,0)),0%,VLOOKUP(A48,'Données projet'!$A$35:$I$55,7,0))</f>
        <v>0.04</v>
      </c>
      <c r="Z48" s="23">
        <f>EXP(-LN(2)/35)*Z47+(1-EXP(-LN(2)/35))/(LN(2)/35)*V48*W48*VLOOKUP('Données projet'!$B$9,Paramètres!$A$1:$I$89,3,0)*0.475*44/12</f>
        <v>193.94753252888071</v>
      </c>
      <c r="AA48" s="23">
        <f>EXP(-LN(2)/25)*AA47+(1-EXP(-LN(2)/25))/(LN(2)/25)*Calculateur!V48*Calculateur!X48*VLOOKUP('Données projet'!$B$9,Paramètres!$A$1:$I$89,3,0)*0.475*44/12</f>
        <v>21.391976989290015</v>
      </c>
      <c r="AB48" s="23">
        <f>EXP(-LN(2)/2)*AB47+(1-EXP(-LN(2)/2))/(LN(2)/2)*V48*Y48*VLOOKUP('Données projet'!$B$9,Paramètres!$A$1:$I$89,3,0)*0.475*44/12</f>
        <v>13.707010869769784</v>
      </c>
      <c r="AC48" s="24">
        <f t="shared" si="3"/>
        <v>229.04652038794052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107</v>
      </c>
      <c r="AG48" s="13">
        <f>VLOOKUP(A48,'Données projet'!$A$61:$I$81,9,0)</f>
        <v>5.6</v>
      </c>
      <c r="AH48" s="13">
        <f t="array" ref="AH48">INDEX(AG:AG,MIN(IF(ISNUMBER(AG48:AG244),ROW(AG48:AG244),"")))</f>
        <v>5.6</v>
      </c>
      <c r="AI48" s="14">
        <f>IF('Données projet'!$A$62&gt;35,AI47+AH48-AQ47,IF(A48&lt;'Données projet'!$A$62,$AF$205^A48,IF(A48='Données projet'!$A$62,'Données projet'!$B$62,AI47+AH48-AQ47)))</f>
        <v>106.99999999999999</v>
      </c>
      <c r="AJ48" s="14">
        <f>AI48*VLOOKUP('Données projet'!$B$10,Paramètres!$A$1:$I$89,3,0)*VLOOKUP('Données projet'!$B$10,Paramètres!$A$1:$I$89,5,0)</f>
        <v>116.84399999999999</v>
      </c>
      <c r="AK48" s="14">
        <f t="shared" si="35"/>
        <v>30.93777624229395</v>
      </c>
      <c r="AL48" s="22">
        <f t="shared" si="4"/>
        <v>257.3865936219953</v>
      </c>
      <c r="AM48" s="62">
        <f t="shared" si="5"/>
        <v>550.71992695532867</v>
      </c>
      <c r="AN48" s="62">
        <f ca="1">AVERAGE(OFFSET($AM$3,0,0,'Données projet'!$E$10+1,1))-AVERAGE(OFFSET($H$3,0,0,'Données projet'!$E$10+1,1))</f>
        <v>224.31750842452965</v>
      </c>
      <c r="AO48" s="62">
        <f t="shared" si="36"/>
        <v>94.125825809616856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14</v>
      </c>
      <c r="AR48" s="17">
        <f>IF(ISNA(VLOOKUP(A48,'Données projet'!$A$61:$I$81,5,0)),0%,VLOOKUP(A48,'Données projet'!$A$61:$I$81,5,0)*VLOOKUP('Données projet'!$B$10,Paramètres!$A$1:$I$89,7,0))</f>
        <v>8.6000000000000007E-2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2.7698494377941696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2.7698494377941696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2.2737367544323206E-13</v>
      </c>
      <c r="O49" s="14">
        <f>N49*VLOOKUP('Données projet'!$B$9,Paramètres!$A$1:$I$89,3,0)*VLOOKUP('Données projet'!$B$9,Paramètres!$A$1:$I$89,5,0)</f>
        <v>1.3596945791505279E-13</v>
      </c>
      <c r="P49" s="14">
        <f t="shared" si="33"/>
        <v>1.9708830566360721E-12</v>
      </c>
      <c r="Q49" s="22">
        <f t="shared" si="53"/>
        <v>3.669434796176543E-12</v>
      </c>
      <c r="R49" s="62">
        <f t="shared" si="0"/>
        <v>293.33333333333701</v>
      </c>
      <c r="S49" s="62">
        <f ca="1">AVERAGE(OFFSET($R$3,0,0,'Données projet'!$E$9+1,1))-AVERAGE(OFFSET($H$3,0,0,'Données projet'!$E$9+1,1))</f>
        <v>234.60993819620847</v>
      </c>
      <c r="T49" s="62">
        <f t="shared" si="34"/>
        <v>346.26896655159095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190.14433971230341</v>
      </c>
      <c r="AA49" s="23">
        <f>EXP(-LN(2)/25)*AA48+(1-EXP(-LN(2)/25))/(LN(2)/25)*Calculateur!V49*Calculateur!X49*VLOOKUP('Données projet'!$B$9,Paramètres!$A$1:$I$89,3,0)*0.475*44/12</f>
        <v>20.8070122535627</v>
      </c>
      <c r="AB49" s="23">
        <f>EXP(-LN(2)/2)*AB48+(1-EXP(-LN(2)/2))/(LN(2)/2)*V49*Y49*VLOOKUP('Données projet'!$B$9,Paramètres!$A$1:$I$89,3,0)*0.475*44/12</f>
        <v>9.6923203358119316</v>
      </c>
      <c r="AC49" s="24">
        <f t="shared" si="3"/>
        <v>220.64367230167804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5.6</v>
      </c>
      <c r="AI49" s="14">
        <f>IF('Données projet'!$A$62&gt;35,AI48+AH49-AQ48,IF(A49&lt;'Données projet'!$A$62,$AF$205^A49,IF(A49='Données projet'!$A$62,'Données projet'!$B$62,AI48+AH49-AQ48)))</f>
        <v>98.59999999999998</v>
      </c>
      <c r="AJ49" s="14">
        <f>AI49*VLOOKUP('Données projet'!$B$10,Paramètres!$A$1:$I$89,3,0)*VLOOKUP('Données projet'!$B$10,Paramètres!$A$1:$I$89,5,0)</f>
        <v>107.67119999999997</v>
      </c>
      <c r="AK49" s="14">
        <f t="shared" si="35"/>
        <v>28.781619683258381</v>
      </c>
      <c r="AL49" s="22">
        <f t="shared" si="4"/>
        <v>237.6553276150083</v>
      </c>
      <c r="AM49" s="62">
        <f t="shared" si="5"/>
        <v>530.98866094834159</v>
      </c>
      <c r="AN49" s="62">
        <f ca="1">AVERAGE(OFFSET($AM$3,0,0,'Données projet'!$E$10+1,1))-AVERAGE(OFFSET($H$3,0,0,'Données projet'!$E$10+1,1))</f>
        <v>224.31750842452965</v>
      </c>
      <c r="AO49" s="62">
        <f t="shared" si="36"/>
        <v>94.125825809616856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2.7155343797603644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2.7155343797603644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2.2737367544323206E-13</v>
      </c>
      <c r="O50" s="14">
        <f>N50*VLOOKUP('Données projet'!$B$9,Paramètres!$A$1:$I$89,3,0)*VLOOKUP('Données projet'!$B$9,Paramètres!$A$1:$I$89,5,0)</f>
        <v>1.3596945791505279E-13</v>
      </c>
      <c r="P50" s="14">
        <f t="shared" si="33"/>
        <v>1.9708830566360721E-12</v>
      </c>
      <c r="Q50" s="22">
        <f t="shared" si="53"/>
        <v>3.669434796176543E-12</v>
      </c>
      <c r="R50" s="62">
        <f t="shared" si="0"/>
        <v>293.33333333333701</v>
      </c>
      <c r="S50" s="62">
        <f ca="1">AVERAGE(OFFSET($R$3,0,0,'Données projet'!$E$9+1,1))-AVERAGE(OFFSET($H$3,0,0,'Données projet'!$E$9+1,1))</f>
        <v>234.60993819620847</v>
      </c>
      <c r="T50" s="62">
        <f t="shared" si="34"/>
        <v>346.26896655159095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186.41572518714062</v>
      </c>
      <c r="AA50" s="23">
        <f>EXP(-LN(2)/25)*AA49+(1-EXP(-LN(2)/25))/(LN(2)/25)*Calculateur!V50*Calculateur!X50*VLOOKUP('Données projet'!$B$9,Paramètres!$A$1:$I$89,3,0)*0.475*44/12</f>
        <v>20.238043409295809</v>
      </c>
      <c r="AB50" s="23">
        <f>EXP(-LN(2)/2)*AB49+(1-EXP(-LN(2)/2))/(LN(2)/2)*V50*Y50*VLOOKUP('Données projet'!$B$9,Paramètres!$A$1:$I$89,3,0)*0.475*44/12</f>
        <v>6.8535054348848927</v>
      </c>
      <c r="AC50" s="24">
        <f t="shared" si="3"/>
        <v>213.50727403132132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5.6</v>
      </c>
      <c r="AI50" s="14">
        <f>IF('Données projet'!$A$62&gt;35,AI49+AH50-AQ49,IF(A50&lt;'Données projet'!$A$62,$AF$205^A50,IF(A50='Données projet'!$A$62,'Données projet'!$B$62,AI49+AH50-AQ49)))</f>
        <v>104.19999999999997</v>
      </c>
      <c r="AJ50" s="14">
        <f>AI50*VLOOKUP('Données projet'!$B$10,Paramètres!$A$1:$I$89,3,0)*VLOOKUP('Données projet'!$B$10,Paramètres!$A$1:$I$89,5,0)</f>
        <v>113.78639999999997</v>
      </c>
      <c r="AK50" s="14">
        <f t="shared" si="35"/>
        <v>30.221325231185819</v>
      </c>
      <c r="AL50" s="22">
        <f t="shared" si="4"/>
        <v>250.81345477764856</v>
      </c>
      <c r="AM50" s="62">
        <f t="shared" si="5"/>
        <v>544.1467881109819</v>
      </c>
      <c r="AN50" s="62">
        <f ca="1">AVERAGE(OFFSET($AM$3,0,0,'Données projet'!$E$10+1,1))-AVERAGE(OFFSET($H$3,0,0,'Données projet'!$E$10+1,1))</f>
        <v>224.31750842452965</v>
      </c>
      <c r="AO50" s="62">
        <f t="shared" si="36"/>
        <v>94.125825809616856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2.6622844068856879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2.6622844068856879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2.2737367544323206E-13</v>
      </c>
      <c r="O51" s="14">
        <f>N51*VLOOKUP('Données projet'!$B$9,Paramètres!$A$1:$I$89,3,0)*VLOOKUP('Données projet'!$B$9,Paramètres!$A$1:$I$89,5,0)</f>
        <v>1.3596945791505279E-13</v>
      </c>
      <c r="P51" s="14">
        <f t="shared" si="33"/>
        <v>1.9708830566360721E-12</v>
      </c>
      <c r="Q51" s="22">
        <f t="shared" si="53"/>
        <v>3.669434796176543E-12</v>
      </c>
      <c r="R51" s="62">
        <f t="shared" si="0"/>
        <v>293.33333333333701</v>
      </c>
      <c r="S51" s="62">
        <f ca="1">AVERAGE(OFFSET($R$3,0,0,'Données projet'!$E$9+1,1))-AVERAGE(OFFSET($H$3,0,0,'Données projet'!$E$9+1,1))</f>
        <v>234.60993819620847</v>
      </c>
      <c r="T51" s="62">
        <f t="shared" si="34"/>
        <v>346.26896655159095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182.76022651858599</v>
      </c>
      <c r="AA51" s="23">
        <f>EXP(-LN(2)/25)*AA50+(1-EXP(-LN(2)/25))/(LN(2)/25)*Calculateur!V51*Calculateur!X51*VLOOKUP('Données projet'!$B$9,Paramètres!$A$1:$I$89,3,0)*0.475*44/12</f>
        <v>19.684633047996169</v>
      </c>
      <c r="AB51" s="23">
        <f>EXP(-LN(2)/2)*AB50+(1-EXP(-LN(2)/2))/(LN(2)/2)*V51*Y51*VLOOKUP('Données projet'!$B$9,Paramètres!$A$1:$I$89,3,0)*0.475*44/12</f>
        <v>4.8461601679059667</v>
      </c>
      <c r="AC51" s="24">
        <f t="shared" si="3"/>
        <v>207.29101973448812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5.6</v>
      </c>
      <c r="AI51" s="14">
        <f>IF('Données projet'!$A$62&gt;35,AI50+AH51-AQ50,IF(A51&lt;'Données projet'!$A$62,$AF$205^A51,IF(A51='Données projet'!$A$62,'Données projet'!$B$62,AI50+AH51-AQ50)))</f>
        <v>109.79999999999997</v>
      </c>
      <c r="AJ51" s="14">
        <f>AI51*VLOOKUP('Données projet'!$B$10,Paramètres!$A$1:$I$89,3,0)*VLOOKUP('Données projet'!$B$10,Paramètres!$A$1:$I$89,5,0)</f>
        <v>119.90159999999996</v>
      </c>
      <c r="AK51" s="14">
        <f t="shared" si="35"/>
        <v>31.652048014425507</v>
      </c>
      <c r="AL51" s="22">
        <f t="shared" si="4"/>
        <v>263.9559369584577</v>
      </c>
      <c r="AM51" s="62">
        <f t="shared" si="5"/>
        <v>557.28927029179101</v>
      </c>
      <c r="AN51" s="62">
        <f ca="1">AVERAGE(OFFSET($AM$3,0,0,'Données projet'!$E$10+1,1))-AVERAGE(OFFSET($H$3,0,0,'Données projet'!$E$10+1,1))</f>
        <v>224.31750842452965</v>
      </c>
      <c r="AO51" s="62">
        <f t="shared" si="36"/>
        <v>94.125825809616856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2.6100786334998074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2.6100786334998074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2.2737367544323206E-13</v>
      </c>
      <c r="O52" s="14">
        <f>N52*VLOOKUP('Données projet'!$B$9,Paramètres!$A$1:$I$89,3,0)*VLOOKUP('Données projet'!$B$9,Paramètres!$A$1:$I$89,5,0)</f>
        <v>1.3596945791505279E-13</v>
      </c>
      <c r="P52" s="14">
        <f t="shared" si="33"/>
        <v>1.9708830566360721E-12</v>
      </c>
      <c r="Q52" s="22">
        <f t="shared" si="53"/>
        <v>3.669434796176543E-12</v>
      </c>
      <c r="R52" s="62">
        <f t="shared" si="0"/>
        <v>293.33333333333701</v>
      </c>
      <c r="S52" s="62">
        <f ca="1">AVERAGE(OFFSET($R$3,0,0,'Données projet'!$E$9+1,1))-AVERAGE(OFFSET($H$3,0,0,'Données projet'!$E$9+1,1))</f>
        <v>234.60993819620847</v>
      </c>
      <c r="T52" s="62">
        <f t="shared" si="34"/>
        <v>346.26896655159095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179.17640994928769</v>
      </c>
      <c r="AA52" s="23">
        <f>EXP(-LN(2)/25)*AA51+(1-EXP(-LN(2)/25))/(LN(2)/25)*Calculateur!V52*Calculateur!X52*VLOOKUP('Données projet'!$B$9,Paramètres!$A$1:$I$89,3,0)*0.475*44/12</f>
        <v>19.146355722128853</v>
      </c>
      <c r="AB52" s="23">
        <f>EXP(-LN(2)/2)*AB51+(1-EXP(-LN(2)/2))/(LN(2)/2)*V52*Y52*VLOOKUP('Données projet'!$B$9,Paramètres!$A$1:$I$89,3,0)*0.475*44/12</f>
        <v>3.4267527174424472</v>
      </c>
      <c r="AC52" s="24">
        <f t="shared" si="3"/>
        <v>201.74951838885897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5.6</v>
      </c>
      <c r="AI52" s="14">
        <f>IF('Données projet'!$A$62&gt;35,AI51+AH52-AQ51,IF(A52&lt;'Données projet'!$A$62,$AF$205^A52,IF(A52='Données projet'!$A$62,'Données projet'!$B$62,AI51+AH52-AQ51)))</f>
        <v>115.39999999999996</v>
      </c>
      <c r="AJ52" s="14">
        <f>AI52*VLOOKUP('Données projet'!$B$10,Paramètres!$A$1:$I$89,3,0)*VLOOKUP('Données projet'!$B$10,Paramètres!$A$1:$I$89,5,0)</f>
        <v>126.01679999999996</v>
      </c>
      <c r="AK52" s="14">
        <f t="shared" si="35"/>
        <v>33.074298435792052</v>
      </c>
      <c r="AL52" s="22">
        <f t="shared" si="4"/>
        <v>277.08366310900448</v>
      </c>
      <c r="AM52" s="62">
        <f t="shared" si="5"/>
        <v>570.41699644233779</v>
      </c>
      <c r="AN52" s="62">
        <f ca="1">AVERAGE(OFFSET($AM$3,0,0,'Données projet'!$E$10+1,1))-AVERAGE(OFFSET($H$3,0,0,'Données projet'!$E$10+1,1))</f>
        <v>224.31750842452965</v>
      </c>
      <c r="AO52" s="62">
        <f t="shared" si="36"/>
        <v>94.125825809616856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2.5588965834876465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2.5588965834876465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2.2737367544323206E-13</v>
      </c>
      <c r="O53" s="14">
        <f>N53*VLOOKUP('Données projet'!$B$9,Paramètres!$A$1:$I$89,3,0)*VLOOKUP('Données projet'!$B$9,Paramètres!$A$1:$I$89,5,0)</f>
        <v>1.3596945791505279E-13</v>
      </c>
      <c r="P53" s="14">
        <f t="shared" si="33"/>
        <v>1.9708830566360721E-12</v>
      </c>
      <c r="Q53" s="22">
        <f t="shared" si="53"/>
        <v>3.669434796176543E-12</v>
      </c>
      <c r="R53" s="62">
        <f t="shared" si="0"/>
        <v>293.33333333333701</v>
      </c>
      <c r="S53" s="62">
        <f ca="1">AVERAGE(OFFSET($R$3,0,0,'Données projet'!$E$9+1,1))-AVERAGE(OFFSET($H$3,0,0,'Données projet'!$E$9+1,1))</f>
        <v>234.60993819620847</v>
      </c>
      <c r="T53" s="62">
        <f t="shared" si="34"/>
        <v>346.26896655159095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175.66286983700104</v>
      </c>
      <c r="AA53" s="23">
        <f>EXP(-LN(2)/25)*AA52+(1-EXP(-LN(2)/25))/(LN(2)/25)*Calculateur!V53*Calculateur!X53*VLOOKUP('Données projet'!$B$9,Paramètres!$A$1:$I$89,3,0)*0.475*44/12</f>
        <v>18.622797618044149</v>
      </c>
      <c r="AB53" s="23">
        <f>EXP(-LN(2)/2)*AB52+(1-EXP(-LN(2)/2))/(LN(2)/2)*V53*Y53*VLOOKUP('Données projet'!$B$9,Paramètres!$A$1:$I$89,3,0)*0.475*44/12</f>
        <v>2.4230800839529838</v>
      </c>
      <c r="AC53" s="24">
        <f t="shared" si="3"/>
        <v>196.70874753899818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121</v>
      </c>
      <c r="AG53" s="13">
        <f>VLOOKUP(A53,'Données projet'!$A$61:$I$81,9,0)</f>
        <v>5.6</v>
      </c>
      <c r="AH53" s="13">
        <f t="array" ref="AH53">INDEX(AG:AG,MIN(IF(ISNUMBER(AG53:AG249),ROW(AG53:AG249),"")))</f>
        <v>5.6</v>
      </c>
      <c r="AI53" s="14">
        <f>IF('Données projet'!$A$62&gt;35,AI52+AH53-AQ52,IF(A53&lt;'Données projet'!$A$62,$AF$205^A53,IF(A53='Données projet'!$A$62,'Données projet'!$B$62,AI52+AH53-AQ52)))</f>
        <v>120.99999999999996</v>
      </c>
      <c r="AJ53" s="14">
        <f>AI53*VLOOKUP('Données projet'!$B$10,Paramètres!$A$1:$I$89,3,0)*VLOOKUP('Données projet'!$B$10,Paramètres!$A$1:$I$89,5,0)</f>
        <v>132.13199999999995</v>
      </c>
      <c r="AK53" s="14">
        <f t="shared" si="35"/>
        <v>34.488534562859115</v>
      </c>
      <c r="AL53" s="22">
        <f t="shared" si="4"/>
        <v>290.19743103031283</v>
      </c>
      <c r="AM53" s="62">
        <f t="shared" si="5"/>
        <v>583.53076436364609</v>
      </c>
      <c r="AN53" s="62">
        <f ca="1">AVERAGE(OFFSET($AM$3,0,0,'Données projet'!$E$10+1,1))-AVERAGE(OFFSET($H$3,0,0,'Données projet'!$E$10+1,1))</f>
        <v>224.31750842452965</v>
      </c>
      <c r="AO53" s="62">
        <f t="shared" si="36"/>
        <v>94.125825809616856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14</v>
      </c>
      <c r="AR53" s="17">
        <f>IF(ISNA(VLOOKUP(A53,'Données projet'!$A$61:$I$81,5,0)),0%,VLOOKUP(A53,'Données projet'!$A$61:$I$81,5,0)*VLOOKUP('Données projet'!$B$10,Paramètres!$A$1:$I$89,7,0))</f>
        <v>8.6000000000000007E-2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3.9621552622160339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3.9621552622160339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2.2737367544323206E-13</v>
      </c>
      <c r="O54" s="14">
        <f>N54*VLOOKUP('Données projet'!$B$9,Paramètres!$A$1:$I$89,3,0)*VLOOKUP('Données projet'!$B$9,Paramètres!$A$1:$I$89,5,0)</f>
        <v>1.3596945791505279E-13</v>
      </c>
      <c r="P54" s="14">
        <f t="shared" si="33"/>
        <v>1.9708830566360721E-12</v>
      </c>
      <c r="Q54" s="22">
        <f t="shared" si="53"/>
        <v>3.669434796176543E-12</v>
      </c>
      <c r="R54" s="62">
        <f t="shared" si="0"/>
        <v>293.33333333333701</v>
      </c>
      <c r="S54" s="62">
        <f ca="1">AVERAGE(OFFSET($R$3,0,0,'Données projet'!$E$9+1,1))-AVERAGE(OFFSET($H$3,0,0,'Données projet'!$E$9+1,1))</f>
        <v>234.60993819620847</v>
      </c>
      <c r="T54" s="62">
        <f t="shared" si="34"/>
        <v>346.26896655159095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172.21822810326847</v>
      </c>
      <c r="AA54" s="23">
        <f>EXP(-LN(2)/25)*AA53+(1-EXP(-LN(2)/25))/(LN(2)/25)*Calculateur!V54*Calculateur!X54*VLOOKUP('Données projet'!$B$9,Paramètres!$A$1:$I$89,3,0)*0.475*44/12</f>
        <v>18.113556237848368</v>
      </c>
      <c r="AB54" s="23">
        <f>EXP(-LN(2)/2)*AB53+(1-EXP(-LN(2)/2))/(LN(2)/2)*V54*Y54*VLOOKUP('Données projet'!$B$9,Paramètres!$A$1:$I$89,3,0)*0.475*44/12</f>
        <v>1.7133763587212238</v>
      </c>
      <c r="AC54" s="24">
        <f t="shared" si="3"/>
        <v>192.04516069983808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5.6</v>
      </c>
      <c r="AI54" s="14">
        <f>IF('Données projet'!$A$62&gt;35,AI53+AH54-AQ53,IF(A54&lt;'Données projet'!$A$62,$AF$205^A54,IF(A54='Données projet'!$A$62,'Données projet'!$B$62,AI53+AH54-AQ53)))</f>
        <v>112.59999999999995</v>
      </c>
      <c r="AJ54" s="14">
        <f>AI54*VLOOKUP('Données projet'!$B$10,Paramètres!$A$1:$I$89,3,0)*VLOOKUP('Données projet'!$B$10,Paramètres!$A$1:$I$89,5,0)</f>
        <v>122.95919999999995</v>
      </c>
      <c r="AK54" s="14">
        <f t="shared" si="35"/>
        <v>32.364202510408994</v>
      </c>
      <c r="AL54" s="22">
        <f t="shared" si="4"/>
        <v>270.5215927056289</v>
      </c>
      <c r="AM54" s="62">
        <f t="shared" si="5"/>
        <v>563.85492603896228</v>
      </c>
      <c r="AN54" s="62">
        <f ca="1">AVERAGE(OFFSET($AM$3,0,0,'Données projet'!$E$10+1,1))-AVERAGE(OFFSET($H$3,0,0,'Données projet'!$E$10+1,1))</f>
        <v>224.31750842452965</v>
      </c>
      <c r="AO54" s="62">
        <f t="shared" si="36"/>
        <v>94.125825809616856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3.8844598142000604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3.8844598142000604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2.2737367544323206E-13</v>
      </c>
      <c r="O55" s="14">
        <f>N55*VLOOKUP('Données projet'!$B$9,Paramètres!$A$1:$I$89,3,0)*VLOOKUP('Données projet'!$B$9,Paramètres!$A$1:$I$89,5,0)</f>
        <v>1.3596945791505279E-13</v>
      </c>
      <c r="P55" s="14">
        <f t="shared" si="33"/>
        <v>1.9708830566360721E-12</v>
      </c>
      <c r="Q55" s="22">
        <f t="shared" si="53"/>
        <v>3.669434796176543E-12</v>
      </c>
      <c r="R55" s="62">
        <f t="shared" si="0"/>
        <v>293.33333333333701</v>
      </c>
      <c r="S55" s="62">
        <f ca="1">AVERAGE(OFFSET($R$3,0,0,'Données projet'!$E$9+1,1))-AVERAGE(OFFSET($H$3,0,0,'Données projet'!$E$9+1,1))</f>
        <v>234.60993819620847</v>
      </c>
      <c r="T55" s="62">
        <f t="shared" si="34"/>
        <v>346.26896655159095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168.8411336929104</v>
      </c>
      <c r="AA55" s="23">
        <f>EXP(-LN(2)/25)*AA54+(1-EXP(-LN(2)/25))/(LN(2)/25)*Calculateur!V55*Calculateur!X55*VLOOKUP('Données projet'!$B$9,Paramètres!$A$1:$I$89,3,0)*0.475*44/12</f>
        <v>17.618240089973881</v>
      </c>
      <c r="AB55" s="23">
        <f>EXP(-LN(2)/2)*AB54+(1-EXP(-LN(2)/2))/(LN(2)/2)*V55*Y55*VLOOKUP('Données projet'!$B$9,Paramètres!$A$1:$I$89,3,0)*0.475*44/12</f>
        <v>1.2115400419764921</v>
      </c>
      <c r="AC55" s="24">
        <f t="shared" si="3"/>
        <v>187.67091382486078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5.6</v>
      </c>
      <c r="AI55" s="14">
        <f>IF('Données projet'!$A$62&gt;35,AI54+AH55-AQ54,IF(A55&lt;'Données projet'!$A$62,$AF$205^A55,IF(A55='Données projet'!$A$62,'Données projet'!$B$62,AI54+AH55-AQ54)))</f>
        <v>118.19999999999995</v>
      </c>
      <c r="AJ55" s="14">
        <f>AI55*VLOOKUP('Données projet'!$B$10,Paramètres!$A$1:$I$89,3,0)*VLOOKUP('Données projet'!$B$10,Paramètres!$A$1:$I$89,5,0)</f>
        <v>129.07439999999994</v>
      </c>
      <c r="AK55" s="14">
        <f t="shared" si="35"/>
        <v>33.782391484889324</v>
      </c>
      <c r="AL55" s="22">
        <f t="shared" si="4"/>
        <v>283.64224516951543</v>
      </c>
      <c r="AM55" s="62">
        <f t="shared" si="5"/>
        <v>576.97557850284875</v>
      </c>
      <c r="AN55" s="62">
        <f ca="1">AVERAGE(OFFSET($AM$3,0,0,'Données projet'!$E$10+1,1))-AVERAGE(OFFSET($H$3,0,0,'Données projet'!$E$10+1,1))</f>
        <v>224.31750842452965</v>
      </c>
      <c r="AO55" s="62">
        <f t="shared" si="36"/>
        <v>94.125825809616856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3.8082879265301361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3.8082879265301361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2.2737367544323206E-13</v>
      </c>
      <c r="O56" s="14">
        <f>N56*VLOOKUP('Données projet'!$B$9,Paramètres!$A$1:$I$89,3,0)*VLOOKUP('Données projet'!$B$9,Paramètres!$A$1:$I$89,5,0)</f>
        <v>1.3596945791505279E-13</v>
      </c>
      <c r="P56" s="14">
        <f t="shared" si="33"/>
        <v>1.9708830566360721E-12</v>
      </c>
      <c r="Q56" s="22">
        <f t="shared" si="53"/>
        <v>3.669434796176543E-12</v>
      </c>
      <c r="R56" s="62">
        <f t="shared" si="0"/>
        <v>293.33333333333701</v>
      </c>
      <c r="S56" s="62">
        <f ca="1">AVERAGE(OFFSET($R$3,0,0,'Données projet'!$E$9+1,1))-AVERAGE(OFFSET($H$3,0,0,'Données projet'!$E$9+1,1))</f>
        <v>234.60993819620847</v>
      </c>
      <c r="T56" s="62">
        <f t="shared" si="34"/>
        <v>346.26896655159095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165.53026204411526</v>
      </c>
      <c r="AA56" s="23">
        <f>EXP(-LN(2)/25)*AA55+(1-EXP(-LN(2)/25))/(LN(2)/25)*Calculateur!V56*Calculateur!X56*VLOOKUP('Données projet'!$B$9,Paramètres!$A$1:$I$89,3,0)*0.475*44/12</f>
        <v>17.136468388210567</v>
      </c>
      <c r="AB56" s="23">
        <f>EXP(-LN(2)/2)*AB55+(1-EXP(-LN(2)/2))/(LN(2)/2)*V56*Y56*VLOOKUP('Données projet'!$B$9,Paramètres!$A$1:$I$89,3,0)*0.475*44/12</f>
        <v>0.85668817936061203</v>
      </c>
      <c r="AC56" s="24">
        <f t="shared" si="3"/>
        <v>183.52341861168645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5.6</v>
      </c>
      <c r="AI56" s="14">
        <f>IF('Données projet'!$A$62&gt;35,AI55+AH56-AQ55,IF(A56&lt;'Données projet'!$A$62,$AF$205^A56,IF(A56='Données projet'!$A$62,'Données projet'!$B$62,AI55+AH56-AQ55)))</f>
        <v>123.79999999999994</v>
      </c>
      <c r="AJ56" s="14">
        <f>AI56*VLOOKUP('Données projet'!$B$10,Paramètres!$A$1:$I$89,3,0)*VLOOKUP('Données projet'!$B$10,Paramètres!$A$1:$I$89,5,0)</f>
        <v>135.18959999999993</v>
      </c>
      <c r="AK56" s="14">
        <f t="shared" si="35"/>
        <v>35.192777986644984</v>
      </c>
      <c r="AL56" s="22">
        <f t="shared" si="4"/>
        <v>296.74930832673988</v>
      </c>
      <c r="AM56" s="62">
        <f t="shared" si="5"/>
        <v>590.08264166007325</v>
      </c>
      <c r="AN56" s="62">
        <f ca="1">AVERAGE(OFFSET($AM$3,0,0,'Données projet'!$E$10+1,1))-AVERAGE(OFFSET($H$3,0,0,'Données projet'!$E$10+1,1))</f>
        <v>224.31750842452965</v>
      </c>
      <c r="AO56" s="62">
        <f t="shared" si="36"/>
        <v>94.125825809616856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3.7336097231171554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3.7336097231171554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2.2737367544323206E-13</v>
      </c>
      <c r="O57" s="14">
        <f>N57*VLOOKUP('Données projet'!$B$9,Paramètres!$A$1:$I$89,3,0)*VLOOKUP('Données projet'!$B$9,Paramètres!$A$1:$I$89,5,0)</f>
        <v>1.3596945791505279E-13</v>
      </c>
      <c r="P57" s="14">
        <f t="shared" si="33"/>
        <v>1.9708830566360721E-12</v>
      </c>
      <c r="Q57" s="22">
        <f t="shared" si="53"/>
        <v>3.669434796176543E-12</v>
      </c>
      <c r="R57" s="62">
        <f t="shared" si="0"/>
        <v>293.33333333333701</v>
      </c>
      <c r="S57" s="62">
        <f ca="1">AVERAGE(OFFSET($R$3,0,0,'Données projet'!$E$9+1,1))-AVERAGE(OFFSET($H$3,0,0,'Données projet'!$E$9+1,1))</f>
        <v>234.60993819620847</v>
      </c>
      <c r="T57" s="62">
        <f t="shared" si="34"/>
        <v>346.26896655159095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162.28431456892068</v>
      </c>
      <c r="AA57" s="23">
        <f>EXP(-LN(2)/25)*AA56+(1-EXP(-LN(2)/25))/(LN(2)/25)*Calculateur!V57*Calculateur!X57*VLOOKUP('Données projet'!$B$9,Paramètres!$A$1:$I$89,3,0)*0.475*44/12</f>
        <v>16.667870758967243</v>
      </c>
      <c r="AB57" s="23">
        <f>EXP(-LN(2)/2)*AB56+(1-EXP(-LN(2)/2))/(LN(2)/2)*V57*Y57*VLOOKUP('Données projet'!$B$9,Paramètres!$A$1:$I$89,3,0)*0.475*44/12</f>
        <v>0.60577002098824606</v>
      </c>
      <c r="AC57" s="24">
        <f t="shared" si="3"/>
        <v>179.55795534887616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5.6</v>
      </c>
      <c r="AI57" s="14">
        <f>IF('Données projet'!$A$62&gt;35,AI56+AH57-AQ56,IF(A57&lt;'Données projet'!$A$62,$AF$205^A57,IF(A57='Données projet'!$A$62,'Données projet'!$B$62,AI56+AH57-AQ56)))</f>
        <v>129.39999999999995</v>
      </c>
      <c r="AJ57" s="14">
        <f>AI57*VLOOKUP('Données projet'!$B$10,Paramètres!$A$1:$I$89,3,0)*VLOOKUP('Données projet'!$B$10,Paramètres!$A$1:$I$89,5,0)</f>
        <v>141.30479999999994</v>
      </c>
      <c r="AK57" s="14">
        <f t="shared" si="35"/>
        <v>36.595755275288994</v>
      </c>
      <c r="AL57" s="22">
        <f t="shared" si="4"/>
        <v>309.84346710446152</v>
      </c>
      <c r="AM57" s="62">
        <f t="shared" si="5"/>
        <v>603.17680043779478</v>
      </c>
      <c r="AN57" s="62">
        <f ca="1">AVERAGE(OFFSET($AM$3,0,0,'Données projet'!$E$10+1,1))-AVERAGE(OFFSET($H$3,0,0,'Données projet'!$E$10+1,1))</f>
        <v>224.31750842452965</v>
      </c>
      <c r="AO57" s="62">
        <f t="shared" si="36"/>
        <v>94.125825809616856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3.6603959137238968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3.6603959137238968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2.2737367544323206E-13</v>
      </c>
      <c r="O58" s="14">
        <f>N58*VLOOKUP('Données projet'!$B$9,Paramètres!$A$1:$I$89,3,0)*VLOOKUP('Données projet'!$B$9,Paramètres!$A$1:$I$89,5,0)</f>
        <v>1.3596945791505279E-13</v>
      </c>
      <c r="P58" s="14">
        <f t="shared" si="33"/>
        <v>1.9708830566360721E-12</v>
      </c>
      <c r="Q58" s="22">
        <f t="shared" si="53"/>
        <v>3.669434796176543E-12</v>
      </c>
      <c r="R58" s="62">
        <f t="shared" si="0"/>
        <v>293.33333333333701</v>
      </c>
      <c r="S58" s="62">
        <f ca="1">AVERAGE(OFFSET($R$3,0,0,'Données projet'!$E$9+1,1))-AVERAGE(OFFSET($H$3,0,0,'Données projet'!$E$9+1,1))</f>
        <v>234.60993819620847</v>
      </c>
      <c r="T58" s="62">
        <f t="shared" si="34"/>
        <v>346.26896655159095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159.10201814388222</v>
      </c>
      <c r="AA58" s="23">
        <f>EXP(-LN(2)/25)*AA57+(1-EXP(-LN(2)/25))/(LN(2)/25)*Calculateur!V58*Calculateur!X58*VLOOKUP('Données projet'!$B$9,Paramètres!$A$1:$I$89,3,0)*0.475*44/12</f>
        <v>16.212086956538055</v>
      </c>
      <c r="AB58" s="23">
        <f>EXP(-LN(2)/2)*AB57+(1-EXP(-LN(2)/2))/(LN(2)/2)*V58*Y58*VLOOKUP('Données projet'!$B$9,Paramètres!$A$1:$I$89,3,0)*0.475*44/12</f>
        <v>0.42834408968030602</v>
      </c>
      <c r="AC58" s="24">
        <f t="shared" si="3"/>
        <v>175.74244919010059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135</v>
      </c>
      <c r="AG58" s="13">
        <f>VLOOKUP(A58,'Données projet'!$A$61:$I$81,9,0)</f>
        <v>5.6</v>
      </c>
      <c r="AH58" s="13">
        <f t="array" ref="AH58">INDEX(AG:AG,MIN(IF(ISNUMBER(AG58:AG254),ROW(AG58:AG254),"")))</f>
        <v>5.6</v>
      </c>
      <c r="AI58" s="14">
        <f>IF('Données projet'!$A$62&gt;35,AI57+AH58-AQ57,IF(A58&lt;'Données projet'!$A$62,$AF$205^A58,IF(A58='Données projet'!$A$62,'Données projet'!$B$62,AI57+AH58-AQ57)))</f>
        <v>134.99999999999994</v>
      </c>
      <c r="AJ58" s="14">
        <f>AI58*VLOOKUP('Données projet'!$B$10,Paramètres!$A$1:$I$89,3,0)*VLOOKUP('Données projet'!$B$10,Paramètres!$A$1:$I$89,5,0)</f>
        <v>147.41999999999993</v>
      </c>
      <c r="AK58" s="14">
        <f t="shared" si="35"/>
        <v>37.991680647570291</v>
      </c>
      <c r="AL58" s="22">
        <f t="shared" si="4"/>
        <v>322.92534379451814</v>
      </c>
      <c r="AM58" s="62">
        <f t="shared" si="5"/>
        <v>616.25867712785146</v>
      </c>
      <c r="AN58" s="62">
        <f ca="1">AVERAGE(OFFSET($AM$3,0,0,'Données projet'!$E$10+1,1))-AVERAGE(OFFSET($H$3,0,0,'Données projet'!$E$10+1,1))</f>
        <v>224.31750842452965</v>
      </c>
      <c r="AO58" s="62">
        <f t="shared" si="36"/>
        <v>94.125825809616856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14</v>
      </c>
      <c r="AR58" s="17">
        <f>IF(ISNA(VLOOKUP(A58,'Données projet'!$A$61:$I$81,5,0)),0%,VLOOKUP(A58,'Données projet'!$A$61:$I$81,5,0)*VLOOKUP('Données projet'!$B$10,Paramètres!$A$1:$I$89,7,0))</f>
        <v>0.129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5.7687734024134922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5.7687734024134922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2.2737367544323206E-13</v>
      </c>
      <c r="O59" s="14">
        <f>N59*VLOOKUP('Données projet'!$B$9,Paramètres!$A$1:$I$89,3,0)*VLOOKUP('Données projet'!$B$9,Paramètres!$A$1:$I$89,5,0)</f>
        <v>1.3596945791505279E-13</v>
      </c>
      <c r="P59" s="14">
        <f t="shared" si="33"/>
        <v>1.9708830566360721E-12</v>
      </c>
      <c r="Q59" s="22">
        <f t="shared" si="53"/>
        <v>3.669434796176543E-12</v>
      </c>
      <c r="R59" s="62">
        <f t="shared" si="0"/>
        <v>293.33333333333701</v>
      </c>
      <c r="S59" s="62">
        <f ca="1">AVERAGE(OFFSET($R$3,0,0,'Données projet'!$E$9+1,1))-AVERAGE(OFFSET($H$3,0,0,'Données projet'!$E$9+1,1))</f>
        <v>234.60993819620847</v>
      </c>
      <c r="T59" s="62">
        <f t="shared" si="34"/>
        <v>346.26896655159095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155.98212461072958</v>
      </c>
      <c r="AA59" s="23">
        <f>EXP(-LN(2)/25)*AA58+(1-EXP(-LN(2)/25))/(LN(2)/25)*Calculateur!V59*Calculateur!X59*VLOOKUP('Données projet'!$B$9,Paramètres!$A$1:$I$89,3,0)*0.475*44/12</f>
        <v>15.768766586154923</v>
      </c>
      <c r="AB59" s="23">
        <f>EXP(-LN(2)/2)*AB58+(1-EXP(-LN(2)/2))/(LN(2)/2)*V59*Y59*VLOOKUP('Données projet'!$B$9,Paramètres!$A$1:$I$89,3,0)*0.475*44/12</f>
        <v>0.30288501049412303</v>
      </c>
      <c r="AC59" s="24">
        <f t="shared" si="3"/>
        <v>172.05377620737863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5.4</v>
      </c>
      <c r="AI59" s="14">
        <f>IF('Données projet'!$A$62&gt;35,AI58+AH59-AQ58,IF(A59&lt;'Données projet'!$A$62,$AF$205^A59,IF(A59='Données projet'!$A$62,'Données projet'!$B$62,AI58+AH59-AQ58)))</f>
        <v>126.39999999999995</v>
      </c>
      <c r="AJ59" s="14">
        <f>AI59*VLOOKUP('Données projet'!$B$10,Paramètres!$A$1:$I$89,3,0)*VLOOKUP('Données projet'!$B$10,Paramètres!$A$1:$I$89,5,0)</f>
        <v>138.02879999999993</v>
      </c>
      <c r="AK59" s="14">
        <f t="shared" si="35"/>
        <v>35.845059256813073</v>
      </c>
      <c r="AL59" s="22">
        <f t="shared" si="4"/>
        <v>302.83030487228262</v>
      </c>
      <c r="AM59" s="62">
        <f t="shared" si="5"/>
        <v>596.16363820561594</v>
      </c>
      <c r="AN59" s="62">
        <f ca="1">AVERAGE(OFFSET($AM$3,0,0,'Données projet'!$E$10+1,1))-AVERAGE(OFFSET($H$3,0,0,'Données projet'!$E$10+1,1))</f>
        <v>224.31750842452965</v>
      </c>
      <c r="AO59" s="62">
        <f t="shared" si="36"/>
        <v>94.125825809616856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5.6556512745965062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5.6556512745965062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2.2737367544323206E-13</v>
      </c>
      <c r="O60" s="14">
        <f>N60*VLOOKUP('Données projet'!$B$9,Paramètres!$A$1:$I$89,3,0)*VLOOKUP('Données projet'!$B$9,Paramètres!$A$1:$I$89,5,0)</f>
        <v>1.3596945791505279E-13</v>
      </c>
      <c r="P60" s="14">
        <f t="shared" si="33"/>
        <v>1.9708830566360721E-12</v>
      </c>
      <c r="Q60" s="22">
        <f t="shared" si="53"/>
        <v>3.669434796176543E-12</v>
      </c>
      <c r="R60" s="62">
        <f t="shared" si="0"/>
        <v>293.33333333333701</v>
      </c>
      <c r="S60" s="62">
        <f ca="1">AVERAGE(OFFSET($R$3,0,0,'Données projet'!$E$9+1,1))-AVERAGE(OFFSET($H$3,0,0,'Données projet'!$E$9+1,1))</f>
        <v>234.60993819620847</v>
      </c>
      <c r="T60" s="62">
        <f t="shared" si="34"/>
        <v>346.26896655159095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152.92341028681491</v>
      </c>
      <c r="AA60" s="23">
        <f>EXP(-LN(2)/25)*AA59+(1-EXP(-LN(2)/25))/(LN(2)/25)*Calculateur!V60*Calculateur!X60*VLOOKUP('Données projet'!$B$9,Paramètres!$A$1:$I$89,3,0)*0.475*44/12</f>
        <v>15.337568834613123</v>
      </c>
      <c r="AB60" s="23">
        <f>EXP(-LN(2)/2)*AB59+(1-EXP(-LN(2)/2))/(LN(2)/2)*V60*Y60*VLOOKUP('Données projet'!$B$9,Paramètres!$A$1:$I$89,3,0)*0.475*44/12</f>
        <v>0.21417204484015301</v>
      </c>
      <c r="AC60" s="24">
        <f t="shared" si="3"/>
        <v>168.47515116626818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5.4</v>
      </c>
      <c r="AI60" s="14">
        <f>IF('Données projet'!$A$62&gt;35,AI59+AH60-AQ59,IF(A60&lt;'Données projet'!$A$62,$AF$205^A60,IF(A60='Données projet'!$A$62,'Données projet'!$B$62,AI59+AH60-AQ59)))</f>
        <v>131.79999999999995</v>
      </c>
      <c r="AJ60" s="14">
        <f>AI60*VLOOKUP('Données projet'!$B$10,Paramètres!$A$1:$I$89,3,0)*VLOOKUP('Données projet'!$B$10,Paramètres!$A$1:$I$89,5,0)</f>
        <v>143.92559999999995</v>
      </c>
      <c r="AK60" s="14">
        <f t="shared" si="35"/>
        <v>37.194852827810294</v>
      </c>
      <c r="AL60" s="22">
        <f t="shared" si="4"/>
        <v>315.45145534176953</v>
      </c>
      <c r="AM60" s="62">
        <f t="shared" si="5"/>
        <v>608.78478867510285</v>
      </c>
      <c r="AN60" s="62">
        <f ca="1">AVERAGE(OFFSET($AM$3,0,0,'Données projet'!$E$10+1,1))-AVERAGE(OFFSET($H$3,0,0,'Données projet'!$E$10+1,1))</f>
        <v>224.31750842452965</v>
      </c>
      <c r="AO60" s="62">
        <f t="shared" si="36"/>
        <v>94.125825809616856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5.5447474027083254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5.5447474027083254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2.2737367544323206E-13</v>
      </c>
      <c r="O61" s="14">
        <f>N61*VLOOKUP('Données projet'!$B$9,Paramètres!$A$1:$I$89,3,0)*VLOOKUP('Données projet'!$B$9,Paramètres!$A$1:$I$89,5,0)</f>
        <v>1.3596945791505279E-13</v>
      </c>
      <c r="P61" s="14">
        <f t="shared" si="33"/>
        <v>1.9708830566360721E-12</v>
      </c>
      <c r="Q61" s="22">
        <f t="shared" si="53"/>
        <v>3.669434796176543E-12</v>
      </c>
      <c r="R61" s="62">
        <f t="shared" si="0"/>
        <v>293.33333333333701</v>
      </c>
      <c r="S61" s="62">
        <f ca="1">AVERAGE(OFFSET($R$3,0,0,'Données projet'!$E$9+1,1))-AVERAGE(OFFSET($H$3,0,0,'Données projet'!$E$9+1,1))</f>
        <v>234.60993819620847</v>
      </c>
      <c r="T61" s="62">
        <f t="shared" si="34"/>
        <v>346.26896655159095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149.92467548516069</v>
      </c>
      <c r="AA61" s="23">
        <f>EXP(-LN(2)/25)*AA60+(1-EXP(-LN(2)/25))/(LN(2)/25)*Calculateur!V61*Calculateur!X61*VLOOKUP('Données projet'!$B$9,Paramètres!$A$1:$I$89,3,0)*0.475*44/12</f>
        <v>14.918162208262936</v>
      </c>
      <c r="AB61" s="23">
        <f>EXP(-LN(2)/2)*AB60+(1-EXP(-LN(2)/2))/(LN(2)/2)*V61*Y61*VLOOKUP('Données projet'!$B$9,Paramètres!$A$1:$I$89,3,0)*0.475*44/12</f>
        <v>0.15144250524706152</v>
      </c>
      <c r="AC61" s="24">
        <f t="shared" si="3"/>
        <v>164.99428019867071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5.4</v>
      </c>
      <c r="AI61" s="14">
        <f>IF('Données projet'!$A$62&gt;35,AI60+AH61-AQ60,IF(A61&lt;'Données projet'!$A$62,$AF$205^A61,IF(A61='Données projet'!$A$62,'Données projet'!$B$62,AI60+AH61-AQ60)))</f>
        <v>137.19999999999996</v>
      </c>
      <c r="AJ61" s="14">
        <f>AI61*VLOOKUP('Données projet'!$B$10,Paramètres!$A$1:$I$89,3,0)*VLOOKUP('Données projet'!$B$10,Paramètres!$A$1:$I$89,5,0)</f>
        <v>149.82239999999996</v>
      </c>
      <c r="AK61" s="14">
        <f t="shared" si="35"/>
        <v>38.538222601158559</v>
      </c>
      <c r="AL61" s="22">
        <f t="shared" si="4"/>
        <v>328.06141769701776</v>
      </c>
      <c r="AM61" s="62">
        <f t="shared" si="5"/>
        <v>621.39475103035102</v>
      </c>
      <c r="AN61" s="62">
        <f ca="1">AVERAGE(OFFSET($AM$3,0,0,'Données projet'!$E$10+1,1))-AVERAGE(OFFSET($H$3,0,0,'Données projet'!$E$10+1,1))</f>
        <v>224.31750842452965</v>
      </c>
      <c r="AO61" s="62">
        <f t="shared" si="36"/>
        <v>94.125825809616856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5.43601828810319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5.43601828810319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2.2737367544323206E-13</v>
      </c>
      <c r="O62" s="14">
        <f>N62*VLOOKUP('Données projet'!$B$9,Paramètres!$A$1:$I$89,3,0)*VLOOKUP('Données projet'!$B$9,Paramètres!$A$1:$I$89,5,0)</f>
        <v>1.3596945791505279E-13</v>
      </c>
      <c r="P62" s="14">
        <f t="shared" si="33"/>
        <v>1.9708830566360721E-12</v>
      </c>
      <c r="Q62" s="22">
        <f t="shared" si="53"/>
        <v>3.669434796176543E-12</v>
      </c>
      <c r="R62" s="62">
        <f t="shared" si="0"/>
        <v>293.33333333333701</v>
      </c>
      <c r="S62" s="62">
        <f ca="1">AVERAGE(OFFSET($R$3,0,0,'Données projet'!$E$9+1,1))-AVERAGE(OFFSET($H$3,0,0,'Données projet'!$E$9+1,1))</f>
        <v>234.60993819620847</v>
      </c>
      <c r="T62" s="62">
        <f t="shared" si="34"/>
        <v>346.26896655159095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146.98474404391928</v>
      </c>
      <c r="AA62" s="23">
        <f>EXP(-LN(2)/25)*AA61+(1-EXP(-LN(2)/25))/(LN(2)/25)*Calculateur!V62*Calculateur!X62*VLOOKUP('Données projet'!$B$9,Paramètres!$A$1:$I$89,3,0)*0.475*44/12</f>
        <v>14.510224278165932</v>
      </c>
      <c r="AB62" s="23">
        <f>EXP(-LN(2)/2)*AB61+(1-EXP(-LN(2)/2))/(LN(2)/2)*V62*Y62*VLOOKUP('Données projet'!$B$9,Paramètres!$A$1:$I$89,3,0)*0.475*44/12</f>
        <v>0.1070860224200765</v>
      </c>
      <c r="AC62" s="24">
        <f t="shared" si="3"/>
        <v>161.60205434450529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5.4</v>
      </c>
      <c r="AI62" s="14">
        <f>IF('Données projet'!$A$62&gt;35,AI61+AH62-AQ61,IF(A62&lt;'Données projet'!$A$62,$AF$205^A62,IF(A62='Données projet'!$A$62,'Données projet'!$B$62,AI61+AH62-AQ61)))</f>
        <v>142.59999999999997</v>
      </c>
      <c r="AJ62" s="14">
        <f>AI62*VLOOKUP('Données projet'!$B$10,Paramètres!$A$1:$I$89,3,0)*VLOOKUP('Données projet'!$B$10,Paramètres!$A$1:$I$89,5,0)</f>
        <v>155.71919999999994</v>
      </c>
      <c r="AK62" s="14">
        <f t="shared" si="35"/>
        <v>39.875450340770094</v>
      </c>
      <c r="AL62" s="22">
        <f t="shared" si="4"/>
        <v>340.66068267684113</v>
      </c>
      <c r="AM62" s="62">
        <f t="shared" si="5"/>
        <v>633.99401601017439</v>
      </c>
      <c r="AN62" s="62">
        <f ca="1">AVERAGE(OFFSET($AM$3,0,0,'Données projet'!$E$10+1,1))-AVERAGE(OFFSET($H$3,0,0,'Données projet'!$E$10+1,1))</f>
        <v>224.31750842452965</v>
      </c>
      <c r="AO62" s="62">
        <f t="shared" si="36"/>
        <v>94.125825809616856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5.3294212851172498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5.3294212851172498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2.2737367544323206E-13</v>
      </c>
      <c r="O63" s="14">
        <f>N63*VLOOKUP('Données projet'!$B$9,Paramètres!$A$1:$I$89,3,0)*VLOOKUP('Données projet'!$B$9,Paramètres!$A$1:$I$89,5,0)</f>
        <v>1.3596945791505279E-13</v>
      </c>
      <c r="P63" s="14">
        <f t="shared" si="33"/>
        <v>1.9708830566360721E-12</v>
      </c>
      <c r="Q63" s="22">
        <f t="shared" si="53"/>
        <v>3.669434796176543E-12</v>
      </c>
      <c r="R63" s="62">
        <f t="shared" si="0"/>
        <v>293.33333333333701</v>
      </c>
      <c r="S63" s="62">
        <f ca="1">AVERAGE(OFFSET($R$3,0,0,'Données projet'!$E$9+1,1))-AVERAGE(OFFSET($H$3,0,0,'Données projet'!$E$9+1,1))</f>
        <v>234.60993819620847</v>
      </c>
      <c r="T63" s="62">
        <f t="shared" si="34"/>
        <v>346.26896655159095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144.10246286505949</v>
      </c>
      <c r="AA63" s="23">
        <f>EXP(-LN(2)/25)*AA62+(1-EXP(-LN(2)/25))/(LN(2)/25)*Calculateur!V63*Calculateur!X63*VLOOKUP('Données projet'!$B$9,Paramètres!$A$1:$I$89,3,0)*0.475*44/12</f>
        <v>14.113441432219954</v>
      </c>
      <c r="AB63" s="23">
        <f>EXP(-LN(2)/2)*AB62+(1-EXP(-LN(2)/2))/(LN(2)/2)*V63*Y63*VLOOKUP('Données projet'!$B$9,Paramètres!$A$1:$I$89,3,0)*0.475*44/12</f>
        <v>7.5721252623530758E-2</v>
      </c>
      <c r="AC63" s="24">
        <f t="shared" si="3"/>
        <v>158.29162554990299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148</v>
      </c>
      <c r="AG63" s="13">
        <f>VLOOKUP(A63,'Données projet'!$A$61:$I$81,9,0)</f>
        <v>5.4</v>
      </c>
      <c r="AH63" s="13">
        <f t="array" ref="AH63">INDEX(AG:AG,MIN(IF(ISNUMBER(AG63:AG259),ROW(AG63:AG259),"")))</f>
        <v>5.4</v>
      </c>
      <c r="AI63" s="14">
        <f>IF('Données projet'!$A$62&gt;35,AI62+AH63-AQ62,IF(A63&lt;'Données projet'!$A$62,$AF$205^A63,IF(A63='Données projet'!$A$62,'Données projet'!$B$62,AI62+AH63-AQ62)))</f>
        <v>147.99999999999997</v>
      </c>
      <c r="AJ63" s="14">
        <f>AI63*VLOOKUP('Données projet'!$B$10,Paramètres!$A$1:$I$89,3,0)*VLOOKUP('Données projet'!$B$10,Paramètres!$A$1:$I$89,5,0)</f>
        <v>161.61599999999999</v>
      </c>
      <c r="AK63" s="14">
        <f t="shared" si="35"/>
        <v>41.20679526204917</v>
      </c>
      <c r="AL63" s="22">
        <f t="shared" si="4"/>
        <v>353.24970174806896</v>
      </c>
      <c r="AM63" s="62">
        <f t="shared" si="5"/>
        <v>646.58303508140227</v>
      </c>
      <c r="AN63" s="62">
        <f ca="1">AVERAGE(OFFSET($AM$3,0,0,'Données projet'!$E$10+1,1))-AVERAGE(OFFSET($H$3,0,0,'Données projet'!$E$10+1,1))</f>
        <v>224.31750842452965</v>
      </c>
      <c r="AO63" s="62">
        <f t="shared" si="36"/>
        <v>94.125825809616856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14</v>
      </c>
      <c r="AR63" s="17">
        <f>IF(ISNA(VLOOKUP(A63,'Données projet'!$A$61:$I$81,5,0)),0%,VLOOKUP(A63,'Données projet'!$A$61:$I$81,5,0)*VLOOKUP('Données projet'!$B$10,Paramètres!$A$1:$I$89,7,0))</f>
        <v>0.129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7.4050702042787782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7.4050702042787782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2.2737367544323206E-13</v>
      </c>
      <c r="O64" s="14">
        <f>N64*VLOOKUP('Données projet'!$B$9,Paramètres!$A$1:$I$89,3,0)*VLOOKUP('Données projet'!$B$9,Paramètres!$A$1:$I$89,5,0)</f>
        <v>1.3596945791505279E-13</v>
      </c>
      <c r="P64" s="14">
        <f t="shared" si="33"/>
        <v>1.9708830566360721E-12</v>
      </c>
      <c r="Q64" s="22">
        <f t="shared" si="53"/>
        <v>3.669434796176543E-12</v>
      </c>
      <c r="R64" s="62">
        <f t="shared" si="0"/>
        <v>293.33333333333701</v>
      </c>
      <c r="S64" s="62">
        <f ca="1">AVERAGE(OFFSET($R$3,0,0,'Données projet'!$E$9+1,1))-AVERAGE(OFFSET($H$3,0,0,'Données projet'!$E$9+1,1))</f>
        <v>234.60993819620847</v>
      </c>
      <c r="T64" s="62">
        <f t="shared" si="34"/>
        <v>346.26896655159095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141.27670146209923</v>
      </c>
      <c r="AA64" s="23">
        <f>EXP(-LN(2)/25)*AA63+(1-EXP(-LN(2)/25))/(LN(2)/25)*Calculateur!V64*Calculateur!X64*VLOOKUP('Données projet'!$B$9,Paramètres!$A$1:$I$89,3,0)*0.475*44/12</f>
        <v>13.727508634062271</v>
      </c>
      <c r="AB64" s="23">
        <f>EXP(-LN(2)/2)*AB63+(1-EXP(-LN(2)/2))/(LN(2)/2)*V64*Y64*VLOOKUP('Données projet'!$B$9,Paramètres!$A$1:$I$89,3,0)*0.475*44/12</f>
        <v>5.3543011210038252E-2</v>
      </c>
      <c r="AC64" s="24">
        <f t="shared" si="3"/>
        <v>155.05775310737152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5.4</v>
      </c>
      <c r="AI64" s="14">
        <f>IF('Données projet'!$A$62&gt;35,AI63+AH64-AQ63,IF(A64&lt;'Données projet'!$A$62,$AF$205^A64,IF(A64='Données projet'!$A$62,'Données projet'!$B$62,AI63+AH64-AQ63)))</f>
        <v>139.39999999999998</v>
      </c>
      <c r="AJ64" s="14">
        <f>AI64*VLOOKUP('Données projet'!$B$10,Paramètres!$A$1:$I$89,3,0)*VLOOKUP('Données projet'!$B$10,Paramètres!$A$1:$I$89,5,0)</f>
        <v>152.22479999999999</v>
      </c>
      <c r="AK64" s="14">
        <f t="shared" si="35"/>
        <v>39.08374535455718</v>
      </c>
      <c r="AL64" s="22">
        <f t="shared" si="4"/>
        <v>333.19571649252038</v>
      </c>
      <c r="AM64" s="62">
        <f t="shared" si="5"/>
        <v>626.52904982585369</v>
      </c>
      <c r="AN64" s="62">
        <f ca="1">AVERAGE(OFFSET($AM$3,0,0,'Données projet'!$E$10+1,1))-AVERAGE(OFFSET($H$3,0,0,'Données projet'!$E$10+1,1))</f>
        <v>224.31750842452965</v>
      </c>
      <c r="AO64" s="62">
        <f t="shared" si="36"/>
        <v>94.125825809616856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7.2598612942197143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7.2598612942197143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2.2737367544323206E-13</v>
      </c>
      <c r="O65" s="14">
        <f>N65*VLOOKUP('Données projet'!$B$9,Paramètres!$A$1:$I$89,3,0)*VLOOKUP('Données projet'!$B$9,Paramètres!$A$1:$I$89,5,0)</f>
        <v>1.3596945791505279E-13</v>
      </c>
      <c r="P65" s="14">
        <f t="shared" si="33"/>
        <v>1.9708830566360721E-12</v>
      </c>
      <c r="Q65" s="22">
        <f t="shared" si="53"/>
        <v>3.669434796176543E-12</v>
      </c>
      <c r="R65" s="62">
        <f t="shared" si="0"/>
        <v>293.33333333333701</v>
      </c>
      <c r="S65" s="62">
        <f ca="1">AVERAGE(OFFSET($R$3,0,0,'Données projet'!$E$9+1,1))-AVERAGE(OFFSET($H$3,0,0,'Données projet'!$E$9+1,1))</f>
        <v>234.60993819620847</v>
      </c>
      <c r="T65" s="62">
        <f t="shared" si="34"/>
        <v>346.26896655159095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138.50635151670673</v>
      </c>
      <c r="AA65" s="23">
        <f>EXP(-LN(2)/25)*AA64+(1-EXP(-LN(2)/25))/(LN(2)/25)*Calculateur!V65*Calculateur!X65*VLOOKUP('Données projet'!$B$9,Paramètres!$A$1:$I$89,3,0)*0.475*44/12</f>
        <v>13.352129188565534</v>
      </c>
      <c r="AB65" s="23">
        <f>EXP(-LN(2)/2)*AB64+(1-EXP(-LN(2)/2))/(LN(2)/2)*V65*Y65*VLOOKUP('Données projet'!$B$9,Paramètres!$A$1:$I$89,3,0)*0.475*44/12</f>
        <v>3.7860626311765379E-2</v>
      </c>
      <c r="AC65" s="24">
        <f t="shared" si="3"/>
        <v>151.89634133158401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5.4</v>
      </c>
      <c r="AI65" s="14">
        <f>IF('Données projet'!$A$62&gt;35,AI64+AH65-AQ64,IF(A65&lt;'Données projet'!$A$62,$AF$205^A65,IF(A65='Données projet'!$A$62,'Données projet'!$B$62,AI64+AH65-AQ64)))</f>
        <v>144.79999999999998</v>
      </c>
      <c r="AJ65" s="14">
        <f>AI65*VLOOKUP('Données projet'!$B$10,Paramètres!$A$1:$I$89,3,0)*VLOOKUP('Données projet'!$B$10,Paramètres!$A$1:$I$89,5,0)</f>
        <v>158.12159999999997</v>
      </c>
      <c r="AK65" s="14">
        <f t="shared" si="35"/>
        <v>40.418546284954211</v>
      </c>
      <c r="AL65" s="22">
        <f t="shared" si="4"/>
        <v>345.79075477962851</v>
      </c>
      <c r="AM65" s="62">
        <f t="shared" si="5"/>
        <v>639.12408811296177</v>
      </c>
      <c r="AN65" s="62">
        <f ca="1">AVERAGE(OFFSET($AM$3,0,0,'Données projet'!$E$10+1,1))-AVERAGE(OFFSET($H$3,0,0,'Données projet'!$E$10+1,1))</f>
        <v>224.31750842452965</v>
      </c>
      <c r="AO65" s="62">
        <f t="shared" si="36"/>
        <v>94.125825809616856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7.1174998423182183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7.1174998423182183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2.2737367544323206E-13</v>
      </c>
      <c r="O66" s="14">
        <f>N66*VLOOKUP('Données projet'!$B$9,Paramètres!$A$1:$I$89,3,0)*VLOOKUP('Données projet'!$B$9,Paramètres!$A$1:$I$89,5,0)</f>
        <v>1.3596945791505279E-13</v>
      </c>
      <c r="P66" s="14">
        <f t="shared" si="33"/>
        <v>1.9708830566360721E-12</v>
      </c>
      <c r="Q66" s="22">
        <f t="shared" si="53"/>
        <v>3.669434796176543E-12</v>
      </c>
      <c r="R66" s="62">
        <f t="shared" si="0"/>
        <v>293.33333333333701</v>
      </c>
      <c r="S66" s="62">
        <f ca="1">AVERAGE(OFFSET($R$3,0,0,'Données projet'!$E$9+1,1))-AVERAGE(OFFSET($H$3,0,0,'Données projet'!$E$9+1,1))</f>
        <v>234.60993819620847</v>
      </c>
      <c r="T66" s="62">
        <f t="shared" si="34"/>
        <v>346.26896655159095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135.79032644399678</v>
      </c>
      <c r="AA66" s="23">
        <f>EXP(-LN(2)/25)*AA65+(1-EXP(-LN(2)/25))/(LN(2)/25)*Calculateur!V66*Calculateur!X66*VLOOKUP('Données projet'!$B$9,Paramètres!$A$1:$I$89,3,0)*0.475*44/12</f>
        <v>12.987014513746253</v>
      </c>
      <c r="AB66" s="23">
        <f>EXP(-LN(2)/2)*AB65+(1-EXP(-LN(2)/2))/(LN(2)/2)*V66*Y66*VLOOKUP('Données projet'!$B$9,Paramètres!$A$1:$I$89,3,0)*0.475*44/12</f>
        <v>2.6771505605019126E-2</v>
      </c>
      <c r="AC66" s="24">
        <f t="shared" si="3"/>
        <v>148.80411246334805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5.4</v>
      </c>
      <c r="AI66" s="14">
        <f>IF('Données projet'!$A$62&gt;35,AI65+AH66-AQ65,IF(A66&lt;'Données projet'!$A$62,$AF$205^A66,IF(A66='Données projet'!$A$62,'Données projet'!$B$62,AI65+AH66-AQ65)))</f>
        <v>150.19999999999999</v>
      </c>
      <c r="AJ66" s="14">
        <f>AI66*VLOOKUP('Données projet'!$B$10,Paramètres!$A$1:$I$89,3,0)*VLOOKUP('Données projet'!$B$10,Paramètres!$A$1:$I$89,5,0)</f>
        <v>164.01839999999999</v>
      </c>
      <c r="AK66" s="14">
        <f t="shared" si="35"/>
        <v>41.747564141322293</v>
      </c>
      <c r="AL66" s="22">
        <f t="shared" si="4"/>
        <v>358.37572087946961</v>
      </c>
      <c r="AM66" s="62">
        <f t="shared" si="5"/>
        <v>651.70905421280293</v>
      </c>
      <c r="AN66" s="62">
        <f ca="1">AVERAGE(OFFSET($AM$3,0,0,'Données projet'!$E$10+1,1))-AVERAGE(OFFSET($H$3,0,0,'Données projet'!$E$10+1,1))</f>
        <v>224.31750842452965</v>
      </c>
      <c r="AO66" s="62">
        <f t="shared" si="36"/>
        <v>94.125825809616856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6.977930011656599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6.977930011656599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2.2737367544323206E-13</v>
      </c>
      <c r="O67" s="14">
        <f>N67*VLOOKUP('Données projet'!$B$9,Paramètres!$A$1:$I$89,3,0)*VLOOKUP('Données projet'!$B$9,Paramètres!$A$1:$I$89,5,0)</f>
        <v>1.3596945791505279E-13</v>
      </c>
      <c r="P67" s="14">
        <f t="shared" si="33"/>
        <v>1.9708830566360721E-12</v>
      </c>
      <c r="Q67" s="22">
        <f t="shared" ref="Q67:Q98" si="54">(O67+P67)*0.475*44/12</f>
        <v>3.669434796176543E-12</v>
      </c>
      <c r="R67" s="62">
        <f t="shared" ref="R67:R130" si="55">Q67+(I67+J67)*44/12</f>
        <v>293.33333333333701</v>
      </c>
      <c r="S67" s="62">
        <f ca="1">AVERAGE(OFFSET($R$3,0,0,'Données projet'!$E$9+1,1))-AVERAGE(OFFSET($H$3,0,0,'Données projet'!$E$9+1,1))</f>
        <v>234.60993819620847</v>
      </c>
      <c r="T67" s="62">
        <f t="shared" si="34"/>
        <v>346.26896655159095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133.12756096635096</v>
      </c>
      <c r="AA67" s="23">
        <f>EXP(-LN(2)/25)*AA66+(1-EXP(-LN(2)/25))/(LN(2)/25)*Calculateur!V67*Calculateur!X67*VLOOKUP('Données projet'!$B$9,Paramètres!$A$1:$I$89,3,0)*0.475*44/12</f>
        <v>12.63188391891045</v>
      </c>
      <c r="AB67" s="23">
        <f>EXP(-LN(2)/2)*AB66+(1-EXP(-LN(2)/2))/(LN(2)/2)*V67*Y67*VLOOKUP('Données projet'!$B$9,Paramètres!$A$1:$I$89,3,0)*0.475*44/12</f>
        <v>1.8930313155882689E-2</v>
      </c>
      <c r="AC67" s="24">
        <f t="shared" si="3"/>
        <v>145.77837519841731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5.4</v>
      </c>
      <c r="AI67" s="14">
        <f>IF('Données projet'!$A$62&gt;35,AI66+AH67-AQ66,IF(A67&lt;'Données projet'!$A$62,$AF$205^A67,IF(A67='Données projet'!$A$62,'Données projet'!$B$62,AI66+AH67-AQ66)))</f>
        <v>155.6</v>
      </c>
      <c r="AJ67" s="14">
        <f>AI67*VLOOKUP('Données projet'!$B$10,Paramètres!$A$1:$I$89,3,0)*VLOOKUP('Données projet'!$B$10,Paramètres!$A$1:$I$89,5,0)</f>
        <v>169.9152</v>
      </c>
      <c r="AK67" s="14">
        <f t="shared" si="35"/>
        <v>43.071030654758822</v>
      </c>
      <c r="AL67" s="22">
        <f t="shared" si="4"/>
        <v>370.95101839037164</v>
      </c>
      <c r="AM67" s="62">
        <f t="shared" si="5"/>
        <v>664.28435172370496</v>
      </c>
      <c r="AN67" s="62">
        <f ca="1">AVERAGE(OFFSET($AM$3,0,0,'Données projet'!$E$10+1,1))-AVERAGE(OFFSET($H$3,0,0,'Données projet'!$E$10+1,1))</f>
        <v>224.31750842452965</v>
      </c>
      <c r="AO67" s="62">
        <f t="shared" si="36"/>
        <v>94.125825809616856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6.8410970602450636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6.8410970602450636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2.2737367544323206E-13</v>
      </c>
      <c r="O68" s="14">
        <f>N68*VLOOKUP('Données projet'!$B$9,Paramètres!$A$1:$I$89,3,0)*VLOOKUP('Données projet'!$B$9,Paramètres!$A$1:$I$89,5,0)</f>
        <v>1.3596945791505279E-13</v>
      </c>
      <c r="P68" s="14">
        <f t="shared" si="33"/>
        <v>1.9708830566360721E-12</v>
      </c>
      <c r="Q68" s="22">
        <f t="shared" si="54"/>
        <v>3.669434796176543E-12</v>
      </c>
      <c r="R68" s="62">
        <f t="shared" si="55"/>
        <v>293.33333333333701</v>
      </c>
      <c r="S68" s="62">
        <f ca="1">AVERAGE(OFFSET($R$3,0,0,'Données projet'!$E$9+1,1))-AVERAGE(OFFSET($H$3,0,0,'Données projet'!$E$9+1,1))</f>
        <v>234.60993819620847</v>
      </c>
      <c r="T68" s="62">
        <f t="shared" si="34"/>
        <v>346.26896655159095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130.51701069559519</v>
      </c>
      <c r="AA68" s="23">
        <f>EXP(-LN(2)/25)*AA67+(1-EXP(-LN(2)/25))/(LN(2)/25)*Calculateur!V68*Calculateur!X68*VLOOKUP('Données projet'!$B$9,Paramètres!$A$1:$I$89,3,0)*0.475*44/12</f>
        <v>12.286464388865939</v>
      </c>
      <c r="AB68" s="23">
        <f>EXP(-LN(2)/2)*AB67+(1-EXP(-LN(2)/2))/(LN(2)/2)*V68*Y68*VLOOKUP('Données projet'!$B$9,Paramètres!$A$1:$I$89,3,0)*0.475*44/12</f>
        <v>1.3385752802509563E-2</v>
      </c>
      <c r="AC68" s="24">
        <f t="shared" ref="AC68:AC131" si="57">SUM(Z68:AB68)</f>
        <v>142.81686083726365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161</v>
      </c>
      <c r="AG68" s="13">
        <f>VLOOKUP(A68,'Données projet'!$A$61:$I$81,9,0)</f>
        <v>5.4</v>
      </c>
      <c r="AH68" s="13">
        <f t="array" ref="AH68">INDEX(AG:AG,MIN(IF(ISNUMBER(AG68:AG264),ROW(AG68:AG264),"")))</f>
        <v>5.4</v>
      </c>
      <c r="AI68" s="14">
        <f>IF('Données projet'!$A$62&gt;35,AI67+AH68-AQ67,IF(A68&lt;'Données projet'!$A$62,$AF$205^A68,IF(A68='Données projet'!$A$62,'Données projet'!$B$62,AI67+AH68-AQ67)))</f>
        <v>161</v>
      </c>
      <c r="AJ68" s="14">
        <f>AI68*VLOOKUP('Données projet'!$B$10,Paramètres!$A$1:$I$89,3,0)*VLOOKUP('Données projet'!$B$10,Paramètres!$A$1:$I$89,5,0)</f>
        <v>175.81199999999998</v>
      </c>
      <c r="AK68" s="14">
        <f t="shared" si="35"/>
        <v>44.389160560041141</v>
      </c>
      <c r="AL68" s="22">
        <f t="shared" ref="AL68:AL131" si="58">(AJ68+AK68)*0.475*44/12</f>
        <v>383.51702130873826</v>
      </c>
      <c r="AM68" s="62">
        <f t="shared" ref="AM68:AM131" si="59">AL68+(AD68+AE68)*44/12</f>
        <v>676.85035464207158</v>
      </c>
      <c r="AN68" s="62">
        <f ca="1">AVERAGE(OFFSET($AM$3,0,0,'Données projet'!$E$10+1,1))-AVERAGE(OFFSET($H$3,0,0,'Données projet'!$E$10+1,1))</f>
        <v>224.31750842452965</v>
      </c>
      <c r="AO68" s="62">
        <f t="shared" si="36"/>
        <v>94.125825809616856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14</v>
      </c>
      <c r="AR68" s="17">
        <f>IF(ISNA(VLOOKUP(A68,'Données projet'!$A$61:$I$81,5,0)),0%,VLOOKUP(A68,'Données projet'!$A$61:$I$81,5,0)*VLOOKUP('Données projet'!$B$10,Paramètres!$A$1:$I$89,7,0))</f>
        <v>0.17200000000000001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9.6138214794664059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9.6138214794664059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2.2737367544323206E-13</v>
      </c>
      <c r="O69" s="14">
        <f>N69*VLOOKUP('Données projet'!$B$9,Paramètres!$A$1:$I$89,3,0)*VLOOKUP('Données projet'!$B$9,Paramètres!$A$1:$I$89,5,0)</f>
        <v>1.3596945791505279E-13</v>
      </c>
      <c r="P69" s="14">
        <f t="shared" ref="P69:P132" si="87">EXP(-1.0587+0.8836*LN(O69)+0.284)</f>
        <v>1.9708830566360721E-12</v>
      </c>
      <c r="Q69" s="22">
        <f t="shared" si="54"/>
        <v>3.669434796176543E-12</v>
      </c>
      <c r="R69" s="62">
        <f t="shared" si="55"/>
        <v>293.33333333333701</v>
      </c>
      <c r="S69" s="62">
        <f ca="1">AVERAGE(OFFSET($R$3,0,0,'Données projet'!$E$9+1,1))-AVERAGE(OFFSET($H$3,0,0,'Données projet'!$E$9+1,1))</f>
        <v>234.60993819620847</v>
      </c>
      <c r="T69" s="62">
        <f t="shared" ref="T69:T132" si="88">$T$3</f>
        <v>346.26896655159095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127.9576517233705</v>
      </c>
      <c r="AA69" s="23">
        <f>EXP(-LN(2)/25)*AA68+(1-EXP(-LN(2)/25))/(LN(2)/25)*Calculateur!V69*Calculateur!X69*VLOOKUP('Données projet'!$B$9,Paramètres!$A$1:$I$89,3,0)*0.475*44/12</f>
        <v>11.950490374035319</v>
      </c>
      <c r="AB69" s="23">
        <f>EXP(-LN(2)/2)*AB68+(1-EXP(-LN(2)/2))/(LN(2)/2)*V69*Y69*VLOOKUP('Données projet'!$B$9,Paramètres!$A$1:$I$89,3,0)*0.475*44/12</f>
        <v>9.4651565779413447E-3</v>
      </c>
      <c r="AC69" s="24">
        <f t="shared" si="57"/>
        <v>139.91760725398376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</v>
      </c>
      <c r="AI69" s="14">
        <f>IF('Données projet'!$A$62&gt;35,AI68+AH69-AQ68,IF(A69&lt;'Données projet'!$A$62,$AF$205^A69,IF(A69='Données projet'!$A$62,'Données projet'!$B$62,AI68+AH69-AQ68)))</f>
        <v>152</v>
      </c>
      <c r="AJ69" s="14">
        <f>AI69*VLOOKUP('Données projet'!$B$10,Paramètres!$A$1:$I$89,3,0)*VLOOKUP('Données projet'!$B$10,Paramètres!$A$1:$I$89,5,0)</f>
        <v>165.98399999999998</v>
      </c>
      <c r="AK69" s="14">
        <f t="shared" ref="AK69:AK132" si="89">EXP(-1.0587+0.8836*LN(AJ69)+0.284)</f>
        <v>42.189325525922243</v>
      </c>
      <c r="AL69" s="22">
        <f t="shared" si="58"/>
        <v>362.56854195764782</v>
      </c>
      <c r="AM69" s="62">
        <f t="shared" si="59"/>
        <v>655.90187529098114</v>
      </c>
      <c r="AN69" s="62">
        <f ca="1">AVERAGE(OFFSET($AM$3,0,0,'Données projet'!$E$10+1,1))-AVERAGE(OFFSET($H$3,0,0,'Données projet'!$E$10+1,1))</f>
        <v>224.31750842452965</v>
      </c>
      <c r="AO69" s="62">
        <f t="shared" ref="AO69:AO132" si="90">$AO$3</f>
        <v>94.125825809616856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9.4253003041061643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9.4253003041061643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2.2737367544323206E-13</v>
      </c>
      <c r="O70" s="14">
        <f>N70*VLOOKUP('Données projet'!$B$9,Paramètres!$A$1:$I$89,3,0)*VLOOKUP('Données projet'!$B$9,Paramètres!$A$1:$I$89,5,0)</f>
        <v>1.3596945791505279E-13</v>
      </c>
      <c r="P70" s="14">
        <f t="shared" si="87"/>
        <v>1.9708830566360721E-12</v>
      </c>
      <c r="Q70" s="22">
        <f t="shared" si="54"/>
        <v>3.669434796176543E-12</v>
      </c>
      <c r="R70" s="62">
        <f t="shared" si="55"/>
        <v>293.33333333333701</v>
      </c>
      <c r="S70" s="62">
        <f ca="1">AVERAGE(OFFSET($R$3,0,0,'Données projet'!$E$9+1,1))-AVERAGE(OFFSET($H$3,0,0,'Données projet'!$E$9+1,1))</f>
        <v>234.60993819620847</v>
      </c>
      <c r="T70" s="62">
        <f t="shared" si="88"/>
        <v>346.26896655159095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125.44848021953631</v>
      </c>
      <c r="AA70" s="23">
        <f>EXP(-LN(2)/25)*AA69+(1-EXP(-LN(2)/25))/(LN(2)/25)*Calculateur!V70*Calculateur!X70*VLOOKUP('Données projet'!$B$9,Paramètres!$A$1:$I$89,3,0)*0.475*44/12</f>
        <v>11.623703586308347</v>
      </c>
      <c r="AB70" s="23">
        <f>EXP(-LN(2)/2)*AB69+(1-EXP(-LN(2)/2))/(LN(2)/2)*V70*Y70*VLOOKUP('Données projet'!$B$9,Paramètres!$A$1:$I$89,3,0)*0.475*44/12</f>
        <v>6.6928764012547815E-3</v>
      </c>
      <c r="AC70" s="24">
        <f t="shared" si="57"/>
        <v>137.07887668224589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</v>
      </c>
      <c r="AI70" s="14">
        <f>IF('Données projet'!$A$62&gt;35,AI69+AH70-AQ69,IF(A70&lt;'Données projet'!$A$62,$AF$205^A70,IF(A70='Données projet'!$A$62,'Données projet'!$B$62,AI69+AH70-AQ69)))</f>
        <v>157</v>
      </c>
      <c r="AJ70" s="14">
        <f>AI70*VLOOKUP('Données projet'!$B$10,Paramètres!$A$1:$I$89,3,0)*VLOOKUP('Données projet'!$B$10,Paramètres!$A$1:$I$89,5,0)</f>
        <v>171.44399999999999</v>
      </c>
      <c r="AK70" s="14">
        <f t="shared" si="89"/>
        <v>43.413272173627242</v>
      </c>
      <c r="AL70" s="22">
        <f t="shared" si="58"/>
        <v>374.20974903573409</v>
      </c>
      <c r="AM70" s="62">
        <f t="shared" si="59"/>
        <v>667.54308236906741</v>
      </c>
      <c r="AN70" s="62">
        <f ca="1">AVERAGE(OFFSET($AM$3,0,0,'Données projet'!$E$10+1,1))-AVERAGE(OFFSET($H$3,0,0,'Données projet'!$E$10+1,1))</f>
        <v>224.31750842452965</v>
      </c>
      <c r="AO70" s="62">
        <f t="shared" si="90"/>
        <v>94.125825809616856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9.240475914008174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9.240475914008174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2.2737367544323206E-13</v>
      </c>
      <c r="O71" s="14">
        <f>N71*VLOOKUP('Données projet'!$B$9,Paramètres!$A$1:$I$89,3,0)*VLOOKUP('Données projet'!$B$9,Paramètres!$A$1:$I$89,5,0)</f>
        <v>1.3596945791505279E-13</v>
      </c>
      <c r="P71" s="14">
        <f t="shared" si="87"/>
        <v>1.9708830566360721E-12</v>
      </c>
      <c r="Q71" s="22">
        <f t="shared" si="54"/>
        <v>3.669434796176543E-12</v>
      </c>
      <c r="R71" s="62">
        <f t="shared" si="55"/>
        <v>293.33333333333701</v>
      </c>
      <c r="S71" s="62">
        <f ca="1">AVERAGE(OFFSET($R$3,0,0,'Données projet'!$E$9+1,1))-AVERAGE(OFFSET($H$3,0,0,'Données projet'!$E$9+1,1))</f>
        <v>234.60993819620847</v>
      </c>
      <c r="T71" s="62">
        <f t="shared" si="88"/>
        <v>346.26896655159095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122.9885120384488</v>
      </c>
      <c r="AA71" s="23">
        <f>EXP(-LN(2)/25)*AA70+(1-EXP(-LN(2)/25))/(LN(2)/25)*Calculateur!V71*Calculateur!X71*VLOOKUP('Données projet'!$B$9,Paramètres!$A$1:$I$89,3,0)*0.475*44/12</f>
        <v>11.305852800476739</v>
      </c>
      <c r="AB71" s="23">
        <f>EXP(-LN(2)/2)*AB70+(1-EXP(-LN(2)/2))/(LN(2)/2)*V71*Y71*VLOOKUP('Données projet'!$B$9,Paramètres!$A$1:$I$89,3,0)*0.475*44/12</f>
        <v>4.7325782889706723E-3</v>
      </c>
      <c r="AC71" s="24">
        <f t="shared" si="57"/>
        <v>134.29909741721451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</v>
      </c>
      <c r="AI71" s="14">
        <f>IF('Données projet'!$A$62&gt;35,AI70+AH71-AQ70,IF(A71&lt;'Données projet'!$A$62,$AF$205^A71,IF(A71='Données projet'!$A$62,'Données projet'!$B$62,AI70+AH71-AQ70)))</f>
        <v>162</v>
      </c>
      <c r="AJ71" s="14">
        <f>AI71*VLOOKUP('Données projet'!$B$10,Paramètres!$A$1:$I$89,3,0)*VLOOKUP('Données projet'!$B$10,Paramètres!$A$1:$I$89,5,0)</f>
        <v>176.904</v>
      </c>
      <c r="AK71" s="14">
        <f t="shared" si="89"/>
        <v>44.632689233663157</v>
      </c>
      <c r="AL71" s="22">
        <f t="shared" si="58"/>
        <v>385.84306708196328</v>
      </c>
      <c r="AM71" s="62">
        <f t="shared" si="59"/>
        <v>679.1764004152966</v>
      </c>
      <c r="AN71" s="62">
        <f ca="1">AVERAGE(OFFSET($AM$3,0,0,'Données projet'!$E$10+1,1))-AVERAGE(OFFSET($H$3,0,0,'Données projet'!$E$10+1,1))</f>
        <v>224.31750842452965</v>
      </c>
      <c r="AO71" s="62">
        <f t="shared" si="90"/>
        <v>94.125825809616856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9.0592758174682597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9.0592758174682597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2.2737367544323206E-13</v>
      </c>
      <c r="O72" s="14">
        <f>N72*VLOOKUP('Données projet'!$B$9,Paramètres!$A$1:$I$89,3,0)*VLOOKUP('Données projet'!$B$9,Paramètres!$A$1:$I$89,5,0)</f>
        <v>1.3596945791505279E-13</v>
      </c>
      <c r="P72" s="14">
        <f t="shared" si="87"/>
        <v>1.9708830566360721E-12</v>
      </c>
      <c r="Q72" s="22">
        <f t="shared" si="54"/>
        <v>3.669434796176543E-12</v>
      </c>
      <c r="R72" s="62">
        <f t="shared" si="55"/>
        <v>293.33333333333701</v>
      </c>
      <c r="S72" s="62">
        <f ca="1">AVERAGE(OFFSET($R$3,0,0,'Données projet'!$E$9+1,1))-AVERAGE(OFFSET($H$3,0,0,'Données projet'!$E$9+1,1))</f>
        <v>234.60993819620847</v>
      </c>
      <c r="T72" s="62">
        <f t="shared" si="88"/>
        <v>346.26896655159095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120.57678233295999</v>
      </c>
      <c r="AA72" s="23">
        <f>EXP(-LN(2)/25)*AA71+(1-EXP(-LN(2)/25))/(LN(2)/25)*Calculateur!V72*Calculateur!X72*VLOOKUP('Données projet'!$B$9,Paramètres!$A$1:$I$89,3,0)*0.475*44/12</f>
        <v>10.996693661098744</v>
      </c>
      <c r="AB72" s="23">
        <f>EXP(-LN(2)/2)*AB71+(1-EXP(-LN(2)/2))/(LN(2)/2)*V72*Y72*VLOOKUP('Données projet'!$B$9,Paramètres!$A$1:$I$89,3,0)*0.475*44/12</f>
        <v>3.3464382006273908E-3</v>
      </c>
      <c r="AC72" s="24">
        <f t="shared" si="57"/>
        <v>131.57682243225935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</v>
      </c>
      <c r="AI72" s="14">
        <f>IF('Données projet'!$A$62&gt;35,AI71+AH72-AQ71,IF(A72&lt;'Données projet'!$A$62,$AF$205^A72,IF(A72='Données projet'!$A$62,'Données projet'!$B$62,AI71+AH72-AQ71)))</f>
        <v>167</v>
      </c>
      <c r="AJ72" s="14">
        <f>AI72*VLOOKUP('Données projet'!$B$10,Paramètres!$A$1:$I$89,3,0)*VLOOKUP('Données projet'!$B$10,Paramètres!$A$1:$I$89,5,0)</f>
        <v>182.364</v>
      </c>
      <c r="AK72" s="14">
        <f t="shared" si="89"/>
        <v>45.847732551256655</v>
      </c>
      <c r="AL72" s="22">
        <f t="shared" si="58"/>
        <v>397.46876752677196</v>
      </c>
      <c r="AM72" s="62">
        <f t="shared" si="59"/>
        <v>690.80210086010527</v>
      </c>
      <c r="AN72" s="62">
        <f ca="1">AVERAGE(OFFSET($AM$3,0,0,'Données projet'!$E$10+1,1))-AVERAGE(OFFSET($H$3,0,0,'Données projet'!$E$10+1,1))</f>
        <v>224.31750842452965</v>
      </c>
      <c r="AO72" s="62">
        <f t="shared" si="90"/>
        <v>94.125825809616856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8.8816289443003473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8.8816289443003473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2.2737367544323206E-13</v>
      </c>
      <c r="O73" s="14">
        <f>N73*VLOOKUP('Données projet'!$B$9,Paramètres!$A$1:$I$89,3,0)*VLOOKUP('Données projet'!$B$9,Paramètres!$A$1:$I$89,5,0)</f>
        <v>1.3596945791505279E-13</v>
      </c>
      <c r="P73" s="14">
        <f t="shared" si="87"/>
        <v>1.9708830566360721E-12</v>
      </c>
      <c r="Q73" s="22">
        <f t="shared" si="54"/>
        <v>3.669434796176543E-12</v>
      </c>
      <c r="R73" s="62">
        <f t="shared" si="55"/>
        <v>293.33333333333701</v>
      </c>
      <c r="S73" s="62">
        <f ca="1">AVERAGE(OFFSET($R$3,0,0,'Données projet'!$E$9+1,1))-AVERAGE(OFFSET($H$3,0,0,'Données projet'!$E$9+1,1))</f>
        <v>234.60993819620847</v>
      </c>
      <c r="T73" s="62">
        <f t="shared" si="88"/>
        <v>346.26896655159095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118.21234517598594</v>
      </c>
      <c r="AA73" s="23">
        <f>EXP(-LN(2)/25)*AA72+(1-EXP(-LN(2)/25))/(LN(2)/25)*Calculateur!V73*Calculateur!X73*VLOOKUP('Données projet'!$B$9,Paramètres!$A$1:$I$89,3,0)*0.475*44/12</f>
        <v>10.695988494645013</v>
      </c>
      <c r="AB73" s="23">
        <f>EXP(-LN(2)/2)*AB72+(1-EXP(-LN(2)/2))/(LN(2)/2)*V73*Y73*VLOOKUP('Données projet'!$B$9,Paramètres!$A$1:$I$89,3,0)*0.475*44/12</f>
        <v>2.3662891444853362E-3</v>
      </c>
      <c r="AC73" s="24">
        <f t="shared" si="57"/>
        <v>128.91069995977543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172</v>
      </c>
      <c r="AG73" s="13">
        <f>VLOOKUP(A73,'Données projet'!$A$61:$I$81,9,0)</f>
        <v>5</v>
      </c>
      <c r="AH73" s="13">
        <f t="array" ref="AH73">INDEX(AG:AG,MIN(IF(ISNUMBER(AG73:AG269),ROW(AG73:AG269),"")))</f>
        <v>5</v>
      </c>
      <c r="AI73" s="14">
        <f>IF('Données projet'!$A$62&gt;35,AI72+AH73-AQ72,IF(A73&lt;'Données projet'!$A$62,$AF$205^A73,IF(A73='Données projet'!$A$62,'Données projet'!$B$62,AI72+AH73-AQ72)))</f>
        <v>172</v>
      </c>
      <c r="AJ73" s="14">
        <f>AI73*VLOOKUP('Données projet'!$B$10,Paramètres!$A$1:$I$89,3,0)*VLOOKUP('Données projet'!$B$10,Paramètres!$A$1:$I$89,5,0)</f>
        <v>187.82399999999998</v>
      </c>
      <c r="AK73" s="14">
        <f t="shared" si="89"/>
        <v>47.05854810918273</v>
      </c>
      <c r="AL73" s="22">
        <f t="shared" si="58"/>
        <v>409.08710462349319</v>
      </c>
      <c r="AM73" s="62">
        <f t="shared" si="59"/>
        <v>702.4204379568265</v>
      </c>
      <c r="AN73" s="62">
        <f ca="1">AVERAGE(OFFSET($AM$3,0,0,'Données projet'!$E$10+1,1))-AVERAGE(OFFSET($H$3,0,0,'Données projet'!$E$10+1,1))</f>
        <v>224.31750842452965</v>
      </c>
      <c r="AO73" s="62">
        <f t="shared" si="90"/>
        <v>94.125825809616856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14</v>
      </c>
      <c r="AR73" s="17">
        <f>IF(ISNA(VLOOKUP(A73,'Données projet'!$A$61:$I$81,5,0)),0%,VLOOKUP(A73,'Données projet'!$A$61:$I$81,5,0)*VLOOKUP('Données projet'!$B$10,Paramètres!$A$1:$I$89,7,0))</f>
        <v>0.17200000000000001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11.61433977787692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11.61433977787692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2.2737367544323206E-13</v>
      </c>
      <c r="O74" s="14">
        <f>N74*VLOOKUP('Données projet'!$B$9,Paramètres!$A$1:$I$89,3,0)*VLOOKUP('Données projet'!$B$9,Paramètres!$A$1:$I$89,5,0)</f>
        <v>1.3596945791505279E-13</v>
      </c>
      <c r="P74" s="14">
        <f t="shared" si="87"/>
        <v>1.9708830566360721E-12</v>
      </c>
      <c r="Q74" s="22">
        <f t="shared" si="54"/>
        <v>3.669434796176543E-12</v>
      </c>
      <c r="R74" s="62">
        <f t="shared" si="55"/>
        <v>293.33333333333701</v>
      </c>
      <c r="S74" s="62">
        <f ca="1">AVERAGE(OFFSET($R$3,0,0,'Données projet'!$E$9+1,1))-AVERAGE(OFFSET($H$3,0,0,'Données projet'!$E$9+1,1))</f>
        <v>234.60993819620847</v>
      </c>
      <c r="T74" s="62">
        <f t="shared" si="88"/>
        <v>346.26896655159095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115.89427318949589</v>
      </c>
      <c r="AA74" s="23">
        <f>EXP(-LN(2)/25)*AA73+(1-EXP(-LN(2)/25))/(LN(2)/25)*Calculateur!V74*Calculateur!X74*VLOOKUP('Données projet'!$B$9,Paramètres!$A$1:$I$89,3,0)*0.475*44/12</f>
        <v>10.403506126781355</v>
      </c>
      <c r="AB74" s="23">
        <f>EXP(-LN(2)/2)*AB73+(1-EXP(-LN(2)/2))/(LN(2)/2)*V74*Y74*VLOOKUP('Données projet'!$B$9,Paramètres!$A$1:$I$89,3,0)*0.475*44/12</f>
        <v>1.6732191003136954E-3</v>
      </c>
      <c r="AC74" s="24">
        <f t="shared" si="57"/>
        <v>126.29945253537755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5</v>
      </c>
      <c r="AI74" s="14">
        <f>IF('Données projet'!$A$62&gt;35,AI73+AH74-AQ73,IF(A74&lt;'Données projet'!$A$62,$AF$205^A74,IF(A74='Données projet'!$A$62,'Données projet'!$B$62,AI73+AH74-AQ73)))</f>
        <v>163</v>
      </c>
      <c r="AJ74" s="14">
        <f>AI74*VLOOKUP('Données projet'!$B$10,Paramètres!$A$1:$I$89,3,0)*VLOOKUP('Données projet'!$B$10,Paramètres!$A$1:$I$89,5,0)</f>
        <v>177.99600000000001</v>
      </c>
      <c r="AK74" s="14">
        <f t="shared" si="89"/>
        <v>44.876042989096391</v>
      </c>
      <c r="AL74" s="22">
        <f t="shared" si="58"/>
        <v>388.16880820600954</v>
      </c>
      <c r="AM74" s="62">
        <f t="shared" si="59"/>
        <v>681.5021415393428</v>
      </c>
      <c r="AN74" s="62">
        <f ca="1">AVERAGE(OFFSET($AM$3,0,0,'Données projet'!$E$10+1,1))-AVERAGE(OFFSET($H$3,0,0,'Données projet'!$E$10+1,1))</f>
        <v>224.31750842452965</v>
      </c>
      <c r="AO74" s="62">
        <f t="shared" si="90"/>
        <v>94.125825809616856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11.386589658880526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11.386589658880526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2.2737367544323206E-13</v>
      </c>
      <c r="O75" s="14">
        <f>N75*VLOOKUP('Données projet'!$B$9,Paramètres!$A$1:$I$89,3,0)*VLOOKUP('Données projet'!$B$9,Paramètres!$A$1:$I$89,5,0)</f>
        <v>1.3596945791505279E-13</v>
      </c>
      <c r="P75" s="14">
        <f t="shared" si="87"/>
        <v>1.9708830566360721E-12</v>
      </c>
      <c r="Q75" s="22">
        <f t="shared" si="54"/>
        <v>3.669434796176543E-12</v>
      </c>
      <c r="R75" s="62">
        <f t="shared" si="55"/>
        <v>293.33333333333701</v>
      </c>
      <c r="S75" s="62">
        <f ca="1">AVERAGE(OFFSET($R$3,0,0,'Données projet'!$E$9+1,1))-AVERAGE(OFFSET($H$3,0,0,'Données projet'!$E$9+1,1))</f>
        <v>234.60993819620847</v>
      </c>
      <c r="T75" s="62">
        <f t="shared" si="88"/>
        <v>346.26896655159095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113.62165718077661</v>
      </c>
      <c r="AA75" s="23">
        <f>EXP(-LN(2)/25)*AA74+(1-EXP(-LN(2)/25))/(LN(2)/25)*Calculateur!V75*Calculateur!X75*VLOOKUP('Données projet'!$B$9,Paramètres!$A$1:$I$89,3,0)*0.475*44/12</f>
        <v>10.11902170464791</v>
      </c>
      <c r="AB75" s="23">
        <f>EXP(-LN(2)/2)*AB74+(1-EXP(-LN(2)/2))/(LN(2)/2)*V75*Y75*VLOOKUP('Données projet'!$B$9,Paramètres!$A$1:$I$89,3,0)*0.475*44/12</f>
        <v>1.1831445722426681E-3</v>
      </c>
      <c r="AC75" s="24">
        <f t="shared" si="57"/>
        <v>123.74186202999675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5</v>
      </c>
      <c r="AI75" s="14">
        <f>IF('Données projet'!$A$62&gt;35,AI74+AH75-AQ74,IF(A75&lt;'Données projet'!$A$62,$AF$205^A75,IF(A75='Données projet'!$A$62,'Données projet'!$B$62,AI74+AH75-AQ74)))</f>
        <v>168</v>
      </c>
      <c r="AJ75" s="14">
        <f>AI75*VLOOKUP('Données projet'!$B$10,Paramètres!$A$1:$I$89,3,0)*VLOOKUP('Données projet'!$B$10,Paramètres!$A$1:$I$89,5,0)</f>
        <v>183.45599999999999</v>
      </c>
      <c r="AK75" s="14">
        <f t="shared" si="89"/>
        <v>46.090229375321144</v>
      </c>
      <c r="AL75" s="22">
        <f t="shared" si="58"/>
        <v>399.79301616201764</v>
      </c>
      <c r="AM75" s="62">
        <f t="shared" si="59"/>
        <v>693.12634949535095</v>
      </c>
      <c r="AN75" s="62">
        <f ca="1">AVERAGE(OFFSET($AM$3,0,0,'Données projet'!$E$10+1,1))-AVERAGE(OFFSET($H$3,0,0,'Données projet'!$E$10+1,1))</f>
        <v>224.31750842452965</v>
      </c>
      <c r="AO75" s="62">
        <f t="shared" si="90"/>
        <v>94.125825809616856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11.163305580803796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11.163305580803796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2.2737367544323206E-13</v>
      </c>
      <c r="O76" s="14">
        <f>N76*VLOOKUP('Données projet'!$B$9,Paramètres!$A$1:$I$89,3,0)*VLOOKUP('Données projet'!$B$9,Paramètres!$A$1:$I$89,5,0)</f>
        <v>1.3596945791505279E-13</v>
      </c>
      <c r="P76" s="14">
        <f t="shared" si="87"/>
        <v>1.9708830566360721E-12</v>
      </c>
      <c r="Q76" s="22">
        <f t="shared" si="54"/>
        <v>3.669434796176543E-12</v>
      </c>
      <c r="R76" s="62">
        <f t="shared" si="55"/>
        <v>293.33333333333701</v>
      </c>
      <c r="S76" s="62">
        <f ca="1">AVERAGE(OFFSET($R$3,0,0,'Données projet'!$E$9+1,1))-AVERAGE(OFFSET($H$3,0,0,'Données projet'!$E$9+1,1))</f>
        <v>234.60993819620847</v>
      </c>
      <c r="T76" s="62">
        <f t="shared" si="88"/>
        <v>346.26896655159095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111.39360578582942</v>
      </c>
      <c r="AA76" s="23">
        <f>EXP(-LN(2)/25)*AA75+(1-EXP(-LN(2)/25))/(LN(2)/25)*Calculateur!V76*Calculateur!X76*VLOOKUP('Données projet'!$B$9,Paramètres!$A$1:$I$89,3,0)*0.475*44/12</f>
        <v>9.8423165239980879</v>
      </c>
      <c r="AB76" s="23">
        <f>EXP(-LN(2)/2)*AB75+(1-EXP(-LN(2)/2))/(LN(2)/2)*V76*Y76*VLOOKUP('Données projet'!$B$9,Paramètres!$A$1:$I$89,3,0)*0.475*44/12</f>
        <v>8.3660955015684769E-4</v>
      </c>
      <c r="AC76" s="24">
        <f t="shared" si="57"/>
        <v>121.23675891937768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5</v>
      </c>
      <c r="AI76" s="14">
        <f>IF('Données projet'!$A$62&gt;35,AI75+AH76-AQ75,IF(A76&lt;'Données projet'!$A$62,$AF$205^A76,IF(A76='Données projet'!$A$62,'Données projet'!$B$62,AI75+AH76-AQ75)))</f>
        <v>173</v>
      </c>
      <c r="AJ76" s="14">
        <f>AI76*VLOOKUP('Données projet'!$B$10,Paramètres!$A$1:$I$89,3,0)*VLOOKUP('Données projet'!$B$10,Paramètres!$A$1:$I$89,5,0)</f>
        <v>188.916</v>
      </c>
      <c r="AK76" s="14">
        <f t="shared" si="89"/>
        <v>47.300216095401339</v>
      </c>
      <c r="AL76" s="22">
        <f t="shared" si="58"/>
        <v>411.40990969949058</v>
      </c>
      <c r="AM76" s="62">
        <f t="shared" si="59"/>
        <v>704.7432430328239</v>
      </c>
      <c r="AN76" s="62">
        <f ca="1">AVERAGE(OFFSET($AM$3,0,0,'Données projet'!$E$10+1,1))-AVERAGE(OFFSET($H$3,0,0,'Données projet'!$E$10+1,1))</f>
        <v>224.31750842452965</v>
      </c>
      <c r="AO76" s="62">
        <f t="shared" si="90"/>
        <v>94.125825809616856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10.944399967308311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10.944399967308311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2.2737367544323206E-13</v>
      </c>
      <c r="O77" s="14">
        <f>N77*VLOOKUP('Données projet'!$B$9,Paramètres!$A$1:$I$89,3,0)*VLOOKUP('Données projet'!$B$9,Paramètres!$A$1:$I$89,5,0)</f>
        <v>1.3596945791505279E-13</v>
      </c>
      <c r="P77" s="14">
        <f t="shared" si="87"/>
        <v>1.9708830566360721E-12</v>
      </c>
      <c r="Q77" s="22">
        <f t="shared" si="54"/>
        <v>3.669434796176543E-12</v>
      </c>
      <c r="R77" s="62">
        <f t="shared" si="55"/>
        <v>293.33333333333701</v>
      </c>
      <c r="S77" s="62">
        <f ca="1">AVERAGE(OFFSET($R$3,0,0,'Données projet'!$E$9+1,1))-AVERAGE(OFFSET($H$3,0,0,'Données projet'!$E$9+1,1))</f>
        <v>234.60993819620847</v>
      </c>
      <c r="T77" s="62">
        <f t="shared" si="88"/>
        <v>346.26896655159095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109.20924511975998</v>
      </c>
      <c r="AA77" s="23">
        <f>EXP(-LN(2)/25)*AA76+(1-EXP(-LN(2)/25))/(LN(2)/25)*Calculateur!V77*Calculateur!X77*VLOOKUP('Données projet'!$B$9,Paramètres!$A$1:$I$89,3,0)*0.475*44/12</f>
        <v>9.5731778610644298</v>
      </c>
      <c r="AB77" s="23">
        <f>EXP(-LN(2)/2)*AB76+(1-EXP(-LN(2)/2))/(LN(2)/2)*V77*Y77*VLOOKUP('Données projet'!$B$9,Paramètres!$A$1:$I$89,3,0)*0.475*44/12</f>
        <v>5.9157228612133404E-4</v>
      </c>
      <c r="AC77" s="24">
        <f t="shared" si="57"/>
        <v>118.78301455311053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5</v>
      </c>
      <c r="AI77" s="14">
        <f>IF('Données projet'!$A$62&gt;35,AI76+AH77-AQ76,IF(A77&lt;'Données projet'!$A$62,$AF$205^A77,IF(A77='Données projet'!$A$62,'Données projet'!$B$62,AI76+AH77-AQ76)))</f>
        <v>178</v>
      </c>
      <c r="AJ77" s="14">
        <f>AI77*VLOOKUP('Données projet'!$B$10,Paramètres!$A$1:$I$89,3,0)*VLOOKUP('Données projet'!$B$10,Paramètres!$A$1:$I$89,5,0)</f>
        <v>194.376</v>
      </c>
      <c r="AK77" s="14">
        <f t="shared" si="89"/>
        <v>48.506138465833132</v>
      </c>
      <c r="AL77" s="22">
        <f t="shared" si="58"/>
        <v>423.01972449465933</v>
      </c>
      <c r="AM77" s="62">
        <f t="shared" si="59"/>
        <v>716.35305782799264</v>
      </c>
      <c r="AN77" s="62">
        <f ca="1">AVERAGE(OFFSET($AM$3,0,0,'Données projet'!$E$10+1,1))-AVERAGE(OFFSET($H$3,0,0,'Données projet'!$E$10+1,1))</f>
        <v>224.31750842452965</v>
      </c>
      <c r="AO77" s="62">
        <f t="shared" si="90"/>
        <v>94.125825809616856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10.729786959374231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10.729786959374231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2.2737367544323206E-13</v>
      </c>
      <c r="O78" s="14">
        <f>N78*VLOOKUP('Données projet'!$B$9,Paramètres!$A$1:$I$89,3,0)*VLOOKUP('Données projet'!$B$9,Paramètres!$A$1:$I$89,5,0)</f>
        <v>1.3596945791505279E-13</v>
      </c>
      <c r="P78" s="14">
        <f t="shared" si="87"/>
        <v>1.9708830566360721E-12</v>
      </c>
      <c r="Q78" s="22">
        <f t="shared" si="54"/>
        <v>3.669434796176543E-12</v>
      </c>
      <c r="R78" s="62">
        <f t="shared" si="55"/>
        <v>293.33333333333701</v>
      </c>
      <c r="S78" s="62">
        <f ca="1">AVERAGE(OFFSET($R$3,0,0,'Données projet'!$E$9+1,1))-AVERAGE(OFFSET($H$3,0,0,'Données projet'!$E$9+1,1))</f>
        <v>234.60993819620847</v>
      </c>
      <c r="T78" s="62">
        <f t="shared" si="88"/>
        <v>346.26896655159095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107.06771843402372</v>
      </c>
      <c r="AA78" s="23">
        <f>EXP(-LN(2)/25)*AA77+(1-EXP(-LN(2)/25))/(LN(2)/25)*Calculateur!V78*Calculateur!X78*VLOOKUP('Données projet'!$B$9,Paramètres!$A$1:$I$89,3,0)*0.475*44/12</f>
        <v>9.3113988090220783</v>
      </c>
      <c r="AB78" s="23">
        <f>EXP(-LN(2)/2)*AB77+(1-EXP(-LN(2)/2))/(LN(2)/2)*V78*Y78*VLOOKUP('Données projet'!$B$9,Paramètres!$A$1:$I$89,3,0)*0.475*44/12</f>
        <v>4.1830477507842384E-4</v>
      </c>
      <c r="AC78" s="24">
        <f t="shared" si="57"/>
        <v>116.37953554782088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183</v>
      </c>
      <c r="AG78" s="13">
        <f>VLOOKUP(A78,'Données projet'!$A$61:$I$81,9,0)</f>
        <v>5</v>
      </c>
      <c r="AH78" s="13">
        <f t="array" ref="AH78">INDEX(AG:AG,MIN(IF(ISNUMBER(AG78:AG274),ROW(AG78:AG274),"")))</f>
        <v>5</v>
      </c>
      <c r="AI78" s="14">
        <f>IF('Données projet'!$A$62&gt;35,AI77+AH78-AQ77,IF(A78&lt;'Données projet'!$A$62,$AF$205^A78,IF(A78='Données projet'!$A$62,'Données projet'!$B$62,AI77+AH78-AQ77)))</f>
        <v>183</v>
      </c>
      <c r="AJ78" s="14">
        <f>AI78*VLOOKUP('Données projet'!$B$10,Paramètres!$A$1:$I$89,3,0)*VLOOKUP('Données projet'!$B$10,Paramètres!$A$1:$I$89,5,0)</f>
        <v>199.83599999999998</v>
      </c>
      <c r="AK78" s="14">
        <f t="shared" si="89"/>
        <v>49.708123768564604</v>
      </c>
      <c r="AL78" s="22">
        <f t="shared" si="58"/>
        <v>434.62268223024995</v>
      </c>
      <c r="AM78" s="62">
        <f t="shared" si="59"/>
        <v>727.95601556358326</v>
      </c>
      <c r="AN78" s="62">
        <f ca="1">AVERAGE(OFFSET($AM$3,0,0,'Données projet'!$E$10+1,1))-AVERAGE(OFFSET($H$3,0,0,'Données projet'!$E$10+1,1))</f>
        <v>224.31750842452965</v>
      </c>
      <c r="AO78" s="62">
        <f t="shared" si="90"/>
        <v>94.125825809616856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14</v>
      </c>
      <c r="AR78" s="17">
        <f>IF(ISNA(VLOOKUP(A78,'Données projet'!$A$61:$I$81,5,0)),0%,VLOOKUP(A78,'Données projet'!$A$61:$I$81,5,0)*VLOOKUP('Données projet'!$B$10,Paramètres!$A$1:$I$89,7,0))</f>
        <v>0.215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14.152975081519173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14.152975081519173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2.2737367544323206E-13</v>
      </c>
      <c r="O79" s="14">
        <f>N79*VLOOKUP('Données projet'!$B$9,Paramètres!$A$1:$I$89,3,0)*VLOOKUP('Données projet'!$B$9,Paramètres!$A$1:$I$89,5,0)</f>
        <v>1.3596945791505279E-13</v>
      </c>
      <c r="P79" s="14">
        <f t="shared" si="87"/>
        <v>1.9708830566360721E-12</v>
      </c>
      <c r="Q79" s="22">
        <f t="shared" si="54"/>
        <v>3.669434796176543E-12</v>
      </c>
      <c r="R79" s="62">
        <f t="shared" si="55"/>
        <v>293.33333333333701</v>
      </c>
      <c r="S79" s="62">
        <f ca="1">AVERAGE(OFFSET($R$3,0,0,'Données projet'!$E$9+1,1))-AVERAGE(OFFSET($H$3,0,0,'Données projet'!$E$9+1,1))</f>
        <v>234.60993819620847</v>
      </c>
      <c r="T79" s="62">
        <f t="shared" si="88"/>
        <v>346.26896655159095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104.96818578039243</v>
      </c>
      <c r="AA79" s="23">
        <f>EXP(-LN(2)/25)*AA78+(1-EXP(-LN(2)/25))/(LN(2)/25)*Calculateur!V79*Calculateur!X79*VLOOKUP('Données projet'!$B$9,Paramètres!$A$1:$I$89,3,0)*0.475*44/12</f>
        <v>9.0567781189241874</v>
      </c>
      <c r="AB79" s="23">
        <f>EXP(-LN(2)/2)*AB78+(1-EXP(-LN(2)/2))/(LN(2)/2)*V79*Y79*VLOOKUP('Données projet'!$B$9,Paramètres!$A$1:$I$89,3,0)*0.475*44/12</f>
        <v>2.9578614306066702E-4</v>
      </c>
      <c r="AC79" s="24">
        <f t="shared" si="57"/>
        <v>114.02525968545967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4.5999999999999996</v>
      </c>
      <c r="AI79" s="14">
        <f>IF('Données projet'!$A$62&gt;35,AI78+AH79-AQ78,IF(A79&lt;'Données projet'!$A$62,$AF$205^A79,IF(A79='Données projet'!$A$62,'Données projet'!$B$62,AI78+AH79-AQ78)))</f>
        <v>173.6</v>
      </c>
      <c r="AJ79" s="14">
        <f>AI79*VLOOKUP('Données projet'!$B$10,Paramètres!$A$1:$I$89,3,0)*VLOOKUP('Données projet'!$B$10,Paramètres!$A$1:$I$89,5,0)</f>
        <v>189.57119999999998</v>
      </c>
      <c r="AK79" s="14">
        <f t="shared" si="89"/>
        <v>47.44513879693244</v>
      </c>
      <c r="AL79" s="22">
        <f t="shared" si="58"/>
        <v>412.80345673799064</v>
      </c>
      <c r="AM79" s="62">
        <f t="shared" si="59"/>
        <v>706.13679007132396</v>
      </c>
      <c r="AN79" s="62">
        <f ca="1">AVERAGE(OFFSET($AM$3,0,0,'Données projet'!$E$10+1,1))-AVERAGE(OFFSET($H$3,0,0,'Données projet'!$E$10+1,1))</f>
        <v>224.31750842452965</v>
      </c>
      <c r="AO79" s="62">
        <f t="shared" si="90"/>
        <v>94.125825809616856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13.875443872632998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13.875443872632998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2.2737367544323206E-13</v>
      </c>
      <c r="O80" s="14">
        <f>N80*VLOOKUP('Données projet'!$B$9,Paramètres!$A$1:$I$89,3,0)*VLOOKUP('Données projet'!$B$9,Paramètres!$A$1:$I$89,5,0)</f>
        <v>1.3596945791505279E-13</v>
      </c>
      <c r="P80" s="14">
        <f t="shared" si="87"/>
        <v>1.9708830566360721E-12</v>
      </c>
      <c r="Q80" s="22">
        <f t="shared" si="54"/>
        <v>3.669434796176543E-12</v>
      </c>
      <c r="R80" s="62">
        <f t="shared" si="55"/>
        <v>293.33333333333701</v>
      </c>
      <c r="S80" s="62">
        <f ca="1">AVERAGE(OFFSET($R$3,0,0,'Données projet'!$E$9+1,1))-AVERAGE(OFFSET($H$3,0,0,'Données projet'!$E$9+1,1))</f>
        <v>234.60993819620847</v>
      </c>
      <c r="T80" s="62">
        <f t="shared" si="88"/>
        <v>346.26896655159095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102.90982368151039</v>
      </c>
      <c r="AA80" s="23">
        <f>EXP(-LN(2)/25)*AA79+(1-EXP(-LN(2)/25))/(LN(2)/25)*Calculateur!V80*Calculateur!X80*VLOOKUP('Données projet'!$B$9,Paramètres!$A$1:$I$89,3,0)*0.475*44/12</f>
        <v>8.809120044986944</v>
      </c>
      <c r="AB80" s="23">
        <f>EXP(-LN(2)/2)*AB79+(1-EXP(-LN(2)/2))/(LN(2)/2)*V80*Y80*VLOOKUP('Données projet'!$B$9,Paramètres!$A$1:$I$89,3,0)*0.475*44/12</f>
        <v>2.0915238753921192E-4</v>
      </c>
      <c r="AC80" s="24">
        <f t="shared" si="57"/>
        <v>111.71915287888487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4.5999999999999996</v>
      </c>
      <c r="AI80" s="14">
        <f>IF('Données projet'!$A$62&gt;35,AI79+AH80-AQ79,IF(A80&lt;'Données projet'!$A$62,$AF$205^A80,IF(A80='Données projet'!$A$62,'Données projet'!$B$62,AI79+AH80-AQ79)))</f>
        <v>178.2</v>
      </c>
      <c r="AJ80" s="14">
        <f>AI80*VLOOKUP('Données projet'!$B$10,Paramètres!$A$1:$I$89,3,0)*VLOOKUP('Données projet'!$B$10,Paramètres!$A$1:$I$89,5,0)</f>
        <v>194.59439999999998</v>
      </c>
      <c r="AK80" s="14">
        <f t="shared" si="89"/>
        <v>48.554292648263456</v>
      </c>
      <c r="AL80" s="22">
        <f t="shared" si="58"/>
        <v>423.48397302905875</v>
      </c>
      <c r="AM80" s="62">
        <f t="shared" si="59"/>
        <v>716.81730636239206</v>
      </c>
      <c r="AN80" s="62">
        <f ca="1">AVERAGE(OFFSET($AM$3,0,0,'Données projet'!$E$10+1,1))-AVERAGE(OFFSET($H$3,0,0,'Données projet'!$E$10+1,1))</f>
        <v>224.31750842452965</v>
      </c>
      <c r="AO80" s="62">
        <f t="shared" si="90"/>
        <v>94.125825809616856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13.603354881475756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13.603354881475756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2.2737367544323206E-13</v>
      </c>
      <c r="O81" s="14">
        <f>N81*VLOOKUP('Données projet'!$B$9,Paramètres!$A$1:$I$89,3,0)*VLOOKUP('Données projet'!$B$9,Paramètres!$A$1:$I$89,5,0)</f>
        <v>1.3596945791505279E-13</v>
      </c>
      <c r="P81" s="14">
        <f t="shared" si="87"/>
        <v>1.9708830566360721E-12</v>
      </c>
      <c r="Q81" s="22">
        <f t="shared" si="54"/>
        <v>3.669434796176543E-12</v>
      </c>
      <c r="R81" s="62">
        <f t="shared" si="55"/>
        <v>293.33333333333701</v>
      </c>
      <c r="S81" s="62">
        <f ca="1">AVERAGE(OFFSET($R$3,0,0,'Données projet'!$E$9+1,1))-AVERAGE(OFFSET($H$3,0,0,'Données projet'!$E$9+1,1))</f>
        <v>234.60993819620847</v>
      </c>
      <c r="T81" s="62">
        <f t="shared" si="88"/>
        <v>346.26896655159095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100.89182480791051</v>
      </c>
      <c r="AA81" s="23">
        <f>EXP(-LN(2)/25)*AA80+(1-EXP(-LN(2)/25))/(LN(2)/25)*Calculateur!V81*Calculateur!X81*VLOOKUP('Données projet'!$B$9,Paramètres!$A$1:$I$89,3,0)*0.475*44/12</f>
        <v>8.5682341941052869</v>
      </c>
      <c r="AB81" s="23">
        <f>EXP(-LN(2)/2)*AB80+(1-EXP(-LN(2)/2))/(LN(2)/2)*V81*Y81*VLOOKUP('Données projet'!$B$9,Paramètres!$A$1:$I$89,3,0)*0.475*44/12</f>
        <v>1.4789307153033351E-4</v>
      </c>
      <c r="AC81" s="24">
        <f t="shared" si="57"/>
        <v>109.46020689508732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4.5999999999999996</v>
      </c>
      <c r="AI81" s="14">
        <f>IF('Données projet'!$A$62&gt;35,AI80+AH81-AQ80,IF(A81&lt;'Données projet'!$A$62,$AF$205^A81,IF(A81='Données projet'!$A$62,'Données projet'!$B$62,AI80+AH81-AQ80)))</f>
        <v>182.79999999999998</v>
      </c>
      <c r="AJ81" s="14">
        <f>AI81*VLOOKUP('Données projet'!$B$10,Paramètres!$A$1:$I$89,3,0)*VLOOKUP('Données projet'!$B$10,Paramètres!$A$1:$I$89,5,0)</f>
        <v>199.61759999999998</v>
      </c>
      <c r="AK81" s="14">
        <f t="shared" si="89"/>
        <v>49.66011842098839</v>
      </c>
      <c r="AL81" s="22">
        <f t="shared" si="58"/>
        <v>434.15869291655468</v>
      </c>
      <c r="AM81" s="62">
        <f t="shared" si="59"/>
        <v>727.492026249888</v>
      </c>
      <c r="AN81" s="62">
        <f ca="1">AVERAGE(OFFSET($AM$3,0,0,'Données projet'!$E$10+1,1))-AVERAGE(OFFSET($H$3,0,0,'Données projet'!$E$10+1,1))</f>
        <v>224.31750842452965</v>
      </c>
      <c r="AO81" s="62">
        <f t="shared" si="90"/>
        <v>94.125825809616856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13.336601389477211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13.336601389477211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2.2737367544323206E-13</v>
      </c>
      <c r="O82" s="14">
        <f>N82*VLOOKUP('Données projet'!$B$9,Paramètres!$A$1:$I$89,3,0)*VLOOKUP('Données projet'!$B$9,Paramètres!$A$1:$I$89,5,0)</f>
        <v>1.3596945791505279E-13</v>
      </c>
      <c r="P82" s="14">
        <f t="shared" si="87"/>
        <v>1.9708830566360721E-12</v>
      </c>
      <c r="Q82" s="22">
        <f t="shared" si="54"/>
        <v>3.669434796176543E-12</v>
      </c>
      <c r="R82" s="62">
        <f t="shared" si="55"/>
        <v>293.33333333333701</v>
      </c>
      <c r="S82" s="62">
        <f ca="1">AVERAGE(OFFSET($R$3,0,0,'Données projet'!$E$9+1,1))-AVERAGE(OFFSET($H$3,0,0,'Données projet'!$E$9+1,1))</f>
        <v>234.60993819620847</v>
      </c>
      <c r="T82" s="62">
        <f t="shared" si="88"/>
        <v>346.26896655159095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98.913397661364158</v>
      </c>
      <c r="AA82" s="23">
        <f>EXP(-LN(2)/25)*AA81+(1-EXP(-LN(2)/25))/(LN(2)/25)*Calculateur!V82*Calculateur!X82*VLOOKUP('Données projet'!$B$9,Paramètres!$A$1:$I$89,3,0)*0.475*44/12</f>
        <v>8.3339353794836253</v>
      </c>
      <c r="AB82" s="23">
        <f>EXP(-LN(2)/2)*AB81+(1-EXP(-LN(2)/2))/(LN(2)/2)*V82*Y82*VLOOKUP('Données projet'!$B$9,Paramètres!$A$1:$I$89,3,0)*0.475*44/12</f>
        <v>1.0457619376960596E-4</v>
      </c>
      <c r="AC82" s="24">
        <f t="shared" si="57"/>
        <v>107.24743761704154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4.5999999999999996</v>
      </c>
      <c r="AI82" s="14">
        <f>IF('Données projet'!$A$62&gt;35,AI81+AH82-AQ81,IF(A82&lt;'Données projet'!$A$62,$AF$205^A82,IF(A82='Données projet'!$A$62,'Données projet'!$B$62,AI81+AH82-AQ81)))</f>
        <v>187.39999999999998</v>
      </c>
      <c r="AJ82" s="14">
        <f>AI82*VLOOKUP('Données projet'!$B$10,Paramètres!$A$1:$I$89,3,0)*VLOOKUP('Données projet'!$B$10,Paramètres!$A$1:$I$89,5,0)</f>
        <v>204.64079999999998</v>
      </c>
      <c r="AK82" s="14">
        <f t="shared" si="89"/>
        <v>50.762709494682539</v>
      </c>
      <c r="AL82" s="22">
        <f t="shared" si="58"/>
        <v>444.82777903657205</v>
      </c>
      <c r="AM82" s="62">
        <f t="shared" si="59"/>
        <v>738.16111236990537</v>
      </c>
      <c r="AN82" s="62">
        <f ca="1">AVERAGE(OFFSET($AM$3,0,0,'Données projet'!$E$10+1,1))-AVERAGE(OFFSET($H$3,0,0,'Données projet'!$E$10+1,1))</f>
        <v>224.31750842452965</v>
      </c>
      <c r="AO82" s="62">
        <f t="shared" si="90"/>
        <v>94.125825809616856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13.075078770753194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13.075078770753194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2.2737367544323206E-13</v>
      </c>
      <c r="O83" s="14">
        <f>N83*VLOOKUP('Données projet'!$B$9,Paramètres!$A$1:$I$89,3,0)*VLOOKUP('Données projet'!$B$9,Paramètres!$A$1:$I$89,5,0)</f>
        <v>1.3596945791505279E-13</v>
      </c>
      <c r="P83" s="14">
        <f t="shared" si="87"/>
        <v>1.9708830566360721E-12</v>
      </c>
      <c r="Q83" s="22">
        <f t="shared" si="54"/>
        <v>3.669434796176543E-12</v>
      </c>
      <c r="R83" s="62">
        <f t="shared" si="55"/>
        <v>293.33333333333701</v>
      </c>
      <c r="S83" s="62">
        <f ca="1">AVERAGE(OFFSET($R$3,0,0,'Données projet'!$E$9+1,1))-AVERAGE(OFFSET($H$3,0,0,'Données projet'!$E$9+1,1))</f>
        <v>234.60993819620847</v>
      </c>
      <c r="T83" s="62">
        <f t="shared" si="88"/>
        <v>346.26896655159095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96.973766264440172</v>
      </c>
      <c r="AA83" s="23">
        <f>EXP(-LN(2)/25)*AA82+(1-EXP(-LN(2)/25))/(LN(2)/25)*Calculateur!V83*Calculateur!X83*VLOOKUP('Données projet'!$B$9,Paramètres!$A$1:$I$89,3,0)*0.475*44/12</f>
        <v>8.1060434782690312</v>
      </c>
      <c r="AB83" s="23">
        <f>EXP(-LN(2)/2)*AB82+(1-EXP(-LN(2)/2))/(LN(2)/2)*V83*Y83*VLOOKUP('Données projet'!$B$9,Paramètres!$A$1:$I$89,3,0)*0.475*44/12</f>
        <v>7.3946535765166755E-5</v>
      </c>
      <c r="AC83" s="24">
        <f t="shared" si="57"/>
        <v>105.07988368924497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192</v>
      </c>
      <c r="AG83" s="13">
        <f>VLOOKUP(A83,'Données projet'!$A$61:$I$81,9,0)</f>
        <v>4.5999999999999996</v>
      </c>
      <c r="AH83" s="13">
        <f t="array" ref="AH83">INDEX(AG:AG,MIN(IF(ISNUMBER(AG83:AG279),ROW(AG83:AG279),"")))</f>
        <v>4.5999999999999996</v>
      </c>
      <c r="AI83" s="14">
        <f>IF('Données projet'!$A$62&gt;35,AI82+AH83-AQ82,IF(A83&lt;'Données projet'!$A$62,$AF$205^A83,IF(A83='Données projet'!$A$62,'Données projet'!$B$62,AI82+AH83-AQ82)))</f>
        <v>191.99999999999997</v>
      </c>
      <c r="AJ83" s="14">
        <f>AI83*VLOOKUP('Données projet'!$B$10,Paramètres!$A$1:$I$89,3,0)*VLOOKUP('Données projet'!$B$10,Paramètres!$A$1:$I$89,5,0)</f>
        <v>209.66399999999996</v>
      </c>
      <c r="AK83" s="14">
        <f t="shared" si="89"/>
        <v>51.862154403304487</v>
      </c>
      <c r="AL83" s="22">
        <f t="shared" si="58"/>
        <v>455.49138558575515</v>
      </c>
      <c r="AM83" s="62">
        <f t="shared" si="59"/>
        <v>748.82471891908847</v>
      </c>
      <c r="AN83" s="62">
        <f ca="1">AVERAGE(OFFSET($AM$3,0,0,'Données projet'!$E$10+1,1))-AVERAGE(OFFSET($H$3,0,0,'Données projet'!$E$10+1,1))</f>
        <v>224.31750842452965</v>
      </c>
      <c r="AO83" s="62">
        <f t="shared" si="90"/>
        <v>94.125825809616856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14</v>
      </c>
      <c r="AR83" s="17">
        <f>IF(ISNA(VLOOKUP(A83,'Données projet'!$A$61:$I$81,5,0)),0%,VLOOKUP(A83,'Données projet'!$A$61:$I$81,5,0)*VLOOKUP('Données projet'!$B$10,Paramètres!$A$1:$I$89,7,0))</f>
        <v>0.215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16.452277150963752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16.452277150963752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2.2737367544323206E-13</v>
      </c>
      <c r="O84" s="14">
        <f>N84*VLOOKUP('Données projet'!$B$9,Paramètres!$A$1:$I$89,3,0)*VLOOKUP('Données projet'!$B$9,Paramètres!$A$1:$I$89,5,0)</f>
        <v>1.3596945791505279E-13</v>
      </c>
      <c r="P84" s="14">
        <f t="shared" si="87"/>
        <v>1.9708830566360721E-12</v>
      </c>
      <c r="Q84" s="22">
        <f t="shared" si="54"/>
        <v>3.669434796176543E-12</v>
      </c>
      <c r="R84" s="62">
        <f t="shared" si="55"/>
        <v>293.33333333333701</v>
      </c>
      <c r="S84" s="62">
        <f ca="1">AVERAGE(OFFSET($R$3,0,0,'Données projet'!$E$9+1,1))-AVERAGE(OFFSET($H$3,0,0,'Données projet'!$E$9+1,1))</f>
        <v>234.60993819620847</v>
      </c>
      <c r="T84" s="62">
        <f t="shared" si="88"/>
        <v>346.26896655159095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95.072169856151532</v>
      </c>
      <c r="AA84" s="23">
        <f>EXP(-LN(2)/25)*AA83+(1-EXP(-LN(2)/25))/(LN(2)/25)*Calculateur!V84*Calculateur!X84*VLOOKUP('Données projet'!$B$9,Paramètres!$A$1:$I$89,3,0)*0.475*44/12</f>
        <v>7.8843832930774642</v>
      </c>
      <c r="AB84" s="23">
        <f>EXP(-LN(2)/2)*AB83+(1-EXP(-LN(2)/2))/(LN(2)/2)*V84*Y84*VLOOKUP('Données projet'!$B$9,Paramètres!$A$1:$I$89,3,0)*0.475*44/12</f>
        <v>5.2288096884802981E-5</v>
      </c>
      <c r="AC84" s="24">
        <f t="shared" si="57"/>
        <v>102.95660543732588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4.4000000000000004</v>
      </c>
      <c r="AI84" s="14">
        <f>IF('Données projet'!$A$62&gt;35,AI83+AH84-AQ83,IF(A84&lt;'Données projet'!$A$62,$AF$205^A84,IF(A84='Données projet'!$A$62,'Données projet'!$B$62,AI83+AH84-AQ83)))</f>
        <v>182.39999999999998</v>
      </c>
      <c r="AJ84" s="14">
        <f>AI84*VLOOKUP('Données projet'!$B$10,Paramètres!$A$1:$I$89,3,0)*VLOOKUP('Données projet'!$B$10,Paramètres!$A$1:$I$89,5,0)</f>
        <v>199.18079999999998</v>
      </c>
      <c r="AK84" s="14">
        <f t="shared" si="89"/>
        <v>49.564089376413683</v>
      </c>
      <c r="AL84" s="22">
        <f t="shared" si="58"/>
        <v>433.23068233058711</v>
      </c>
      <c r="AM84" s="62">
        <f t="shared" si="59"/>
        <v>726.56401566392037</v>
      </c>
      <c r="AN84" s="62">
        <f ca="1">AVERAGE(OFFSET($AM$3,0,0,'Données projet'!$E$10+1,1))-AVERAGE(OFFSET($H$3,0,0,'Données projet'!$E$10+1,1))</f>
        <v>224.31750842452965</v>
      </c>
      <c r="AO84" s="62">
        <f t="shared" si="90"/>
        <v>94.125825809616856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16.129658030931552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16.129658030931552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2.2737367544323206E-13</v>
      </c>
      <c r="O85" s="14">
        <f>N85*VLOOKUP('Données projet'!$B$9,Paramètres!$A$1:$I$89,3,0)*VLOOKUP('Données projet'!$B$9,Paramètres!$A$1:$I$89,5,0)</f>
        <v>1.3596945791505279E-13</v>
      </c>
      <c r="P85" s="14">
        <f t="shared" si="87"/>
        <v>1.9708830566360721E-12</v>
      </c>
      <c r="Q85" s="22">
        <f t="shared" si="54"/>
        <v>3.669434796176543E-12</v>
      </c>
      <c r="R85" s="62">
        <f t="shared" si="55"/>
        <v>293.33333333333701</v>
      </c>
      <c r="S85" s="62">
        <f ca="1">AVERAGE(OFFSET($R$3,0,0,'Données projet'!$E$9+1,1))-AVERAGE(OFFSET($H$3,0,0,'Données projet'!$E$9+1,1))</f>
        <v>234.60993819620847</v>
      </c>
      <c r="T85" s="62">
        <f t="shared" si="88"/>
        <v>346.26896655159095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93.207862593570141</v>
      </c>
      <c r="AA85" s="23">
        <f>EXP(-LN(2)/25)*AA84+(1-EXP(-LN(2)/25))/(LN(2)/25)*Calculateur!V85*Calculateur!X85*VLOOKUP('Données projet'!$B$9,Paramètres!$A$1:$I$89,3,0)*0.475*44/12</f>
        <v>7.668784417306564</v>
      </c>
      <c r="AB85" s="23">
        <f>EXP(-LN(2)/2)*AB84+(1-EXP(-LN(2)/2))/(LN(2)/2)*V85*Y85*VLOOKUP('Données projet'!$B$9,Paramètres!$A$1:$I$89,3,0)*0.475*44/12</f>
        <v>3.6973267882583378E-5</v>
      </c>
      <c r="AC85" s="24">
        <f t="shared" si="57"/>
        <v>100.87668398414459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4.4000000000000004</v>
      </c>
      <c r="AI85" s="14">
        <f>IF('Données projet'!$A$62&gt;35,AI84+AH85-AQ84,IF(A85&lt;'Données projet'!$A$62,$AF$205^A85,IF(A85='Données projet'!$A$62,'Données projet'!$B$62,AI84+AH85-AQ84)))</f>
        <v>186.79999999999998</v>
      </c>
      <c r="AJ85" s="14">
        <f>AI85*VLOOKUP('Données projet'!$B$10,Paramètres!$A$1:$I$89,3,0)*VLOOKUP('Données projet'!$B$10,Paramètres!$A$1:$I$89,5,0)</f>
        <v>203.98560000000001</v>
      </c>
      <c r="AK85" s="14">
        <f t="shared" si="89"/>
        <v>50.619073534794722</v>
      </c>
      <c r="AL85" s="22">
        <f t="shared" si="58"/>
        <v>443.43647307310084</v>
      </c>
      <c r="AM85" s="62">
        <f t="shared" si="59"/>
        <v>736.7698064064341</v>
      </c>
      <c r="AN85" s="62">
        <f ca="1">AVERAGE(OFFSET($AM$3,0,0,'Données projet'!$E$10+1,1))-AVERAGE(OFFSET($H$3,0,0,'Données projet'!$E$10+1,1))</f>
        <v>224.31750842452965</v>
      </c>
      <c r="AO85" s="62">
        <f t="shared" si="90"/>
        <v>94.125825809616856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15.81336527506495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15.81336527506495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2.2737367544323206E-13</v>
      </c>
      <c r="O86" s="14">
        <f>N86*VLOOKUP('Données projet'!$B$9,Paramètres!$A$1:$I$89,3,0)*VLOOKUP('Données projet'!$B$9,Paramètres!$A$1:$I$89,5,0)</f>
        <v>1.3596945791505279E-13</v>
      </c>
      <c r="P86" s="14">
        <f t="shared" si="87"/>
        <v>1.9708830566360721E-12</v>
      </c>
      <c r="Q86" s="22">
        <f t="shared" si="54"/>
        <v>3.669434796176543E-12</v>
      </c>
      <c r="R86" s="62">
        <f t="shared" si="55"/>
        <v>293.33333333333701</v>
      </c>
      <c r="S86" s="62">
        <f ca="1">AVERAGE(OFFSET($R$3,0,0,'Données projet'!$E$9+1,1))-AVERAGE(OFFSET($H$3,0,0,'Données projet'!$E$9+1,1))</f>
        <v>234.60993819620847</v>
      </c>
      <c r="T86" s="62">
        <f t="shared" si="88"/>
        <v>346.26896655159095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91.380113259292827</v>
      </c>
      <c r="AA86" s="23">
        <f>EXP(-LN(2)/25)*AA85+(1-EXP(-LN(2)/25))/(LN(2)/25)*Calculateur!V86*Calculateur!X86*VLOOKUP('Données projet'!$B$9,Paramètres!$A$1:$I$89,3,0)*0.475*44/12</f>
        <v>7.4590811041314709</v>
      </c>
      <c r="AB86" s="23">
        <f>EXP(-LN(2)/2)*AB85+(1-EXP(-LN(2)/2))/(LN(2)/2)*V86*Y86*VLOOKUP('Données projet'!$B$9,Paramètres!$A$1:$I$89,3,0)*0.475*44/12</f>
        <v>2.614404844240149E-5</v>
      </c>
      <c r="AC86" s="24">
        <f t="shared" si="57"/>
        <v>98.839220507472746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4.4000000000000004</v>
      </c>
      <c r="AI86" s="14">
        <f>IF('Données projet'!$A$62&gt;35,AI85+AH86-AQ85,IF(A86&lt;'Données projet'!$A$62,$AF$205^A86,IF(A86='Données projet'!$A$62,'Données projet'!$B$62,AI85+AH86-AQ85)))</f>
        <v>191.2</v>
      </c>
      <c r="AJ86" s="14">
        <f>AI86*VLOOKUP('Données projet'!$B$10,Paramètres!$A$1:$I$89,3,0)*VLOOKUP('Données projet'!$B$10,Paramètres!$A$1:$I$89,5,0)</f>
        <v>208.79039999999998</v>
      </c>
      <c r="AK86" s="14">
        <f t="shared" si="89"/>
        <v>51.671168863475145</v>
      </c>
      <c r="AL86" s="22">
        <f t="shared" si="58"/>
        <v>453.63723243721915</v>
      </c>
      <c r="AM86" s="62">
        <f t="shared" si="59"/>
        <v>746.97056577055241</v>
      </c>
      <c r="AN86" s="62">
        <f ca="1">AVERAGE(OFFSET($AM$3,0,0,'Données projet'!$E$10+1,1))-AVERAGE(OFFSET($H$3,0,0,'Données projet'!$E$10+1,1))</f>
        <v>224.31750842452965</v>
      </c>
      <c r="AO86" s="62">
        <f t="shared" si="90"/>
        <v>94.125825809616856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15.503274827221359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15.503274827221359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2.2737367544323206E-13</v>
      </c>
      <c r="O87" s="14">
        <f>N87*VLOOKUP('Données projet'!$B$9,Paramètres!$A$1:$I$89,3,0)*VLOOKUP('Données projet'!$B$9,Paramètres!$A$1:$I$89,5,0)</f>
        <v>1.3596945791505279E-13</v>
      </c>
      <c r="P87" s="14">
        <f t="shared" si="87"/>
        <v>1.9708830566360721E-12</v>
      </c>
      <c r="Q87" s="22">
        <f t="shared" si="54"/>
        <v>3.669434796176543E-12</v>
      </c>
      <c r="R87" s="62">
        <f t="shared" si="55"/>
        <v>293.33333333333701</v>
      </c>
      <c r="S87" s="62">
        <f ca="1">AVERAGE(OFFSET($R$3,0,0,'Données projet'!$E$9+1,1))-AVERAGE(OFFSET($H$3,0,0,'Données projet'!$E$9+1,1))</f>
        <v>234.60993819620847</v>
      </c>
      <c r="T87" s="62">
        <f t="shared" si="88"/>
        <v>346.26896655159095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89.588204974643673</v>
      </c>
      <c r="AA87" s="23">
        <f>EXP(-LN(2)/25)*AA86+(1-EXP(-LN(2)/25))/(LN(2)/25)*Calculateur!V87*Calculateur!X87*VLOOKUP('Données projet'!$B$9,Paramètres!$A$1:$I$89,3,0)*0.475*44/12</f>
        <v>7.2551121390829687</v>
      </c>
      <c r="AB87" s="23">
        <f>EXP(-LN(2)/2)*AB86+(1-EXP(-LN(2)/2))/(LN(2)/2)*V87*Y87*VLOOKUP('Données projet'!$B$9,Paramètres!$A$1:$I$89,3,0)*0.475*44/12</f>
        <v>1.8486633941291689E-5</v>
      </c>
      <c r="AC87" s="24">
        <f t="shared" si="57"/>
        <v>96.843335600360589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4.4000000000000004</v>
      </c>
      <c r="AI87" s="14">
        <f>IF('Données projet'!$A$62&gt;35,AI86+AH87-AQ86,IF(A87&lt;'Données projet'!$A$62,$AF$205^A87,IF(A87='Données projet'!$A$62,'Données projet'!$B$62,AI86+AH87-AQ86)))</f>
        <v>195.6</v>
      </c>
      <c r="AJ87" s="14">
        <f>AI87*VLOOKUP('Données projet'!$B$10,Paramètres!$A$1:$I$89,3,0)*VLOOKUP('Données projet'!$B$10,Paramètres!$A$1:$I$89,5,0)</f>
        <v>213.59519999999998</v>
      </c>
      <c r="AK87" s="14">
        <f t="shared" si="89"/>
        <v>52.720449493906273</v>
      </c>
      <c r="AL87" s="22">
        <f t="shared" si="58"/>
        <v>463.83308953522004</v>
      </c>
      <c r="AM87" s="62">
        <f t="shared" si="59"/>
        <v>757.16642286855335</v>
      </c>
      <c r="AN87" s="62">
        <f ca="1">AVERAGE(OFFSET($AM$3,0,0,'Données projet'!$E$10+1,1))-AVERAGE(OFFSET($H$3,0,0,'Données projet'!$E$10+1,1))</f>
        <v>224.31750842452965</v>
      </c>
      <c r="AO87" s="62">
        <f t="shared" si="90"/>
        <v>94.125825809616856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15.199265063923484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15.199265063923484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2.2737367544323206E-13</v>
      </c>
      <c r="O88" s="14">
        <f>N88*VLOOKUP('Données projet'!$B$9,Paramètres!$A$1:$I$89,3,0)*VLOOKUP('Données projet'!$B$9,Paramètres!$A$1:$I$89,5,0)</f>
        <v>1.3596945791505279E-13</v>
      </c>
      <c r="P88" s="14">
        <f t="shared" si="87"/>
        <v>1.9708830566360721E-12</v>
      </c>
      <c r="Q88" s="22">
        <f t="shared" si="54"/>
        <v>3.669434796176543E-12</v>
      </c>
      <c r="R88" s="62">
        <f t="shared" si="55"/>
        <v>293.33333333333701</v>
      </c>
      <c r="S88" s="62">
        <f ca="1">AVERAGE(OFFSET($R$3,0,0,'Données projet'!$E$9+1,1))-AVERAGE(OFFSET($H$3,0,0,'Données projet'!$E$9+1,1))</f>
        <v>234.60993819620847</v>
      </c>
      <c r="T88" s="62">
        <f t="shared" si="88"/>
        <v>346.26896655159095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87.831434918500364</v>
      </c>
      <c r="AA88" s="23">
        <f>EXP(-LN(2)/25)*AA87+(1-EXP(-LN(2)/25))/(LN(2)/25)*Calculateur!V88*Calculateur!X88*VLOOKUP('Données projet'!$B$9,Paramètres!$A$1:$I$89,3,0)*0.475*44/12</f>
        <v>7.0567207161099796</v>
      </c>
      <c r="AB88" s="23">
        <f>EXP(-LN(2)/2)*AB87+(1-EXP(-LN(2)/2))/(LN(2)/2)*V88*Y88*VLOOKUP('Données projet'!$B$9,Paramètres!$A$1:$I$89,3,0)*0.475*44/12</f>
        <v>1.3072024221200745E-5</v>
      </c>
      <c r="AC88" s="24">
        <f t="shared" si="57"/>
        <v>94.888168706634559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200</v>
      </c>
      <c r="AG88" s="13">
        <f>VLOOKUP(A88,'Données projet'!$A$61:$I$81,9,0)</f>
        <v>4.4000000000000004</v>
      </c>
      <c r="AH88" s="13">
        <f t="array" ref="AH88">INDEX(AG:AG,MIN(IF(ISNUMBER(AG88:AG284),ROW(AG88:AG284),"")))</f>
        <v>4.4000000000000004</v>
      </c>
      <c r="AI88" s="14">
        <f>IF('Données projet'!$A$62&gt;35,AI87+AH88-AQ87,IF(A88&lt;'Données projet'!$A$62,$AF$205^A88,IF(A88='Données projet'!$A$62,'Données projet'!$B$62,AI87+AH88-AQ87)))</f>
        <v>200</v>
      </c>
      <c r="AJ88" s="14">
        <f>AI88*VLOOKUP('Données projet'!$B$10,Paramètres!$A$1:$I$89,3,0)*VLOOKUP('Données projet'!$B$10,Paramètres!$A$1:$I$89,5,0)</f>
        <v>218.4</v>
      </c>
      <c r="AK88" s="14">
        <f t="shared" si="89"/>
        <v>53.76698603199852</v>
      </c>
      <c r="AL88" s="22">
        <f t="shared" si="58"/>
        <v>474.02416733906404</v>
      </c>
      <c r="AM88" s="62">
        <f t="shared" si="59"/>
        <v>767.35750067239735</v>
      </c>
      <c r="AN88" s="62">
        <f ca="1">AVERAGE(OFFSET($AM$3,0,0,'Données projet'!$E$10+1,1))-AVERAGE(OFFSET($H$3,0,0,'Données projet'!$E$10+1,1))</f>
        <v>224.31750842452965</v>
      </c>
      <c r="AO88" s="62">
        <f t="shared" si="90"/>
        <v>94.125825809616856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14</v>
      </c>
      <c r="AR88" s="17">
        <f>IF(ISNA(VLOOKUP(A88,'Données projet'!$A$61:$I$81,5,0)),0%,VLOOKUP(A88,'Données projet'!$A$61:$I$81,5,0)*VLOOKUP('Données projet'!$B$10,Paramètres!$A$1:$I$89,7,0))</f>
        <v>0.25800000000000001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19.261527986529565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19.261527986529565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2.2737367544323206E-13</v>
      </c>
      <c r="O89" s="14">
        <f>N89*VLOOKUP('Données projet'!$B$9,Paramètres!$A$1:$I$89,3,0)*VLOOKUP('Données projet'!$B$9,Paramètres!$A$1:$I$89,5,0)</f>
        <v>1.3596945791505279E-13</v>
      </c>
      <c r="P89" s="14">
        <f t="shared" si="87"/>
        <v>1.9708830566360721E-12</v>
      </c>
      <c r="Q89" s="22">
        <f t="shared" si="54"/>
        <v>3.669434796176543E-12</v>
      </c>
      <c r="R89" s="62">
        <f t="shared" si="55"/>
        <v>293.33333333333701</v>
      </c>
      <c r="S89" s="62">
        <f ca="1">AVERAGE(OFFSET($R$3,0,0,'Données projet'!$E$9+1,1))-AVERAGE(OFFSET($H$3,0,0,'Données projet'!$E$9+1,1))</f>
        <v>234.60993819620847</v>
      </c>
      <c r="T89" s="62">
        <f t="shared" si="88"/>
        <v>346.26896655159095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86.109114051634094</v>
      </c>
      <c r="AA89" s="23">
        <f>EXP(-LN(2)/25)*AA88+(1-EXP(-LN(2)/25))/(LN(2)/25)*Calculateur!V89*Calculateur!X89*VLOOKUP('Données projet'!$B$9,Paramètres!$A$1:$I$89,3,0)*0.475*44/12</f>
        <v>6.8637543170311384</v>
      </c>
      <c r="AB89" s="23">
        <f>EXP(-LN(2)/2)*AB88+(1-EXP(-LN(2)/2))/(LN(2)/2)*V89*Y89*VLOOKUP('Données projet'!$B$9,Paramètres!$A$1:$I$89,3,0)*0.475*44/12</f>
        <v>9.2433169706458444E-6</v>
      </c>
      <c r="AC89" s="24">
        <f t="shared" si="57"/>
        <v>92.972877611982199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4.2</v>
      </c>
      <c r="AI89" s="14">
        <f>IF('Données projet'!$A$62&gt;35,AI88+AH89-AQ88,IF(A89&lt;'Données projet'!$A$62,$AF$205^A89,IF(A89='Données projet'!$A$62,'Données projet'!$B$62,AI88+AH89-AQ88)))</f>
        <v>190.2</v>
      </c>
      <c r="AJ89" s="14">
        <f>AI89*VLOOKUP('Données projet'!$B$10,Paramètres!$A$1:$I$89,3,0)*VLOOKUP('Données projet'!$B$10,Paramètres!$A$1:$I$89,5,0)</f>
        <v>207.69839999999999</v>
      </c>
      <c r="AK89" s="14">
        <f t="shared" si="89"/>
        <v>51.432306052236648</v>
      </c>
      <c r="AL89" s="22">
        <f t="shared" si="58"/>
        <v>451.31931304097878</v>
      </c>
      <c r="AM89" s="62">
        <f t="shared" si="59"/>
        <v>744.6526463743121</v>
      </c>
      <c r="AN89" s="62">
        <f ca="1">AVERAGE(OFFSET($AM$3,0,0,'Données projet'!$E$10+1,1))-AVERAGE(OFFSET($H$3,0,0,'Données projet'!$E$10+1,1))</f>
        <v>224.31750842452965</v>
      </c>
      <c r="AO89" s="62">
        <f t="shared" si="90"/>
        <v>94.125825809616856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18.883821171085735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18.883821171085735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2.2737367544323206E-13</v>
      </c>
      <c r="O90" s="14">
        <f>N90*VLOOKUP('Données projet'!$B$9,Paramètres!$A$1:$I$89,3,0)*VLOOKUP('Données projet'!$B$9,Paramètres!$A$1:$I$89,5,0)</f>
        <v>1.3596945791505279E-13</v>
      </c>
      <c r="P90" s="14">
        <f t="shared" si="87"/>
        <v>1.9708830566360721E-12</v>
      </c>
      <c r="Q90" s="22">
        <f t="shared" si="54"/>
        <v>3.669434796176543E-12</v>
      </c>
      <c r="R90" s="62">
        <f t="shared" si="55"/>
        <v>293.33333333333701</v>
      </c>
      <c r="S90" s="62">
        <f ca="1">AVERAGE(OFFSET($R$3,0,0,'Données projet'!$E$9+1,1))-AVERAGE(OFFSET($H$3,0,0,'Données projet'!$E$9+1,1))</f>
        <v>234.60993819620847</v>
      </c>
      <c r="T90" s="62">
        <f t="shared" si="88"/>
        <v>346.26896655159095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84.42056684645506</v>
      </c>
      <c r="AA90" s="23">
        <f>EXP(-LN(2)/25)*AA89+(1-EXP(-LN(2)/25))/(LN(2)/25)*Calculateur!V90*Calculateur!X90*VLOOKUP('Données projet'!$B$9,Paramètres!$A$1:$I$89,3,0)*0.475*44/12</f>
        <v>6.6760645942827699</v>
      </c>
      <c r="AB90" s="23">
        <f>EXP(-LN(2)/2)*AB89+(1-EXP(-LN(2)/2))/(LN(2)/2)*V90*Y90*VLOOKUP('Données projet'!$B$9,Paramètres!$A$1:$I$89,3,0)*0.475*44/12</f>
        <v>6.5360121106003726E-6</v>
      </c>
      <c r="AC90" s="24">
        <f t="shared" si="57"/>
        <v>91.096637976749932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4.2</v>
      </c>
      <c r="AI90" s="14">
        <f>IF('Données projet'!$A$62&gt;35,AI89+AH90-AQ89,IF(A90&lt;'Données projet'!$A$62,$AF$205^A90,IF(A90='Données projet'!$A$62,'Données projet'!$B$62,AI89+AH90-AQ89)))</f>
        <v>194.39999999999998</v>
      </c>
      <c r="AJ90" s="14">
        <f>AI90*VLOOKUP('Données projet'!$B$10,Paramètres!$A$1:$I$89,3,0)*VLOOKUP('Données projet'!$B$10,Paramètres!$A$1:$I$89,5,0)</f>
        <v>212.28479999999999</v>
      </c>
      <c r="AK90" s="14">
        <f t="shared" si="89"/>
        <v>52.434557099704193</v>
      </c>
      <c r="AL90" s="22">
        <f t="shared" si="58"/>
        <v>461.05288028198476</v>
      </c>
      <c r="AM90" s="62">
        <f t="shared" si="59"/>
        <v>754.38621361531807</v>
      </c>
      <c r="AN90" s="62">
        <f ca="1">AVERAGE(OFFSET($AM$3,0,0,'Données projet'!$E$10+1,1))-AVERAGE(OFFSET($H$3,0,0,'Données projet'!$E$10+1,1))</f>
        <v>224.31750842452965</v>
      </c>
      <c r="AO90" s="62">
        <f t="shared" si="90"/>
        <v>94.125825809616856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18.513520955914352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18.513520955914352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2.2737367544323206E-13</v>
      </c>
      <c r="O91" s="14">
        <f>N91*VLOOKUP('Données projet'!$B$9,Paramètres!$A$1:$I$89,3,0)*VLOOKUP('Données projet'!$B$9,Paramètres!$A$1:$I$89,5,0)</f>
        <v>1.3596945791505279E-13</v>
      </c>
      <c r="P91" s="14">
        <f t="shared" si="87"/>
        <v>1.9708830566360721E-12</v>
      </c>
      <c r="Q91" s="22">
        <f t="shared" si="54"/>
        <v>3.669434796176543E-12</v>
      </c>
      <c r="R91" s="62">
        <f t="shared" si="55"/>
        <v>293.33333333333701</v>
      </c>
      <c r="S91" s="62">
        <f ca="1">AVERAGE(OFFSET($R$3,0,0,'Données projet'!$E$9+1,1))-AVERAGE(OFFSET($H$3,0,0,'Données projet'!$E$9+1,1))</f>
        <v>234.60993819620847</v>
      </c>
      <c r="T91" s="62">
        <f t="shared" si="88"/>
        <v>346.26896655159095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82.765131022057489</v>
      </c>
      <c r="AA91" s="23">
        <f>EXP(-LN(2)/25)*AA90+(1-EXP(-LN(2)/25))/(LN(2)/25)*Calculateur!V91*Calculateur!X91*VLOOKUP('Données projet'!$B$9,Paramètres!$A$1:$I$89,3,0)*0.475*44/12</f>
        <v>6.4935072568731291</v>
      </c>
      <c r="AB91" s="23">
        <f>EXP(-LN(2)/2)*AB90+(1-EXP(-LN(2)/2))/(LN(2)/2)*V91*Y91*VLOOKUP('Données projet'!$B$9,Paramètres!$A$1:$I$89,3,0)*0.475*44/12</f>
        <v>4.6216584853229222E-6</v>
      </c>
      <c r="AC91" s="24">
        <f t="shared" si="57"/>
        <v>89.258642900589109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4.2</v>
      </c>
      <c r="AI91" s="14">
        <f>IF('Données projet'!$A$62&gt;35,AI90+AH91-AQ90,IF(A91&lt;'Données projet'!$A$62,$AF$205^A91,IF(A91='Données projet'!$A$62,'Données projet'!$B$62,AI90+AH91-AQ90)))</f>
        <v>198.59999999999997</v>
      </c>
      <c r="AJ91" s="14">
        <f>AI91*VLOOKUP('Données projet'!$B$10,Paramètres!$A$1:$I$89,3,0)*VLOOKUP('Données projet'!$B$10,Paramètres!$A$1:$I$89,5,0)</f>
        <v>216.87119999999993</v>
      </c>
      <c r="AK91" s="14">
        <f t="shared" si="89"/>
        <v>53.434290630986176</v>
      </c>
      <c r="AL91" s="22">
        <f t="shared" si="58"/>
        <v>470.78206284896743</v>
      </c>
      <c r="AM91" s="62">
        <f t="shared" si="59"/>
        <v>764.11539618230074</v>
      </c>
      <c r="AN91" s="62">
        <f ca="1">AVERAGE(OFFSET($AM$3,0,0,'Données projet'!$E$10+1,1))-AVERAGE(OFFSET($H$3,0,0,'Données projet'!$E$10+1,1))</f>
        <v>224.31750842452965</v>
      </c>
      <c r="AO91" s="62">
        <f t="shared" si="90"/>
        <v>94.125825809616856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18.150482102101648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18.150482102101648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2.2737367544323206E-13</v>
      </c>
      <c r="O92" s="14">
        <f>N92*VLOOKUP('Données projet'!$B$9,Paramètres!$A$1:$I$89,3,0)*VLOOKUP('Données projet'!$B$9,Paramètres!$A$1:$I$89,5,0)</f>
        <v>1.3596945791505279E-13</v>
      </c>
      <c r="P92" s="14">
        <f t="shared" si="87"/>
        <v>1.9708830566360721E-12</v>
      </c>
      <c r="Q92" s="22">
        <f t="shared" si="54"/>
        <v>3.669434796176543E-12</v>
      </c>
      <c r="R92" s="62">
        <f t="shared" si="55"/>
        <v>293.33333333333701</v>
      </c>
      <c r="S92" s="62">
        <f ca="1">AVERAGE(OFFSET($R$3,0,0,'Données projet'!$E$9+1,1))-AVERAGE(OFFSET($H$3,0,0,'Données projet'!$E$9+1,1))</f>
        <v>234.60993819620847</v>
      </c>
      <c r="T92" s="62">
        <f t="shared" si="88"/>
        <v>346.26896655159095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81.142157284460211</v>
      </c>
      <c r="AA92" s="23">
        <f>EXP(-LN(2)/25)*AA91+(1-EXP(-LN(2)/25))/(LN(2)/25)*Calculateur!V92*Calculateur!X92*VLOOKUP('Données projet'!$B$9,Paramètres!$A$1:$I$89,3,0)*0.475*44/12</f>
        <v>6.3159419594552277</v>
      </c>
      <c r="AB92" s="23">
        <f>EXP(-LN(2)/2)*AB91+(1-EXP(-LN(2)/2))/(LN(2)/2)*V92*Y92*VLOOKUP('Données projet'!$B$9,Paramètres!$A$1:$I$89,3,0)*0.475*44/12</f>
        <v>3.2680060553001863E-6</v>
      </c>
      <c r="AC92" s="24">
        <f t="shared" si="57"/>
        <v>87.458102511921496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4.2</v>
      </c>
      <c r="AI92" s="14">
        <f>IF('Données projet'!$A$62&gt;35,AI91+AH92-AQ91,IF(A92&lt;'Données projet'!$A$62,$AF$205^A92,IF(A92='Données projet'!$A$62,'Données projet'!$B$62,AI91+AH92-AQ91)))</f>
        <v>202.79999999999995</v>
      </c>
      <c r="AJ92" s="14">
        <f>AI92*VLOOKUP('Données projet'!$B$10,Paramètres!$A$1:$I$89,3,0)*VLOOKUP('Données projet'!$B$10,Paramètres!$A$1:$I$89,5,0)</f>
        <v>221.45759999999993</v>
      </c>
      <c r="AK92" s="14">
        <f t="shared" si="89"/>
        <v>54.431566019643263</v>
      </c>
      <c r="AL92" s="22">
        <f t="shared" si="58"/>
        <v>480.50696415087856</v>
      </c>
      <c r="AM92" s="62">
        <f t="shared" si="59"/>
        <v>773.84029748421187</v>
      </c>
      <c r="AN92" s="62">
        <f ca="1">AVERAGE(OFFSET($AM$3,0,0,'Données projet'!$E$10+1,1))-AVERAGE(OFFSET($H$3,0,0,'Données projet'!$E$10+1,1))</f>
        <v>224.31750842452965</v>
      </c>
      <c r="AO92" s="62">
        <f t="shared" si="90"/>
        <v>94.125825809616856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17.794562218780378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17.794562218780378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2.2737367544323206E-13</v>
      </c>
      <c r="O93" s="14">
        <f>N93*VLOOKUP('Données projet'!$B$9,Paramètres!$A$1:$I$89,3,0)*VLOOKUP('Données projet'!$B$9,Paramètres!$A$1:$I$89,5,0)</f>
        <v>1.3596945791505279E-13</v>
      </c>
      <c r="P93" s="14">
        <f t="shared" si="87"/>
        <v>1.9708830566360721E-12</v>
      </c>
      <c r="Q93" s="22">
        <f t="shared" si="54"/>
        <v>3.669434796176543E-12</v>
      </c>
      <c r="R93" s="62">
        <f t="shared" si="55"/>
        <v>293.33333333333701</v>
      </c>
      <c r="S93" s="62">
        <f ca="1">AVERAGE(OFFSET($R$3,0,0,'Données projet'!$E$9+1,1))-AVERAGE(OFFSET($H$3,0,0,'Données projet'!$E$9+1,1))</f>
        <v>234.60993819620847</v>
      </c>
      <c r="T93" s="62">
        <f t="shared" si="88"/>
        <v>346.26896655159095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79.551009071940982</v>
      </c>
      <c r="AA93" s="23">
        <f>EXP(-LN(2)/25)*AA92+(1-EXP(-LN(2)/25))/(LN(2)/25)*Calculateur!V93*Calculateur!X93*VLOOKUP('Données projet'!$B$9,Paramètres!$A$1:$I$89,3,0)*0.475*44/12</f>
        <v>6.1432321944329722</v>
      </c>
      <c r="AB93" s="23">
        <f>EXP(-LN(2)/2)*AB92+(1-EXP(-LN(2)/2))/(LN(2)/2)*V93*Y93*VLOOKUP('Données projet'!$B$9,Paramètres!$A$1:$I$89,3,0)*0.475*44/12</f>
        <v>2.3108292426614611E-6</v>
      </c>
      <c r="AC93" s="24">
        <f t="shared" si="57"/>
        <v>85.694243577203196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207</v>
      </c>
      <c r="AG93" s="13">
        <f>VLOOKUP(A93,'Données projet'!$A$61:$I$81,9,0)</f>
        <v>4.2</v>
      </c>
      <c r="AH93" s="13">
        <f t="array" ref="AH93">INDEX(AG:AG,MIN(IF(ISNUMBER(AG93:AG289),ROW(AG93:AG289),"")))</f>
        <v>4.2</v>
      </c>
      <c r="AI93" s="14">
        <f>IF('Données projet'!$A$62&gt;35,AI92+AH93-AQ92,IF(A93&lt;'Données projet'!$A$62,$AF$205^A93,IF(A93='Données projet'!$A$62,'Données projet'!$B$62,AI92+AH93-AQ92)))</f>
        <v>206.99999999999994</v>
      </c>
      <c r="AJ93" s="14">
        <f>AI93*VLOOKUP('Données projet'!$B$10,Paramètres!$A$1:$I$89,3,0)*VLOOKUP('Données projet'!$B$10,Paramètres!$A$1:$I$89,5,0)</f>
        <v>226.04399999999993</v>
      </c>
      <c r="AK93" s="14">
        <f t="shared" si="89"/>
        <v>55.426440039423454</v>
      </c>
      <c r="AL93" s="22">
        <f t="shared" si="58"/>
        <v>490.22768306866232</v>
      </c>
      <c r="AM93" s="62">
        <f t="shared" si="59"/>
        <v>783.56101640199563</v>
      </c>
      <c r="AN93" s="62">
        <f ca="1">AVERAGE(OFFSET($AM$3,0,0,'Données projet'!$E$10+1,1))-AVERAGE(OFFSET($H$3,0,0,'Données projet'!$E$10+1,1))</f>
        <v>224.31750842452965</v>
      </c>
      <c r="AO93" s="62">
        <f t="shared" si="90"/>
        <v>94.125825809616856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14</v>
      </c>
      <c r="AR93" s="17">
        <f>IF(ISNA(VLOOKUP(A93,'Données projet'!$A$61:$I$81,5,0)),0%,VLOOKUP(A93,'Données projet'!$A$61:$I$81,5,0)*VLOOKUP('Données projet'!$B$10,Paramètres!$A$1:$I$89,7,0))</f>
        <v>0.25800000000000001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21.805932947154677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21.805932947154677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2.2737367544323206E-13</v>
      </c>
      <c r="O94" s="14">
        <f>N94*VLOOKUP('Données projet'!$B$9,Paramètres!$A$1:$I$89,3,0)*VLOOKUP('Données projet'!$B$9,Paramètres!$A$1:$I$89,5,0)</f>
        <v>1.3596945791505279E-13</v>
      </c>
      <c r="P94" s="14">
        <f t="shared" si="87"/>
        <v>1.9708830566360721E-12</v>
      </c>
      <c r="Q94" s="22">
        <f t="shared" si="54"/>
        <v>3.669434796176543E-12</v>
      </c>
      <c r="R94" s="62">
        <f t="shared" si="55"/>
        <v>293.33333333333701</v>
      </c>
      <c r="S94" s="62">
        <f ca="1">AVERAGE(OFFSET($R$3,0,0,'Données projet'!$E$9+1,1))-AVERAGE(OFFSET($H$3,0,0,'Données projet'!$E$9+1,1))</f>
        <v>234.60993819620847</v>
      </c>
      <c r="T94" s="62">
        <f t="shared" si="88"/>
        <v>346.26896655159095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77.991062305364665</v>
      </c>
      <c r="AA94" s="23">
        <f>EXP(-LN(2)/25)*AA93+(1-EXP(-LN(2)/25))/(LN(2)/25)*Calculateur!V94*Calculateur!X94*VLOOKUP('Données projet'!$B$9,Paramètres!$A$1:$I$89,3,0)*0.475*44/12</f>
        <v>5.9752451870176619</v>
      </c>
      <c r="AB94" s="23">
        <f>EXP(-LN(2)/2)*AB93+(1-EXP(-LN(2)/2))/(LN(2)/2)*V94*Y94*VLOOKUP('Données projet'!$B$9,Paramètres!$A$1:$I$89,3,0)*0.475*44/12</f>
        <v>1.6340030276500931E-6</v>
      </c>
      <c r="AC94" s="24">
        <f t="shared" si="57"/>
        <v>83.966309126385354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3.8</v>
      </c>
      <c r="AI94" s="14">
        <f>IF('Données projet'!$A$62&gt;35,AI93+AH94-AQ93,IF(A94&lt;'Données projet'!$A$62,$AF$205^A94,IF(A94='Données projet'!$A$62,'Données projet'!$B$62,AI93+AH94-AQ93)))</f>
        <v>196.79999999999995</v>
      </c>
      <c r="AJ94" s="14">
        <f>AI94*VLOOKUP('Données projet'!$B$10,Paramètres!$A$1:$I$89,3,0)*VLOOKUP('Données projet'!$B$10,Paramètres!$A$1:$I$89,5,0)</f>
        <v>214.90559999999994</v>
      </c>
      <c r="AK94" s="14">
        <f t="shared" si="89"/>
        <v>53.006137800892326</v>
      </c>
      <c r="AL94" s="22">
        <f t="shared" si="58"/>
        <v>466.612943336554</v>
      </c>
      <c r="AM94" s="62">
        <f t="shared" si="59"/>
        <v>759.94627666988731</v>
      </c>
      <c r="AN94" s="62">
        <f ca="1">AVERAGE(OFFSET($AM$3,0,0,'Données projet'!$E$10+1,1))-AVERAGE(OFFSET($H$3,0,0,'Données projet'!$E$10+1,1))</f>
        <v>224.31750842452965</v>
      </c>
      <c r="AO94" s="62">
        <f t="shared" si="90"/>
        <v>94.125825809616856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21.378331902366774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21.378331902366774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2.2737367544323206E-13</v>
      </c>
      <c r="O95" s="14">
        <f>N95*VLOOKUP('Données projet'!$B$9,Paramètres!$A$1:$I$89,3,0)*VLOOKUP('Données projet'!$B$9,Paramètres!$A$1:$I$89,5,0)</f>
        <v>1.3596945791505279E-13</v>
      </c>
      <c r="P95" s="14">
        <f t="shared" si="87"/>
        <v>1.9708830566360721E-12</v>
      </c>
      <c r="Q95" s="22">
        <f t="shared" si="54"/>
        <v>3.669434796176543E-12</v>
      </c>
      <c r="R95" s="62">
        <f t="shared" si="55"/>
        <v>293.33333333333701</v>
      </c>
      <c r="S95" s="62">
        <f ca="1">AVERAGE(OFFSET($R$3,0,0,'Données projet'!$E$9+1,1))-AVERAGE(OFFSET($H$3,0,0,'Données projet'!$E$9+1,1))</f>
        <v>234.60993819620847</v>
      </c>
      <c r="T95" s="62">
        <f t="shared" si="88"/>
        <v>346.26896655159095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76.461705143407343</v>
      </c>
      <c r="AA95" s="23">
        <f>EXP(-LN(2)/25)*AA94+(1-EXP(-LN(2)/25))/(LN(2)/25)*Calculateur!V95*Calculateur!X95*VLOOKUP('Données projet'!$B$9,Paramètres!$A$1:$I$89,3,0)*0.475*44/12</f>
        <v>5.811851793154176</v>
      </c>
      <c r="AB95" s="23">
        <f>EXP(-LN(2)/2)*AB94+(1-EXP(-LN(2)/2))/(LN(2)/2)*V95*Y95*VLOOKUP('Données projet'!$B$9,Paramètres!$A$1:$I$89,3,0)*0.475*44/12</f>
        <v>1.1554146213307306E-6</v>
      </c>
      <c r="AC95" s="24">
        <f t="shared" si="57"/>
        <v>82.273558091976142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3.8</v>
      </c>
      <c r="AI95" s="14">
        <f>IF('Données projet'!$A$62&gt;35,AI94+AH95-AQ94,IF(A95&lt;'Données projet'!$A$62,$AF$205^A95,IF(A95='Données projet'!$A$62,'Données projet'!$B$62,AI94+AH95-AQ94)))</f>
        <v>200.59999999999997</v>
      </c>
      <c r="AJ95" s="14">
        <f>AI95*VLOOKUP('Données projet'!$B$10,Paramètres!$A$1:$I$89,3,0)*VLOOKUP('Données projet'!$B$10,Paramètres!$A$1:$I$89,5,0)</f>
        <v>219.05519999999996</v>
      </c>
      <c r="AK95" s="14">
        <f t="shared" si="89"/>
        <v>53.909486701352755</v>
      </c>
      <c r="AL95" s="22">
        <f t="shared" si="58"/>
        <v>475.41349600485597</v>
      </c>
      <c r="AM95" s="62">
        <f t="shared" si="59"/>
        <v>768.74682933818929</v>
      </c>
      <c r="AN95" s="62">
        <f ca="1">AVERAGE(OFFSET($AM$3,0,0,'Données projet'!$E$10+1,1))-AVERAGE(OFFSET($H$3,0,0,'Données projet'!$E$10+1,1))</f>
        <v>224.31750842452965</v>
      </c>
      <c r="AO95" s="62">
        <f t="shared" si="90"/>
        <v>94.125825809616856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20.959115853256279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20.959115853256279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2.2737367544323206E-13</v>
      </c>
      <c r="O96" s="14">
        <f>N96*VLOOKUP('Données projet'!$B$9,Paramètres!$A$1:$I$89,3,0)*VLOOKUP('Données projet'!$B$9,Paramètres!$A$1:$I$89,5,0)</f>
        <v>1.3596945791505279E-13</v>
      </c>
      <c r="P96" s="14">
        <f t="shared" si="87"/>
        <v>1.9708830566360721E-12</v>
      </c>
      <c r="Q96" s="22">
        <f t="shared" si="54"/>
        <v>3.669434796176543E-12</v>
      </c>
      <c r="R96" s="62">
        <f t="shared" si="55"/>
        <v>293.33333333333701</v>
      </c>
      <c r="S96" s="62">
        <f ca="1">AVERAGE(OFFSET($R$3,0,0,'Données projet'!$E$9+1,1))-AVERAGE(OFFSET($H$3,0,0,'Données projet'!$E$9+1,1))</f>
        <v>234.60993819620847</v>
      </c>
      <c r="T96" s="62">
        <f t="shared" si="88"/>
        <v>346.26896655159095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74.962337742580232</v>
      </c>
      <c r="AA96" s="23">
        <f>EXP(-LN(2)/25)*AA95+(1-EXP(-LN(2)/25))/(LN(2)/25)*Calculateur!V96*Calculateur!X96*VLOOKUP('Données projet'!$B$9,Paramètres!$A$1:$I$89,3,0)*0.475*44/12</f>
        <v>5.6529264002383721</v>
      </c>
      <c r="AB96" s="23">
        <f>EXP(-LN(2)/2)*AB95+(1-EXP(-LN(2)/2))/(LN(2)/2)*V96*Y96*VLOOKUP('Données projet'!$B$9,Paramètres!$A$1:$I$89,3,0)*0.475*44/12</f>
        <v>8.1700151382504657E-7</v>
      </c>
      <c r="AC96" s="24">
        <f t="shared" si="57"/>
        <v>80.615264959820124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3.8</v>
      </c>
      <c r="AI96" s="14">
        <f>IF('Données projet'!$A$62&gt;35,AI95+AH96-AQ95,IF(A96&lt;'Données projet'!$A$62,$AF$205^A96,IF(A96='Données projet'!$A$62,'Données projet'!$B$62,AI95+AH96-AQ95)))</f>
        <v>204.39999999999998</v>
      </c>
      <c r="AJ96" s="14">
        <f>AI96*VLOOKUP('Données projet'!$B$10,Paramètres!$A$1:$I$89,3,0)*VLOOKUP('Données projet'!$B$10,Paramètres!$A$1:$I$89,5,0)</f>
        <v>223.20479999999998</v>
      </c>
      <c r="AK96" s="14">
        <f t="shared" si="89"/>
        <v>54.810845799603946</v>
      </c>
      <c r="AL96" s="22">
        <f t="shared" si="58"/>
        <v>484.21058310097686</v>
      </c>
      <c r="AM96" s="62">
        <f t="shared" si="59"/>
        <v>777.54391643431018</v>
      </c>
      <c r="AN96" s="62">
        <f ca="1">AVERAGE(OFFSET($AM$3,0,0,'Données projet'!$E$10+1,1))-AVERAGE(OFFSET($H$3,0,0,'Données projet'!$E$10+1,1))</f>
        <v>224.31750842452965</v>
      </c>
      <c r="AO96" s="62">
        <f t="shared" si="90"/>
        <v>94.125825809616856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20.548120375172299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20.548120375172299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2.2737367544323206E-13</v>
      </c>
      <c r="O97" s="14">
        <f>N97*VLOOKUP('Données projet'!$B$9,Paramètres!$A$1:$I$89,3,0)*VLOOKUP('Données projet'!$B$9,Paramètres!$A$1:$I$89,5,0)</f>
        <v>1.3596945791505279E-13</v>
      </c>
      <c r="P97" s="14">
        <f t="shared" si="87"/>
        <v>1.9708830566360721E-12</v>
      </c>
      <c r="Q97" s="22">
        <f t="shared" si="54"/>
        <v>3.669434796176543E-12</v>
      </c>
      <c r="R97" s="62">
        <f t="shared" si="55"/>
        <v>293.33333333333701</v>
      </c>
      <c r="S97" s="62">
        <f ca="1">AVERAGE(OFFSET($R$3,0,0,'Données projet'!$E$9+1,1))-AVERAGE(OFFSET($H$3,0,0,'Données projet'!$E$9+1,1))</f>
        <v>234.60993819620847</v>
      </c>
      <c r="T97" s="62">
        <f t="shared" si="88"/>
        <v>346.26896655159095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73.49237202195954</v>
      </c>
      <c r="AA97" s="23">
        <f>EXP(-LN(2)/25)*AA96+(1-EXP(-LN(2)/25))/(LN(2)/25)*Calculateur!V97*Calculateur!X97*VLOOKUP('Données projet'!$B$9,Paramètres!$A$1:$I$89,3,0)*0.475*44/12</f>
        <v>5.4983468305493748</v>
      </c>
      <c r="AB97" s="23">
        <f>EXP(-LN(2)/2)*AB96+(1-EXP(-LN(2)/2))/(LN(2)/2)*V97*Y97*VLOOKUP('Données projet'!$B$9,Paramètres!$A$1:$I$89,3,0)*0.475*44/12</f>
        <v>5.7770731066536528E-7</v>
      </c>
      <c r="AC97" s="24">
        <f t="shared" si="57"/>
        <v>78.990719430216231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3.8</v>
      </c>
      <c r="AI97" s="14">
        <f>IF('Données projet'!$A$62&gt;35,AI96+AH97-AQ96,IF(A97&lt;'Données projet'!$A$62,$AF$205^A97,IF(A97='Données projet'!$A$62,'Données projet'!$B$62,AI96+AH97-AQ96)))</f>
        <v>208.2</v>
      </c>
      <c r="AJ97" s="14">
        <f>AI97*VLOOKUP('Données projet'!$B$10,Paramètres!$A$1:$I$89,3,0)*VLOOKUP('Données projet'!$B$10,Paramètres!$A$1:$I$89,5,0)</f>
        <v>227.35439999999997</v>
      </c>
      <c r="AK97" s="14">
        <f t="shared" si="89"/>
        <v>55.710256354112509</v>
      </c>
      <c r="AL97" s="22">
        <f t="shared" si="58"/>
        <v>493.00427648341247</v>
      </c>
      <c r="AM97" s="62">
        <f t="shared" si="59"/>
        <v>786.33760981674573</v>
      </c>
      <c r="AN97" s="62">
        <f ca="1">AVERAGE(OFFSET($AM$3,0,0,'Données projet'!$E$10+1,1))-AVERAGE(OFFSET($H$3,0,0,'Données projet'!$E$10+1,1))</f>
        <v>224.31750842452965</v>
      </c>
      <c r="AO97" s="62">
        <f t="shared" si="90"/>
        <v>94.125825809616856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20.145184267731057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20.145184267731057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2.2737367544323206E-13</v>
      </c>
      <c r="O98" s="14">
        <f>N98*VLOOKUP('Données projet'!$B$9,Paramètres!$A$1:$I$89,3,0)*VLOOKUP('Données projet'!$B$9,Paramètres!$A$1:$I$89,5,0)</f>
        <v>1.3596945791505279E-13</v>
      </c>
      <c r="P98" s="14">
        <f t="shared" si="87"/>
        <v>1.9708830566360721E-12</v>
      </c>
      <c r="Q98" s="22">
        <f t="shared" si="54"/>
        <v>3.669434796176543E-12</v>
      </c>
      <c r="R98" s="62">
        <f t="shared" si="55"/>
        <v>293.33333333333701</v>
      </c>
      <c r="S98" s="62">
        <f ca="1">AVERAGE(OFFSET($R$3,0,0,'Données projet'!$E$9+1,1))-AVERAGE(OFFSET($H$3,0,0,'Données projet'!$E$9+1,1))</f>
        <v>234.60993819620847</v>
      </c>
      <c r="T98" s="62">
        <f t="shared" si="88"/>
        <v>346.26896655159095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72.051231432529647</v>
      </c>
      <c r="AA98" s="23">
        <f>EXP(-LN(2)/25)*AA97+(1-EXP(-LN(2)/25))/(LN(2)/25)*Calculateur!V98*Calculateur!X98*VLOOKUP('Données projet'!$B$9,Paramètres!$A$1:$I$89,3,0)*0.475*44/12</f>
        <v>5.3479942473225091</v>
      </c>
      <c r="AB98" s="23">
        <f>EXP(-LN(2)/2)*AB97+(1-EXP(-LN(2)/2))/(LN(2)/2)*V98*Y98*VLOOKUP('Données projet'!$B$9,Paramètres!$A$1:$I$89,3,0)*0.475*44/12</f>
        <v>4.0850075691252329E-7</v>
      </c>
      <c r="AC98" s="24">
        <f t="shared" si="57"/>
        <v>77.399226088352904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212</v>
      </c>
      <c r="AG98" s="13">
        <f>VLOOKUP(A98,'Données projet'!$A$61:$I$81,9,0)</f>
        <v>3.8</v>
      </c>
      <c r="AH98" s="13">
        <f t="array" ref="AH98">INDEX(AG:AG,MIN(IF(ISNUMBER(AG98:AG294),ROW(AG98:AG294),"")))</f>
        <v>3.8</v>
      </c>
      <c r="AI98" s="14">
        <f>IF('Données projet'!$A$62&gt;35,AI97+AH98-AQ97,IF(A98&lt;'Données projet'!$A$62,$AF$205^A98,IF(A98='Données projet'!$A$62,'Données projet'!$B$62,AI97+AH98-AQ97)))</f>
        <v>212</v>
      </c>
      <c r="AJ98" s="14">
        <f>AI98*VLOOKUP('Données projet'!$B$10,Paramètres!$A$1:$I$89,3,0)*VLOOKUP('Données projet'!$B$10,Paramètres!$A$1:$I$89,5,0)</f>
        <v>231.50399999999996</v>
      </c>
      <c r="AK98" s="14">
        <f t="shared" si="89"/>
        <v>56.607758031045634</v>
      </c>
      <c r="AL98" s="22">
        <f t="shared" si="58"/>
        <v>501.79464523740444</v>
      </c>
      <c r="AM98" s="62">
        <f t="shared" si="59"/>
        <v>795.1279785707377</v>
      </c>
      <c r="AN98" s="62">
        <f ca="1">AVERAGE(OFFSET($AM$3,0,0,'Données projet'!$E$10+1,1))-AVERAGE(OFFSET($H$3,0,0,'Données projet'!$E$10+1,1))</f>
        <v>224.31750842452965</v>
      </c>
      <c r="AO98" s="62">
        <f t="shared" si="90"/>
        <v>94.125825809616856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14</v>
      </c>
      <c r="AR98" s="17">
        <f>IF(ISNA(VLOOKUP(A98,'Données projet'!$A$61:$I$81,5,0)),0%,VLOOKUP(A98,'Données projet'!$A$61:$I$81,5,0)*VLOOKUP('Données projet'!$B$10,Paramètres!$A$1:$I$89,7,0))</f>
        <v>0.30099999999999999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24.837179271442203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24.837179271442203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2.2737367544323206E-13</v>
      </c>
      <c r="O99" s="14">
        <f>N99*VLOOKUP('Données projet'!$B$9,Paramètres!$A$1:$I$89,3,0)*VLOOKUP('Données projet'!$B$9,Paramètres!$A$1:$I$89,5,0)</f>
        <v>1.3596945791505279E-13</v>
      </c>
      <c r="P99" s="14">
        <f t="shared" si="87"/>
        <v>1.9708830566360721E-12</v>
      </c>
      <c r="Q99" s="22">
        <f t="shared" ref="Q99:Q130" si="107">(O99+P99)*0.475*44/12</f>
        <v>3.669434796176543E-12</v>
      </c>
      <c r="R99" s="62">
        <f t="shared" si="55"/>
        <v>293.33333333333701</v>
      </c>
      <c r="S99" s="62">
        <f ca="1">AVERAGE(OFFSET($R$3,0,0,'Données projet'!$E$9+1,1))-AVERAGE(OFFSET($H$3,0,0,'Données projet'!$E$9+1,1))</f>
        <v>234.60993819620847</v>
      </c>
      <c r="T99" s="62">
        <f t="shared" si="88"/>
        <v>346.26896655159095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70.638350731049513</v>
      </c>
      <c r="AA99" s="23">
        <f>EXP(-LN(2)/25)*AA98+(1-EXP(-LN(2)/25))/(LN(2)/25)*Calculateur!V99*Calculateur!X99*VLOOKUP('Données projet'!$B$9,Paramètres!$A$1:$I$89,3,0)*0.475*44/12</f>
        <v>5.2017530633906803</v>
      </c>
      <c r="AB99" s="23">
        <f>EXP(-LN(2)/2)*AB98+(1-EXP(-LN(2)/2))/(LN(2)/2)*V99*Y99*VLOOKUP('Données projet'!$B$9,Paramètres!$A$1:$I$89,3,0)*0.475*44/12</f>
        <v>2.8885365533268264E-7</v>
      </c>
      <c r="AC99" s="24">
        <f t="shared" si="57"/>
        <v>75.840104083293852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3.6</v>
      </c>
      <c r="AI99" s="14">
        <f>IF('Données projet'!$A$62&gt;35,AI98+AH99-AQ98,IF(A99&lt;'Données projet'!$A$62,$AF$205^A99,IF(A99='Données projet'!$A$62,'Données projet'!$B$62,AI98+AH99-AQ98)))</f>
        <v>201.6</v>
      </c>
      <c r="AJ99" s="14">
        <f>AI99*VLOOKUP('Données projet'!$B$10,Paramètres!$A$1:$I$89,3,0)*VLOOKUP('Données projet'!$B$10,Paramètres!$A$1:$I$89,5,0)</f>
        <v>220.14719999999997</v>
      </c>
      <c r="AK99" s="14">
        <f t="shared" si="89"/>
        <v>54.146877667769637</v>
      </c>
      <c r="AL99" s="22">
        <f t="shared" si="58"/>
        <v>477.72885193803205</v>
      </c>
      <c r="AM99" s="62">
        <f t="shared" si="59"/>
        <v>771.06218527136537</v>
      </c>
      <c r="AN99" s="62">
        <f ca="1">AVERAGE(OFFSET($AM$3,0,0,'Données projet'!$E$10+1,1))-AVERAGE(OFFSET($H$3,0,0,'Données projet'!$E$10+1,1))</f>
        <v>224.31750842452965</v>
      </c>
      <c r="AO99" s="62">
        <f t="shared" si="90"/>
        <v>94.125825809616856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24.35013733511272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24.35013733511272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2.2737367544323206E-13</v>
      </c>
      <c r="O100" s="14">
        <f>N100*VLOOKUP('Données projet'!$B$9,Paramètres!$A$1:$I$89,3,0)*VLOOKUP('Données projet'!$B$9,Paramètres!$A$1:$I$89,5,0)</f>
        <v>1.3596945791505279E-13</v>
      </c>
      <c r="P100" s="14">
        <f t="shared" si="87"/>
        <v>1.9708830566360721E-12</v>
      </c>
      <c r="Q100" s="22">
        <f t="shared" si="107"/>
        <v>3.669434796176543E-12</v>
      </c>
      <c r="R100" s="62">
        <f t="shared" si="55"/>
        <v>293.33333333333701</v>
      </c>
      <c r="S100" s="62">
        <f ca="1">AVERAGE(OFFSET($R$3,0,0,'Données projet'!$E$9+1,1))-AVERAGE(OFFSET($H$3,0,0,'Données projet'!$E$9+1,1))</f>
        <v>234.60993819620847</v>
      </c>
      <c r="T100" s="62">
        <f t="shared" si="88"/>
        <v>346.26896655159095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69.253175758353279</v>
      </c>
      <c r="AA100" s="23">
        <f>EXP(-LN(2)/25)*AA99+(1-EXP(-LN(2)/25))/(LN(2)/25)*Calculateur!V100*Calculateur!X100*VLOOKUP('Données projet'!$B$9,Paramètres!$A$1:$I$89,3,0)*0.475*44/12</f>
        <v>5.0595108523239576</v>
      </c>
      <c r="AB100" s="23">
        <f>EXP(-LN(2)/2)*AB99+(1-EXP(-LN(2)/2))/(LN(2)/2)*V100*Y100*VLOOKUP('Données projet'!$B$9,Paramètres!$A$1:$I$89,3,0)*0.475*44/12</f>
        <v>2.0425037845626164E-7</v>
      </c>
      <c r="AC100" s="24">
        <f t="shared" si="57"/>
        <v>74.312686814927616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3.6</v>
      </c>
      <c r="AI100" s="14">
        <f>IF('Données projet'!$A$62&gt;35,AI99+AH100-AQ99,IF(A100&lt;'Données projet'!$A$62,$AF$205^A100,IF(A100='Données projet'!$A$62,'Données projet'!$B$62,AI99+AH100-AQ99)))</f>
        <v>205.2</v>
      </c>
      <c r="AJ100" s="14">
        <f>AI100*VLOOKUP('Données projet'!$B$10,Paramètres!$A$1:$I$89,3,0)*VLOOKUP('Données projet'!$B$10,Paramètres!$A$1:$I$89,5,0)</f>
        <v>224.07839999999999</v>
      </c>
      <c r="AK100" s="14">
        <f t="shared" si="89"/>
        <v>55.000355965484125</v>
      </c>
      <c r="AL100" s="22">
        <f t="shared" si="58"/>
        <v>486.06216663988477</v>
      </c>
      <c r="AM100" s="62">
        <f t="shared" si="59"/>
        <v>779.39549997321808</v>
      </c>
      <c r="AN100" s="62">
        <f ca="1">AVERAGE(OFFSET($AM$3,0,0,'Données projet'!$E$10+1,1))-AVERAGE(OFFSET($H$3,0,0,'Données projet'!$E$10+1,1))</f>
        <v>224.31750842452965</v>
      </c>
      <c r="AO100" s="62">
        <f t="shared" si="90"/>
        <v>94.125825809616856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23.872645994088408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23.872645994088408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2.2737367544323206E-13</v>
      </c>
      <c r="O101" s="14">
        <f>N101*VLOOKUP('Données projet'!$B$9,Paramètres!$A$1:$I$89,3,0)*VLOOKUP('Données projet'!$B$9,Paramètres!$A$1:$I$89,5,0)</f>
        <v>1.3596945791505279E-13</v>
      </c>
      <c r="P101" s="14">
        <f t="shared" si="87"/>
        <v>1.9708830566360721E-12</v>
      </c>
      <c r="Q101" s="22">
        <f t="shared" si="107"/>
        <v>3.669434796176543E-12</v>
      </c>
      <c r="R101" s="62">
        <f t="shared" si="55"/>
        <v>293.33333333333701</v>
      </c>
      <c r="S101" s="62">
        <f ca="1">AVERAGE(OFFSET($R$3,0,0,'Données projet'!$E$9+1,1))-AVERAGE(OFFSET($H$3,0,0,'Données projet'!$E$9+1,1))</f>
        <v>234.60993819620847</v>
      </c>
      <c r="T101" s="62">
        <f t="shared" si="88"/>
        <v>346.26896655159095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67.895163221998303</v>
      </c>
      <c r="AA101" s="23">
        <f>EXP(-LN(2)/25)*AA100+(1-EXP(-LN(2)/25))/(LN(2)/25)*Calculateur!V101*Calculateur!X101*VLOOKUP('Données projet'!$B$9,Paramètres!$A$1:$I$89,3,0)*0.475*44/12</f>
        <v>4.9211582619990466</v>
      </c>
      <c r="AB101" s="23">
        <f>EXP(-LN(2)/2)*AB100+(1-EXP(-LN(2)/2))/(LN(2)/2)*V101*Y101*VLOOKUP('Données projet'!$B$9,Paramètres!$A$1:$I$89,3,0)*0.475*44/12</f>
        <v>1.4442682766634132E-7</v>
      </c>
      <c r="AC101" s="24">
        <f t="shared" si="57"/>
        <v>72.816321628424163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3.6</v>
      </c>
      <c r="AI101" s="14">
        <f>IF('Données projet'!$A$62&gt;35,AI100+AH101-AQ100,IF(A101&lt;'Données projet'!$A$62,$AF$205^A101,IF(A101='Données projet'!$A$62,'Données projet'!$B$62,AI100+AH101-AQ100)))</f>
        <v>208.79999999999998</v>
      </c>
      <c r="AJ101" s="14">
        <f>AI101*VLOOKUP('Données projet'!$B$10,Paramètres!$A$1:$I$89,3,0)*VLOOKUP('Données projet'!$B$10,Paramètres!$A$1:$I$89,5,0)</f>
        <v>228.00959999999995</v>
      </c>
      <c r="AK101" s="14">
        <f t="shared" si="89"/>
        <v>55.852093054619829</v>
      </c>
      <c r="AL101" s="22">
        <f t="shared" si="58"/>
        <v>494.3924487367961</v>
      </c>
      <c r="AM101" s="62">
        <f t="shared" si="59"/>
        <v>787.72578207012941</v>
      </c>
      <c r="AN101" s="62">
        <f ca="1">AVERAGE(OFFSET($AM$3,0,0,'Données projet'!$E$10+1,1))-AVERAGE(OFFSET($H$3,0,0,'Données projet'!$E$10+1,1))</f>
        <v>224.31750842452965</v>
      </c>
      <c r="AO101" s="62">
        <f t="shared" si="90"/>
        <v>94.125825809616856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23.404517967020624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23.404517967020624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2.2737367544323206E-13</v>
      </c>
      <c r="O102" s="14">
        <f>N102*VLOOKUP('Données projet'!$B$9,Paramètres!$A$1:$I$89,3,0)*VLOOKUP('Données projet'!$B$9,Paramètres!$A$1:$I$89,5,0)</f>
        <v>1.3596945791505279E-13</v>
      </c>
      <c r="P102" s="14">
        <f t="shared" si="87"/>
        <v>1.9708830566360721E-12</v>
      </c>
      <c r="Q102" s="22">
        <f t="shared" si="107"/>
        <v>3.669434796176543E-12</v>
      </c>
      <c r="R102" s="62">
        <f t="shared" si="55"/>
        <v>293.33333333333701</v>
      </c>
      <c r="S102" s="62">
        <f ca="1">AVERAGE(OFFSET($R$3,0,0,'Données projet'!$E$9+1,1))-AVERAGE(OFFSET($H$3,0,0,'Données projet'!$E$9+1,1))</f>
        <v>234.60993819620847</v>
      </c>
      <c r="T102" s="62">
        <f t="shared" si="88"/>
        <v>346.26896655159095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66.563780483175393</v>
      </c>
      <c r="AA102" s="23">
        <f>EXP(-LN(2)/25)*AA101+(1-EXP(-LN(2)/25))/(LN(2)/25)*Calculateur!V102*Calculateur!X102*VLOOKUP('Données projet'!$B$9,Paramètres!$A$1:$I$89,3,0)*0.475*44/12</f>
        <v>4.7865889305322176</v>
      </c>
      <c r="AB102" s="23">
        <f>EXP(-LN(2)/2)*AB101+(1-EXP(-LN(2)/2))/(LN(2)/2)*V102*Y102*VLOOKUP('Données projet'!$B$9,Paramètres!$A$1:$I$89,3,0)*0.475*44/12</f>
        <v>1.0212518922813082E-7</v>
      </c>
      <c r="AC102" s="24">
        <f t="shared" si="57"/>
        <v>71.350369515832796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3.6</v>
      </c>
      <c r="AI102" s="14">
        <f>IF('Données projet'!$A$62&gt;35,AI101+AH102-AQ101,IF(A102&lt;'Données projet'!$A$62,$AF$205^A102,IF(A102='Données projet'!$A$62,'Données projet'!$B$62,AI101+AH102-AQ101)))</f>
        <v>212.39999999999998</v>
      </c>
      <c r="AJ102" s="14">
        <f>AI102*VLOOKUP('Données projet'!$B$10,Paramètres!$A$1:$I$89,3,0)*VLOOKUP('Données projet'!$B$10,Paramètres!$A$1:$I$89,5,0)</f>
        <v>231.94079999999997</v>
      </c>
      <c r="AK102" s="14">
        <f t="shared" si="89"/>
        <v>56.702122420175449</v>
      </c>
      <c r="AL102" s="22">
        <f t="shared" si="58"/>
        <v>502.71975654847216</v>
      </c>
      <c r="AM102" s="62">
        <f t="shared" si="59"/>
        <v>796.05308988180548</v>
      </c>
      <c r="AN102" s="62">
        <f ca="1">AVERAGE(OFFSET($AM$3,0,0,'Données projet'!$E$10+1,1))-AVERAGE(OFFSET($H$3,0,0,'Données projet'!$E$10+1,1))</f>
        <v>224.31750842452965</v>
      </c>
      <c r="AO102" s="62">
        <f t="shared" si="90"/>
        <v>94.125825809616856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22.945569645033736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22.945569645033736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2.2737367544323206E-13</v>
      </c>
      <c r="O103" s="14">
        <f>N103*VLOOKUP('Données projet'!$B$9,Paramètres!$A$1:$I$89,3,0)*VLOOKUP('Données projet'!$B$9,Paramètres!$A$1:$I$89,5,0)</f>
        <v>1.3596945791505279E-13</v>
      </c>
      <c r="P103" s="14">
        <f t="shared" si="87"/>
        <v>1.9708830566360721E-12</v>
      </c>
      <c r="Q103" s="22">
        <f t="shared" si="107"/>
        <v>3.669434796176543E-12</v>
      </c>
      <c r="R103" s="62">
        <f t="shared" si="55"/>
        <v>293.33333333333701</v>
      </c>
      <c r="S103" s="62">
        <f ca="1">AVERAGE(OFFSET($R$3,0,0,'Données projet'!$E$9+1,1))-AVERAGE(OFFSET($H$3,0,0,'Données projet'!$E$9+1,1))</f>
        <v>234.60993819620847</v>
      </c>
      <c r="T103" s="62">
        <f t="shared" si="88"/>
        <v>346.26896655159095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65.258505347797509</v>
      </c>
      <c r="AA103" s="23">
        <f>EXP(-LN(2)/25)*AA102+(1-EXP(-LN(2)/25))/(LN(2)/25)*Calculateur!V103*Calculateur!X103*VLOOKUP('Données projet'!$B$9,Paramètres!$A$1:$I$89,3,0)*0.475*44/12</f>
        <v>4.6556994045110418</v>
      </c>
      <c r="AB103" s="23">
        <f>EXP(-LN(2)/2)*AB102+(1-EXP(-LN(2)/2))/(LN(2)/2)*V103*Y103*VLOOKUP('Données projet'!$B$9,Paramètres!$A$1:$I$89,3,0)*0.475*44/12</f>
        <v>7.221341383317066E-8</v>
      </c>
      <c r="AC103" s="24">
        <f t="shared" si="57"/>
        <v>69.91420482452196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216</v>
      </c>
      <c r="AG103" s="13">
        <f>VLOOKUP(A103,'Données projet'!$A$61:$I$81,9,0)</f>
        <v>3.6</v>
      </c>
      <c r="AH103" s="13">
        <f t="array" ref="AH103">INDEX(AG:AG,MIN(IF(ISNUMBER(AG103:AG299),ROW(AG103:AG299),"")))</f>
        <v>3.6</v>
      </c>
      <c r="AI103" s="14">
        <f>IF('Données projet'!$A$62&gt;35,AI102+AH103-AQ102,IF(A103&lt;'Données projet'!$A$62,$AF$205^A103,IF(A103='Données projet'!$A$62,'Données projet'!$B$62,AI102+AH103-AQ102)))</f>
        <v>215.99999999999997</v>
      </c>
      <c r="AJ103" s="14">
        <f>AI103*VLOOKUP('Données projet'!$B$10,Paramètres!$A$1:$I$89,3,0)*VLOOKUP('Données projet'!$B$10,Paramètres!$A$1:$I$89,5,0)</f>
        <v>235.87199999999996</v>
      </c>
      <c r="AK103" s="14">
        <f t="shared" si="89"/>
        <v>57.550476347015277</v>
      </c>
      <c r="AL103" s="22">
        <f t="shared" si="58"/>
        <v>511.04414630438487</v>
      </c>
      <c r="AM103" s="62">
        <f t="shared" si="59"/>
        <v>804.37747963771812</v>
      </c>
      <c r="AN103" s="62">
        <f ca="1">AVERAGE(OFFSET($AM$3,0,0,'Données projet'!$E$10+1,1))-AVERAGE(OFFSET($H$3,0,0,'Données projet'!$E$10+1,1))</f>
        <v>224.31750842452965</v>
      </c>
      <c r="AO103" s="62">
        <f t="shared" si="90"/>
        <v>94.125825809616856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14</v>
      </c>
      <c r="AR103" s="17">
        <f>IF(ISNA(VLOOKUP(A103,'Données projet'!$A$61:$I$81,5,0)),0%,VLOOKUP(A103,'Données projet'!$A$61:$I$81,5,0)*VLOOKUP('Données projet'!$B$10,Paramètres!$A$1:$I$89,7,0))</f>
        <v>0.30099999999999999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27.582650799562398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27.582650799562398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2.2737367544323206E-13</v>
      </c>
      <c r="O104" s="14">
        <f>N104*VLOOKUP('Données projet'!$B$9,Paramètres!$A$1:$I$89,3,0)*VLOOKUP('Données projet'!$B$9,Paramètres!$A$1:$I$89,5,0)</f>
        <v>1.3596945791505279E-13</v>
      </c>
      <c r="P104" s="14">
        <f t="shared" si="87"/>
        <v>1.9708830566360721E-12</v>
      </c>
      <c r="Q104" s="22">
        <f t="shared" si="107"/>
        <v>3.669434796176543E-12</v>
      </c>
      <c r="R104" s="62">
        <f t="shared" si="55"/>
        <v>293.33333333333701</v>
      </c>
      <c r="S104" s="62">
        <f ca="1">AVERAGE(OFFSET($R$3,0,0,'Données projet'!$E$9+1,1))-AVERAGE(OFFSET($H$3,0,0,'Données projet'!$E$9+1,1))</f>
        <v>234.60993819620847</v>
      </c>
      <c r="T104" s="62">
        <f t="shared" si="88"/>
        <v>346.26896655159095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63.978825861685166</v>
      </c>
      <c r="AA104" s="23">
        <f>EXP(-LN(2)/25)*AA103+(1-EXP(-LN(2)/25))/(LN(2)/25)*Calculateur!V104*Calculateur!X104*VLOOKUP('Données projet'!$B$9,Paramètres!$A$1:$I$89,3,0)*0.475*44/12</f>
        <v>4.5283890594620964</v>
      </c>
      <c r="AB104" s="23">
        <f>EXP(-LN(2)/2)*AB103+(1-EXP(-LN(2)/2))/(LN(2)/2)*V104*Y104*VLOOKUP('Données projet'!$B$9,Paramètres!$A$1:$I$89,3,0)*0.475*44/12</f>
        <v>5.1062594614065411E-8</v>
      </c>
      <c r="AC104" s="24">
        <f t="shared" si="57"/>
        <v>68.507214972209866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3.2</v>
      </c>
      <c r="AI104" s="14">
        <f>IF('Données projet'!$A$62&gt;35,AI103+AH104-AQ103,IF(A104&lt;'Données projet'!$A$62,$AF$205^A104,IF(A104='Données projet'!$A$62,'Données projet'!$B$62,AI103+AH104-AQ103)))</f>
        <v>205.19999999999996</v>
      </c>
      <c r="AJ104" s="14">
        <f>AI104*VLOOKUP('Données projet'!$B$10,Paramètres!$A$1:$I$89,3,0)*VLOOKUP('Données projet'!$B$10,Paramètres!$A$1:$I$89,5,0)</f>
        <v>224.07839999999993</v>
      </c>
      <c r="AK104" s="14">
        <f t="shared" si="89"/>
        <v>55.000355965484076</v>
      </c>
      <c r="AL104" s="22">
        <f t="shared" si="58"/>
        <v>486.06216663988454</v>
      </c>
      <c r="AM104" s="62">
        <f t="shared" si="59"/>
        <v>779.39549997321785</v>
      </c>
      <c r="AN104" s="62">
        <f ca="1">AVERAGE(OFFSET($AM$3,0,0,'Données projet'!$E$10+1,1))-AVERAGE(OFFSET($H$3,0,0,'Données projet'!$E$10+1,1))</f>
        <v>224.31750842452965</v>
      </c>
      <c r="AO104" s="62">
        <f t="shared" si="90"/>
        <v>94.125825809616856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27.041771841138758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27.041771841138758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2.2737367544323206E-13</v>
      </c>
      <c r="O105" s="14">
        <f>N105*VLOOKUP('Données projet'!$B$9,Paramètres!$A$1:$I$89,3,0)*VLOOKUP('Données projet'!$B$9,Paramètres!$A$1:$I$89,5,0)</f>
        <v>1.3596945791505279E-13</v>
      </c>
      <c r="P105" s="14">
        <f t="shared" si="87"/>
        <v>1.9708830566360721E-12</v>
      </c>
      <c r="Q105" s="22">
        <f t="shared" si="107"/>
        <v>3.669434796176543E-12</v>
      </c>
      <c r="R105" s="62">
        <f t="shared" si="55"/>
        <v>293.33333333333701</v>
      </c>
      <c r="S105" s="62">
        <f ca="1">AVERAGE(OFFSET($R$3,0,0,'Données projet'!$E$9+1,1))-AVERAGE(OFFSET($H$3,0,0,'Données projet'!$E$9+1,1))</f>
        <v>234.60993819620847</v>
      </c>
      <c r="T105" s="62">
        <f t="shared" si="88"/>
        <v>346.26896655159095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62.724240109768068</v>
      </c>
      <c r="AA105" s="23">
        <f>EXP(-LN(2)/25)*AA104+(1-EXP(-LN(2)/25))/(LN(2)/25)*Calculateur!V105*Calculateur!X105*VLOOKUP('Données projet'!$B$9,Paramètres!$A$1:$I$89,3,0)*0.475*44/12</f>
        <v>4.4045600224934747</v>
      </c>
      <c r="AB105" s="23">
        <f>EXP(-LN(2)/2)*AB104+(1-EXP(-LN(2)/2))/(LN(2)/2)*V105*Y105*VLOOKUP('Données projet'!$B$9,Paramètres!$A$1:$I$89,3,0)*0.475*44/12</f>
        <v>3.610670691658533E-8</v>
      </c>
      <c r="AC105" s="24">
        <f t="shared" si="57"/>
        <v>67.128800168368258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3.2</v>
      </c>
      <c r="AI105" s="14">
        <f>IF('Données projet'!$A$62&gt;35,AI104+AH105-AQ104,IF(A105&lt;'Données projet'!$A$62,$AF$205^A105,IF(A105='Données projet'!$A$62,'Données projet'!$B$62,AI104+AH105-AQ104)))</f>
        <v>208.39999999999995</v>
      </c>
      <c r="AJ105" s="14">
        <f>AI105*VLOOKUP('Données projet'!$B$10,Paramètres!$A$1:$I$89,3,0)*VLOOKUP('Données projet'!$B$10,Paramètres!$A$1:$I$89,5,0)</f>
        <v>227.57279999999994</v>
      </c>
      <c r="AK105" s="14">
        <f t="shared" si="89"/>
        <v>55.757540534136233</v>
      </c>
      <c r="AL105" s="22">
        <f t="shared" si="58"/>
        <v>493.46700976362052</v>
      </c>
      <c r="AM105" s="62">
        <f t="shared" si="59"/>
        <v>786.80034309695384</v>
      </c>
      <c r="AN105" s="62">
        <f ca="1">AVERAGE(OFFSET($AM$3,0,0,'Données projet'!$E$10+1,1))-AVERAGE(OFFSET($H$3,0,0,'Données projet'!$E$10+1,1))</f>
        <v>224.31750842452965</v>
      </c>
      <c r="AO105" s="62">
        <f t="shared" si="90"/>
        <v>94.125825809616856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26.511499189186218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26.511499189186218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2.2737367544323206E-13</v>
      </c>
      <c r="O106" s="14">
        <f>N106*VLOOKUP('Données projet'!$B$9,Paramètres!$A$1:$I$89,3,0)*VLOOKUP('Données projet'!$B$9,Paramètres!$A$1:$I$89,5,0)</f>
        <v>1.3596945791505279E-13</v>
      </c>
      <c r="P106" s="14">
        <f t="shared" si="87"/>
        <v>1.9708830566360721E-12</v>
      </c>
      <c r="Q106" s="22">
        <f t="shared" si="107"/>
        <v>3.669434796176543E-12</v>
      </c>
      <c r="R106" s="62">
        <f t="shared" si="55"/>
        <v>293.33333333333701</v>
      </c>
      <c r="S106" s="62">
        <f ca="1">AVERAGE(OFFSET($R$3,0,0,'Données projet'!$E$9+1,1))-AVERAGE(OFFSET($H$3,0,0,'Données projet'!$E$9+1,1))</f>
        <v>234.60993819620847</v>
      </c>
      <c r="T106" s="62">
        <f t="shared" si="88"/>
        <v>346.26896655159095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61.494256019224316</v>
      </c>
      <c r="AA106" s="23">
        <f>EXP(-LN(2)/25)*AA105+(1-EXP(-LN(2)/25))/(LN(2)/25)*Calculateur!V106*Calculateur!X106*VLOOKUP('Données projet'!$B$9,Paramètres!$A$1:$I$89,3,0)*0.475*44/12</f>
        <v>4.2841170970526461</v>
      </c>
      <c r="AB106" s="23">
        <f>EXP(-LN(2)/2)*AB105+(1-EXP(-LN(2)/2))/(LN(2)/2)*V106*Y106*VLOOKUP('Données projet'!$B$9,Paramètres!$A$1:$I$89,3,0)*0.475*44/12</f>
        <v>2.5531297307032705E-8</v>
      </c>
      <c r="AC106" s="24">
        <f t="shared" si="57"/>
        <v>65.77837314180826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3.2</v>
      </c>
      <c r="AI106" s="14">
        <f>IF('Données projet'!$A$62&gt;35,AI105+AH106-AQ105,IF(A106&lt;'Données projet'!$A$62,$AF$205^A106,IF(A106='Données projet'!$A$62,'Données projet'!$B$62,AI105+AH106-AQ105)))</f>
        <v>211.59999999999994</v>
      </c>
      <c r="AJ106" s="14">
        <f>AI106*VLOOKUP('Données projet'!$B$10,Paramètres!$A$1:$I$89,3,0)*VLOOKUP('Données projet'!$B$10,Paramètres!$A$1:$I$89,5,0)</f>
        <v>231.06719999999993</v>
      </c>
      <c r="AK106" s="14">
        <f t="shared" si="89"/>
        <v>56.513372915070491</v>
      </c>
      <c r="AL106" s="22">
        <f t="shared" si="58"/>
        <v>500.86949782708098</v>
      </c>
      <c r="AM106" s="62">
        <f t="shared" si="59"/>
        <v>794.20283116041423</v>
      </c>
      <c r="AN106" s="62">
        <f ca="1">AVERAGE(OFFSET($AM$3,0,0,'Données projet'!$E$10+1,1))-AVERAGE(OFFSET($H$3,0,0,'Données projet'!$E$10+1,1))</f>
        <v>224.31750842452965</v>
      </c>
      <c r="AO106" s="62">
        <f t="shared" si="90"/>
        <v>94.125825809616856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25.991624860504086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25.991624860504086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2.2737367544323206E-13</v>
      </c>
      <c r="O107" s="14">
        <f>N107*VLOOKUP('Données projet'!$B$9,Paramètres!$A$1:$I$89,3,0)*VLOOKUP('Données projet'!$B$9,Paramètres!$A$1:$I$89,5,0)</f>
        <v>1.3596945791505279E-13</v>
      </c>
      <c r="P107" s="14">
        <f t="shared" si="87"/>
        <v>1.9708830566360721E-12</v>
      </c>
      <c r="Q107" s="22">
        <f t="shared" si="107"/>
        <v>3.669434796176543E-12</v>
      </c>
      <c r="R107" s="62">
        <f t="shared" si="55"/>
        <v>293.33333333333701</v>
      </c>
      <c r="S107" s="62">
        <f ca="1">AVERAGE(OFFSET($R$3,0,0,'Données projet'!$E$9+1,1))-AVERAGE(OFFSET($H$3,0,0,'Données projet'!$E$9+1,1))</f>
        <v>234.60993819620847</v>
      </c>
      <c r="T107" s="62">
        <f t="shared" si="88"/>
        <v>346.26896655159095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60.288391166479911</v>
      </c>
      <c r="AA107" s="23">
        <f>EXP(-LN(2)/25)*AA106+(1-EXP(-LN(2)/25))/(LN(2)/25)*Calculateur!V107*Calculateur!X107*VLOOKUP('Données projet'!$B$9,Paramètres!$A$1:$I$89,3,0)*0.475*44/12</f>
        <v>4.1669676897418144</v>
      </c>
      <c r="AB107" s="23">
        <f>EXP(-LN(2)/2)*AB106+(1-EXP(-LN(2)/2))/(LN(2)/2)*V107*Y107*VLOOKUP('Données projet'!$B$9,Paramètres!$A$1:$I$89,3,0)*0.475*44/12</f>
        <v>1.8053353458292665E-8</v>
      </c>
      <c r="AC107" s="24">
        <f t="shared" si="57"/>
        <v>64.455358874275078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3.2</v>
      </c>
      <c r="AI107" s="14">
        <f>IF('Données projet'!$A$62&gt;35,AI106+AH107-AQ106,IF(A107&lt;'Données projet'!$A$62,$AF$205^A107,IF(A107='Données projet'!$A$62,'Données projet'!$B$62,AI106+AH107-AQ106)))</f>
        <v>214.79999999999993</v>
      </c>
      <c r="AJ107" s="14">
        <f>AI107*VLOOKUP('Données projet'!$B$10,Paramètres!$A$1:$I$89,3,0)*VLOOKUP('Données projet'!$B$10,Paramètres!$A$1:$I$89,5,0)</f>
        <v>234.56159999999988</v>
      </c>
      <c r="AK107" s="14">
        <f t="shared" si="89"/>
        <v>57.267875919179374</v>
      </c>
      <c r="AL107" s="22">
        <f t="shared" si="58"/>
        <v>508.26967055923711</v>
      </c>
      <c r="AM107" s="62">
        <f t="shared" si="59"/>
        <v>801.60300389257043</v>
      </c>
      <c r="AN107" s="62">
        <f ca="1">AVERAGE(OFFSET($AM$3,0,0,'Données projet'!$E$10+1,1))-AVERAGE(OFFSET($H$3,0,0,'Données projet'!$E$10+1,1))</f>
        <v>224.31750842452965</v>
      </c>
      <c r="AO107" s="62">
        <f t="shared" si="90"/>
        <v>94.125825809616856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25.481944950315381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25.481944950315381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2.2737367544323206E-13</v>
      </c>
      <c r="O108" s="14">
        <f>N108*VLOOKUP('Données projet'!$B$9,Paramètres!$A$1:$I$89,3,0)*VLOOKUP('Données projet'!$B$9,Paramètres!$A$1:$I$89,5,0)</f>
        <v>1.3596945791505279E-13</v>
      </c>
      <c r="P108" s="14">
        <f t="shared" si="87"/>
        <v>1.9708830566360721E-12</v>
      </c>
      <c r="Q108" s="22">
        <f t="shared" si="107"/>
        <v>3.669434796176543E-12</v>
      </c>
      <c r="R108" s="62">
        <f t="shared" si="55"/>
        <v>293.33333333333701</v>
      </c>
      <c r="S108" s="62">
        <f ca="1">AVERAGE(OFFSET($R$3,0,0,'Données projet'!$E$9+1,1))-AVERAGE(OFFSET($H$3,0,0,'Données projet'!$E$9+1,1))</f>
        <v>234.60993819620847</v>
      </c>
      <c r="T108" s="62">
        <f t="shared" si="88"/>
        <v>346.26896655159095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59.106172587992887</v>
      </c>
      <c r="AA108" s="23">
        <f>EXP(-LN(2)/25)*AA107+(1-EXP(-LN(2)/25))/(LN(2)/25)*Calculateur!V108*Calculateur!X108*VLOOKUP('Données projet'!$B$9,Paramètres!$A$1:$I$89,3,0)*0.475*44/12</f>
        <v>4.0530217391345174</v>
      </c>
      <c r="AB108" s="23">
        <f>EXP(-LN(2)/2)*AB107+(1-EXP(-LN(2)/2))/(LN(2)/2)*V108*Y108*VLOOKUP('Données projet'!$B$9,Paramètres!$A$1:$I$89,3,0)*0.475*44/12</f>
        <v>1.2765648653516353E-8</v>
      </c>
      <c r="AC108" s="24">
        <f t="shared" si="57"/>
        <v>63.159194339893048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218</v>
      </c>
      <c r="AG108" s="13">
        <f>VLOOKUP(A108,'Données projet'!$A$61:$I$81,9,0)</f>
        <v>3.2</v>
      </c>
      <c r="AH108" s="13">
        <f t="array" ref="AH108">INDEX(AG:AG,MIN(IF(ISNUMBER(AG108:AG304),ROW(AG108:AG304),"")))</f>
        <v>3.2</v>
      </c>
      <c r="AI108" s="14">
        <f>IF('Données projet'!$A$62&gt;35,AI107+AH108-AQ107,IF(A108&lt;'Données projet'!$A$62,$AF$205^A108,IF(A108='Données projet'!$A$62,'Données projet'!$B$62,AI107+AH108-AQ107)))</f>
        <v>217.99999999999991</v>
      </c>
      <c r="AJ108" s="14">
        <f>AI108*VLOOKUP('Données projet'!$B$10,Paramètres!$A$1:$I$89,3,0)*VLOOKUP('Données projet'!$B$10,Paramètres!$A$1:$I$89,5,0)</f>
        <v>238.0559999999999</v>
      </c>
      <c r="AK108" s="14">
        <f t="shared" si="89"/>
        <v>58.021071638689108</v>
      </c>
      <c r="AL108" s="22">
        <f t="shared" si="58"/>
        <v>515.66756643738336</v>
      </c>
      <c r="AM108" s="62">
        <f t="shared" si="59"/>
        <v>809.00089977071661</v>
      </c>
      <c r="AN108" s="62">
        <f ca="1">AVERAGE(OFFSET($AM$3,0,0,'Données projet'!$E$10+1,1))-AVERAGE(OFFSET($H$3,0,0,'Données projet'!$E$10+1,1))</f>
        <v>224.31750842452965</v>
      </c>
      <c r="AO108" s="62">
        <f t="shared" si="90"/>
        <v>94.125825809616856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14</v>
      </c>
      <c r="AR108" s="17">
        <f>IF(ISNA(VLOOKUP(A108,'Données projet'!$A$61:$I$81,5,0)),0%,VLOOKUP(A108,'Données projet'!$A$61:$I$81,5,0)*VLOOKUP('Données projet'!$B$10,Paramètres!$A$1:$I$89,7,0))</f>
        <v>0.30099999999999999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30.069289332143651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30.069289332143651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2.2737367544323206E-13</v>
      </c>
      <c r="O109" s="14">
        <f>N109*VLOOKUP('Données projet'!$B$9,Paramètres!$A$1:$I$89,3,0)*VLOOKUP('Données projet'!$B$9,Paramètres!$A$1:$I$89,5,0)</f>
        <v>1.3596945791505279E-13</v>
      </c>
      <c r="P109" s="14">
        <f t="shared" si="87"/>
        <v>1.9708830566360721E-12</v>
      </c>
      <c r="Q109" s="22">
        <f t="shared" si="107"/>
        <v>3.669434796176543E-12</v>
      </c>
      <c r="R109" s="62">
        <f t="shared" si="55"/>
        <v>293.33333333333701</v>
      </c>
      <c r="S109" s="62">
        <f ca="1">AVERAGE(OFFSET($R$3,0,0,'Données projet'!$E$9+1,1))-AVERAGE(OFFSET($H$3,0,0,'Données projet'!$E$9+1,1))</f>
        <v>234.60993819620847</v>
      </c>
      <c r="T109" s="62">
        <f t="shared" si="88"/>
        <v>346.26896655159095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57.947136594747867</v>
      </c>
      <c r="AA109" s="23">
        <f>EXP(-LN(2)/25)*AA108+(1-EXP(-LN(2)/25))/(LN(2)/25)*Calculateur!V109*Calculateur!X109*VLOOKUP('Données projet'!$B$9,Paramètres!$A$1:$I$89,3,0)*0.475*44/12</f>
        <v>3.9421916465387339</v>
      </c>
      <c r="AB109" s="23">
        <f>EXP(-LN(2)/2)*AB108+(1-EXP(-LN(2)/2))/(LN(2)/2)*V109*Y109*VLOOKUP('Données projet'!$B$9,Paramètres!$A$1:$I$89,3,0)*0.475*44/12</f>
        <v>9.0266767291463325E-9</v>
      </c>
      <c r="AC109" s="24">
        <f t="shared" si="57"/>
        <v>61.889328250313277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3</v>
      </c>
      <c r="AI109" s="14">
        <f>IF('Données projet'!$A$62&gt;35,AI108+AH109-AQ108,IF(A109&lt;'Données projet'!$A$62,$AF$205^A109,IF(A109='Données projet'!$A$62,'Données projet'!$B$62,AI108+AH109-AQ108)))</f>
        <v>206.99999999999991</v>
      </c>
      <c r="AJ109" s="14">
        <f>AI109*VLOOKUP('Données projet'!$B$10,Paramètres!$A$1:$I$89,3,0)*VLOOKUP('Données projet'!$B$10,Paramètres!$A$1:$I$89,5,0)</f>
        <v>226.0439999999999</v>
      </c>
      <c r="AK109" s="14">
        <f t="shared" si="89"/>
        <v>55.426440039423454</v>
      </c>
      <c r="AL109" s="22">
        <f t="shared" si="58"/>
        <v>490.22768306866232</v>
      </c>
      <c r="AM109" s="62">
        <f t="shared" si="59"/>
        <v>783.56101640199563</v>
      </c>
      <c r="AN109" s="62">
        <f ca="1">AVERAGE(OFFSET($AM$3,0,0,'Données projet'!$E$10+1,1))-AVERAGE(OFFSET($H$3,0,0,'Données projet'!$E$10+1,1))</f>
        <v>224.31750842452965</v>
      </c>
      <c r="AO109" s="62">
        <f t="shared" si="90"/>
        <v>94.125825809616856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29.479648908795838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29.479648908795838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2.2737367544323206E-13</v>
      </c>
      <c r="O110" s="14">
        <f>N110*VLOOKUP('Données projet'!$B$9,Paramètres!$A$1:$I$89,3,0)*VLOOKUP('Données projet'!$B$9,Paramètres!$A$1:$I$89,5,0)</f>
        <v>1.3596945791505279E-13</v>
      </c>
      <c r="P110" s="14">
        <f t="shared" si="87"/>
        <v>1.9708830566360721E-12</v>
      </c>
      <c r="Q110" s="22">
        <f t="shared" si="107"/>
        <v>3.669434796176543E-12</v>
      </c>
      <c r="R110" s="62">
        <f t="shared" si="55"/>
        <v>293.33333333333701</v>
      </c>
      <c r="S110" s="62">
        <f ca="1">AVERAGE(OFFSET($R$3,0,0,'Données projet'!$E$9+1,1))-AVERAGE(OFFSET($H$3,0,0,'Données projet'!$E$9+1,1))</f>
        <v>234.60993819620847</v>
      </c>
      <c r="T110" s="62">
        <f t="shared" si="88"/>
        <v>346.26896655159095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56.810828590388226</v>
      </c>
      <c r="AA110" s="23">
        <f>EXP(-LN(2)/25)*AA109+(1-EXP(-LN(2)/25))/(LN(2)/25)*Calculateur!V110*Calculateur!X110*VLOOKUP('Données projet'!$B$9,Paramètres!$A$1:$I$89,3,0)*0.475*44/12</f>
        <v>3.8343922086532833</v>
      </c>
      <c r="AB110" s="23">
        <f>EXP(-LN(2)/2)*AB109+(1-EXP(-LN(2)/2))/(LN(2)/2)*V110*Y110*VLOOKUP('Données projet'!$B$9,Paramètres!$A$1:$I$89,3,0)*0.475*44/12</f>
        <v>6.3828243267581763E-9</v>
      </c>
      <c r="AC110" s="24">
        <f t="shared" si="57"/>
        <v>60.645220805424337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3</v>
      </c>
      <c r="AI110" s="14">
        <f>IF('Données projet'!$A$62&gt;35,AI109+AH110-AQ109,IF(A110&lt;'Données projet'!$A$62,$AF$205^A110,IF(A110='Données projet'!$A$62,'Données projet'!$B$62,AI109+AH110-AQ109)))</f>
        <v>209.99999999999991</v>
      </c>
      <c r="AJ110" s="14">
        <f>AI110*VLOOKUP('Données projet'!$B$10,Paramètres!$A$1:$I$89,3,0)*VLOOKUP('Données projet'!$B$10,Paramètres!$A$1:$I$89,5,0)</f>
        <v>229.31999999999991</v>
      </c>
      <c r="AK110" s="14">
        <f t="shared" si="89"/>
        <v>56.135624305144574</v>
      </c>
      <c r="AL110" s="22">
        <f t="shared" si="58"/>
        <v>497.16854566479333</v>
      </c>
      <c r="AM110" s="62">
        <f t="shared" si="59"/>
        <v>790.50187899812659</v>
      </c>
      <c r="AN110" s="62">
        <f ca="1">AVERAGE(OFFSET($AM$3,0,0,'Données projet'!$E$10+1,1))-AVERAGE(OFFSET($H$3,0,0,'Données projet'!$E$10+1,1))</f>
        <v>224.31750842452965</v>
      </c>
      <c r="AO110" s="62">
        <f t="shared" si="90"/>
        <v>94.125825809616856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28.901570974504729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28.901570974504729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2.2737367544323206E-13</v>
      </c>
      <c r="O111" s="14">
        <f>N111*VLOOKUP('Données projet'!$B$9,Paramètres!$A$1:$I$89,3,0)*VLOOKUP('Données projet'!$B$9,Paramètres!$A$1:$I$89,5,0)</f>
        <v>1.3596945791505279E-13</v>
      </c>
      <c r="P111" s="14">
        <f t="shared" si="87"/>
        <v>1.9708830566360721E-12</v>
      </c>
      <c r="Q111" s="22">
        <f t="shared" si="107"/>
        <v>3.669434796176543E-12</v>
      </c>
      <c r="R111" s="62">
        <f t="shared" si="55"/>
        <v>293.33333333333701</v>
      </c>
      <c r="S111" s="62">
        <f ca="1">AVERAGE(OFFSET($R$3,0,0,'Données projet'!$E$9+1,1))-AVERAGE(OFFSET($H$3,0,0,'Données projet'!$E$9+1,1))</f>
        <v>234.60993819620847</v>
      </c>
      <c r="T111" s="62">
        <f t="shared" si="88"/>
        <v>346.26896655159095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55.696802892914633</v>
      </c>
      <c r="AA111" s="23">
        <f>EXP(-LN(2)/25)*AA110+(1-EXP(-LN(2)/25))/(LN(2)/25)*Calculateur!V111*Calculateur!X111*VLOOKUP('Données projet'!$B$9,Paramètres!$A$1:$I$89,3,0)*0.475*44/12</f>
        <v>3.7295405520657368</v>
      </c>
      <c r="AB111" s="23">
        <f>EXP(-LN(2)/2)*AB110+(1-EXP(-LN(2)/2))/(LN(2)/2)*V111*Y111*VLOOKUP('Données projet'!$B$9,Paramètres!$A$1:$I$89,3,0)*0.475*44/12</f>
        <v>4.5133383645731662E-9</v>
      </c>
      <c r="AC111" s="24">
        <f t="shared" si="57"/>
        <v>59.426343449493707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3</v>
      </c>
      <c r="AI111" s="14">
        <f>IF('Données projet'!$A$62&gt;35,AI110+AH111-AQ110,IF(A111&lt;'Données projet'!$A$62,$AF$205^A111,IF(A111='Données projet'!$A$62,'Données projet'!$B$62,AI110+AH111-AQ110)))</f>
        <v>212.99999999999991</v>
      </c>
      <c r="AJ111" s="14">
        <f>AI111*VLOOKUP('Données projet'!$B$10,Paramètres!$A$1:$I$89,3,0)*VLOOKUP('Données projet'!$B$10,Paramètres!$A$1:$I$89,5,0)</f>
        <v>232.59599999999992</v>
      </c>
      <c r="AK111" s="14">
        <f t="shared" si="89"/>
        <v>56.843630236302218</v>
      </c>
      <c r="AL111" s="22">
        <f t="shared" si="58"/>
        <v>504.10735599489294</v>
      </c>
      <c r="AM111" s="62">
        <f t="shared" si="59"/>
        <v>797.4406893282262</v>
      </c>
      <c r="AN111" s="62">
        <f ca="1">AVERAGE(OFFSET($AM$3,0,0,'Données projet'!$E$10+1,1))-AVERAGE(OFFSET($H$3,0,0,'Données projet'!$E$10+1,1))</f>
        <v>224.31750842452965</v>
      </c>
      <c r="AO111" s="62">
        <f t="shared" si="90"/>
        <v>94.125825809616856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28.334828795912344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28.334828795912344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2.2737367544323206E-13</v>
      </c>
      <c r="O112" s="14">
        <f>N112*VLOOKUP('Données projet'!$B$9,Paramètres!$A$1:$I$89,3,0)*VLOOKUP('Données projet'!$B$9,Paramètres!$A$1:$I$89,5,0)</f>
        <v>1.3596945791505279E-13</v>
      </c>
      <c r="P112" s="14">
        <f t="shared" si="87"/>
        <v>1.9708830566360721E-12</v>
      </c>
      <c r="Q112" s="22">
        <f t="shared" si="107"/>
        <v>3.669434796176543E-12</v>
      </c>
      <c r="R112" s="62">
        <f t="shared" si="55"/>
        <v>293.33333333333701</v>
      </c>
      <c r="S112" s="62">
        <f ca="1">AVERAGE(OFFSET($R$3,0,0,'Données projet'!$E$9+1,1))-AVERAGE(OFFSET($H$3,0,0,'Données projet'!$E$9+1,1))</f>
        <v>234.60993819620847</v>
      </c>
      <c r="T112" s="62">
        <f t="shared" si="88"/>
        <v>346.26896655159095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54.604622559879914</v>
      </c>
      <c r="AA112" s="23">
        <f>EXP(-LN(2)/25)*AA111+(1-EXP(-LN(2)/25))/(LN(2)/25)*Calculateur!V112*Calculateur!X112*VLOOKUP('Données projet'!$B$9,Paramètres!$A$1:$I$89,3,0)*0.475*44/12</f>
        <v>3.6275560695414857</v>
      </c>
      <c r="AB112" s="23">
        <f>EXP(-LN(2)/2)*AB111+(1-EXP(-LN(2)/2))/(LN(2)/2)*V112*Y112*VLOOKUP('Données projet'!$B$9,Paramètres!$A$1:$I$89,3,0)*0.475*44/12</f>
        <v>3.1914121633790882E-9</v>
      </c>
      <c r="AC112" s="24">
        <f t="shared" si="57"/>
        <v>58.232178632612808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3</v>
      </c>
      <c r="AI112" s="14">
        <f>IF('Données projet'!$A$62&gt;35,AI111+AH112-AQ111,IF(A112&lt;'Données projet'!$A$62,$AF$205^A112,IF(A112='Données projet'!$A$62,'Données projet'!$B$62,AI111+AH112-AQ111)))</f>
        <v>215.99999999999991</v>
      </c>
      <c r="AJ112" s="14">
        <f>AI112*VLOOKUP('Données projet'!$B$10,Paramètres!$A$1:$I$89,3,0)*VLOOKUP('Données projet'!$B$10,Paramètres!$A$1:$I$89,5,0)</f>
        <v>235.8719999999999</v>
      </c>
      <c r="AK112" s="14">
        <f t="shared" si="89"/>
        <v>57.550476347015277</v>
      </c>
      <c r="AL112" s="22">
        <f t="shared" si="58"/>
        <v>511.04414630438481</v>
      </c>
      <c r="AM112" s="62">
        <f t="shared" si="59"/>
        <v>804.37747963771812</v>
      </c>
      <c r="AN112" s="62">
        <f ca="1">AVERAGE(OFFSET($AM$3,0,0,'Données projet'!$E$10+1,1))-AVERAGE(OFFSET($H$3,0,0,'Données projet'!$E$10+1,1))</f>
        <v>224.31750842452965</v>
      </c>
      <c r="AO112" s="62">
        <f t="shared" si="90"/>
        <v>94.125825809616856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27.779200085763559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27.779200085763559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2.2737367544323206E-13</v>
      </c>
      <c r="O113" s="14">
        <f>N113*VLOOKUP('Données projet'!$B$9,Paramètres!$A$1:$I$89,3,0)*VLOOKUP('Données projet'!$B$9,Paramètres!$A$1:$I$89,5,0)</f>
        <v>1.3596945791505279E-13</v>
      </c>
      <c r="P113" s="14">
        <f t="shared" si="87"/>
        <v>1.9708830566360721E-12</v>
      </c>
      <c r="Q113" s="22">
        <f t="shared" si="107"/>
        <v>3.669434796176543E-12</v>
      </c>
      <c r="R113" s="62">
        <f t="shared" si="55"/>
        <v>293.33333333333701</v>
      </c>
      <c r="S113" s="62">
        <f ca="1">AVERAGE(OFFSET($R$3,0,0,'Données projet'!$E$9+1,1))-AVERAGE(OFFSET($H$3,0,0,'Données projet'!$E$9+1,1))</f>
        <v>234.60993819620847</v>
      </c>
      <c r="T113" s="62">
        <f t="shared" si="88"/>
        <v>346.26896655159095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53.533859217011781</v>
      </c>
      <c r="AA113" s="23">
        <f>EXP(-LN(2)/25)*AA112+(1-EXP(-LN(2)/25))/(LN(2)/25)*Calculateur!V113*Calculateur!X113*VLOOKUP('Données projet'!$B$9,Paramètres!$A$1:$I$89,3,0)*0.475*44/12</f>
        <v>3.5283603580549912</v>
      </c>
      <c r="AB113" s="23">
        <f>EXP(-LN(2)/2)*AB112+(1-EXP(-LN(2)/2))/(LN(2)/2)*V113*Y113*VLOOKUP('Données projet'!$B$9,Paramètres!$A$1:$I$89,3,0)*0.475*44/12</f>
        <v>2.2566691822865831E-9</v>
      </c>
      <c r="AC113" s="24">
        <f t="shared" si="57"/>
        <v>57.06221957732344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219</v>
      </c>
      <c r="AG113" s="13">
        <f>VLOOKUP(A113,'Données projet'!$A$61:$I$81,9,0)</f>
        <v>3</v>
      </c>
      <c r="AH113" s="13">
        <f t="array" ref="AH113">INDEX(AG:AG,MIN(IF(ISNUMBER(AG113:AG309),ROW(AG113:AG309),"")))</f>
        <v>3</v>
      </c>
      <c r="AI113" s="14">
        <f>IF('Données projet'!$A$62&gt;35,AI112+AH113-AQ112,IF(A113&lt;'Données projet'!$A$62,$AF$205^A113,IF(A113='Données projet'!$A$62,'Données projet'!$B$62,AI112+AH113-AQ112)))</f>
        <v>218.99999999999991</v>
      </c>
      <c r="AJ113" s="14">
        <f>AI113*VLOOKUP('Données projet'!$B$10,Paramètres!$A$1:$I$89,3,0)*VLOOKUP('Données projet'!$B$10,Paramètres!$A$1:$I$89,5,0)</f>
        <v>239.14799999999988</v>
      </c>
      <c r="AK113" s="14">
        <f t="shared" si="89"/>
        <v>58.256180607577782</v>
      </c>
      <c r="AL113" s="22">
        <f t="shared" si="58"/>
        <v>517.97894789153111</v>
      </c>
      <c r="AM113" s="62">
        <f t="shared" si="59"/>
        <v>811.31228122486436</v>
      </c>
      <c r="AN113" s="62">
        <f ca="1">AVERAGE(OFFSET($AM$3,0,0,'Données projet'!$E$10+1,1))-AVERAGE(OFFSET($H$3,0,0,'Données projet'!$E$10+1,1))</f>
        <v>224.31750842452965</v>
      </c>
      <c r="AO113" s="62">
        <f t="shared" si="90"/>
        <v>94.125825809616856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13</v>
      </c>
      <c r="AR113" s="17">
        <f>IF(ISNA(VLOOKUP(A113,'Données projet'!$A$61:$I$81,5,0)),0%,VLOOKUP(A113,'Données projet'!$A$61:$I$81,5,0)*VLOOKUP('Données projet'!$B$10,Paramètres!$A$1:$I$89,7,0))</f>
        <v>0.30099999999999999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31.958137425583519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31.958137425583519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2.2737367544323206E-13</v>
      </c>
      <c r="O114" s="14">
        <f>N114*VLOOKUP('Données projet'!$B$9,Paramètres!$A$1:$I$89,3,0)*VLOOKUP('Données projet'!$B$9,Paramètres!$A$1:$I$89,5,0)</f>
        <v>1.3596945791505279E-13</v>
      </c>
      <c r="P114" s="14">
        <f t="shared" si="87"/>
        <v>1.9708830566360721E-12</v>
      </c>
      <c r="Q114" s="22">
        <f t="shared" si="107"/>
        <v>3.669434796176543E-12</v>
      </c>
      <c r="R114" s="62">
        <f t="shared" si="55"/>
        <v>293.33333333333701</v>
      </c>
      <c r="S114" s="62">
        <f ca="1">AVERAGE(OFFSET($R$3,0,0,'Données projet'!$E$9+1,1))-AVERAGE(OFFSET($H$3,0,0,'Données projet'!$E$9+1,1))</f>
        <v>234.60993819620847</v>
      </c>
      <c r="T114" s="62">
        <f t="shared" si="88"/>
        <v>346.26896655159095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52.484092890196145</v>
      </c>
      <c r="AA114" s="23">
        <f>EXP(-LN(2)/25)*AA113+(1-EXP(-LN(2)/25))/(LN(2)/25)*Calculateur!V114*Calculateur!X114*VLOOKUP('Données projet'!$B$9,Paramètres!$A$1:$I$89,3,0)*0.475*44/12</f>
        <v>3.4318771585155705</v>
      </c>
      <c r="AB114" s="23">
        <f>EXP(-LN(2)/2)*AB113+(1-EXP(-LN(2)/2))/(LN(2)/2)*V114*Y114*VLOOKUP('Données projet'!$B$9,Paramètres!$A$1:$I$89,3,0)*0.475*44/12</f>
        <v>1.5957060816895441E-9</v>
      </c>
      <c r="AC114" s="24">
        <f t="shared" si="57"/>
        <v>55.915970050307422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2.6</v>
      </c>
      <c r="AI114" s="14">
        <f>IF('Données projet'!$A$62&gt;35,AI113+AH114-AQ113,IF(A114&lt;'Données projet'!$A$62,$AF$205^A114,IF(A114='Données projet'!$A$62,'Données projet'!$B$62,AI113+AH114-AQ113)))</f>
        <v>208.59999999999991</v>
      </c>
      <c r="AJ114" s="14">
        <f>AI114*VLOOKUP('Données projet'!$B$10,Paramètres!$A$1:$I$89,3,0)*VLOOKUP('Données projet'!$B$10,Paramètres!$A$1:$I$89,5,0)</f>
        <v>227.79119999999989</v>
      </c>
      <c r="AK114" s="14">
        <f t="shared" si="89"/>
        <v>55.80481943242097</v>
      </c>
      <c r="AL114" s="22">
        <f t="shared" si="58"/>
        <v>493.92973384479973</v>
      </c>
      <c r="AM114" s="62">
        <f t="shared" si="59"/>
        <v>787.26306717813304</v>
      </c>
      <c r="AN114" s="62">
        <f ca="1">AVERAGE(OFFSET($AM$3,0,0,'Données projet'!$E$10+1,1))-AVERAGE(OFFSET($H$3,0,0,'Données projet'!$E$10+1,1))</f>
        <v>224.31750842452965</v>
      </c>
      <c r="AO114" s="62">
        <f t="shared" si="90"/>
        <v>94.125825809616856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31.331457843206927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31.331457843206927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2.2737367544323206E-13</v>
      </c>
      <c r="O115" s="14">
        <f>N115*VLOOKUP('Données projet'!$B$9,Paramètres!$A$1:$I$89,3,0)*VLOOKUP('Données projet'!$B$9,Paramètres!$A$1:$I$89,5,0)</f>
        <v>1.3596945791505279E-13</v>
      </c>
      <c r="P115" s="14">
        <f t="shared" si="87"/>
        <v>1.9708830566360721E-12</v>
      </c>
      <c r="Q115" s="22">
        <f t="shared" si="107"/>
        <v>3.669434796176543E-12</v>
      </c>
      <c r="R115" s="62">
        <f t="shared" si="55"/>
        <v>293.33333333333701</v>
      </c>
      <c r="S115" s="62">
        <f ca="1">AVERAGE(OFFSET($R$3,0,0,'Données projet'!$E$9+1,1))-AVERAGE(OFFSET($H$3,0,0,'Données projet'!$E$9+1,1))</f>
        <v>234.60993819620847</v>
      </c>
      <c r="T115" s="62">
        <f t="shared" si="88"/>
        <v>346.26896655159095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51.454911840755123</v>
      </c>
      <c r="AA115" s="23">
        <f>EXP(-LN(2)/25)*AA114+(1-EXP(-LN(2)/25))/(LN(2)/25)*Calculateur!V115*Calculateur!X115*VLOOKUP('Données projet'!$B$9,Paramètres!$A$1:$I$89,3,0)*0.475*44/12</f>
        <v>3.3380322971413863</v>
      </c>
      <c r="AB115" s="23">
        <f>EXP(-LN(2)/2)*AB114+(1-EXP(-LN(2)/2))/(LN(2)/2)*V115*Y115*VLOOKUP('Données projet'!$B$9,Paramètres!$A$1:$I$89,3,0)*0.475*44/12</f>
        <v>1.1283345911432916E-9</v>
      </c>
      <c r="AC115" s="24">
        <f t="shared" si="57"/>
        <v>54.792944139024847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2.6</v>
      </c>
      <c r="AI115" s="14">
        <f>IF('Données projet'!$A$62&gt;35,AI114+AH115-AQ114,IF(A115&lt;'Données projet'!$A$62,$AF$205^A115,IF(A115='Données projet'!$A$62,'Données projet'!$B$62,AI114+AH115-AQ114)))</f>
        <v>211.1999999999999</v>
      </c>
      <c r="AJ115" s="14">
        <f>AI115*VLOOKUP('Données projet'!$B$10,Paramètres!$A$1:$I$89,3,0)*VLOOKUP('Données projet'!$B$10,Paramètres!$A$1:$I$89,5,0)</f>
        <v>230.63039999999987</v>
      </c>
      <c r="AK115" s="14">
        <f t="shared" si="89"/>
        <v>56.418967028503204</v>
      </c>
      <c r="AL115" s="22">
        <f t="shared" si="58"/>
        <v>499.94431424130948</v>
      </c>
      <c r="AM115" s="62">
        <f t="shared" si="59"/>
        <v>793.27764757464274</v>
      </c>
      <c r="AN115" s="62">
        <f ca="1">AVERAGE(OFFSET($AM$3,0,0,'Données projet'!$E$10+1,1))-AVERAGE(OFFSET($H$3,0,0,'Données projet'!$E$10+1,1))</f>
        <v>224.31750842452965</v>
      </c>
      <c r="AO115" s="62">
        <f t="shared" si="90"/>
        <v>94.125825809616856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30.717067065203938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30.717067065203938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2.2737367544323206E-13</v>
      </c>
      <c r="O116" s="14">
        <f>N116*VLOOKUP('Données projet'!$B$9,Paramètres!$A$1:$I$89,3,0)*VLOOKUP('Données projet'!$B$9,Paramètres!$A$1:$I$89,5,0)</f>
        <v>1.3596945791505279E-13</v>
      </c>
      <c r="P116" s="14">
        <f t="shared" si="87"/>
        <v>1.9708830566360721E-12</v>
      </c>
      <c r="Q116" s="22">
        <f t="shared" si="107"/>
        <v>3.669434796176543E-12</v>
      </c>
      <c r="R116" s="62">
        <f t="shared" si="55"/>
        <v>293.33333333333701</v>
      </c>
      <c r="S116" s="62">
        <f ca="1">AVERAGE(OFFSET($R$3,0,0,'Données projet'!$E$9+1,1))-AVERAGE(OFFSET($H$3,0,0,'Données projet'!$E$9+1,1))</f>
        <v>234.60993819620847</v>
      </c>
      <c r="T116" s="62">
        <f t="shared" si="88"/>
        <v>346.26896655159095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50.445912403955184</v>
      </c>
      <c r="AA116" s="23">
        <f>EXP(-LN(2)/25)*AA115+(1-EXP(-LN(2)/25))/(LN(2)/25)*Calculateur!V116*Calculateur!X116*VLOOKUP('Données projet'!$B$9,Paramètres!$A$1:$I$89,3,0)*0.475*44/12</f>
        <v>3.2467536284365659</v>
      </c>
      <c r="AB116" s="23">
        <f>EXP(-LN(2)/2)*AB115+(1-EXP(-LN(2)/2))/(LN(2)/2)*V116*Y116*VLOOKUP('Données projet'!$B$9,Paramètres!$A$1:$I$89,3,0)*0.475*44/12</f>
        <v>7.9785304084477204E-10</v>
      </c>
      <c r="AC116" s="24">
        <f t="shared" si="57"/>
        <v>53.692666033189603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2.6</v>
      </c>
      <c r="AI116" s="14">
        <f>IF('Données projet'!$A$62&gt;35,AI115+AH116-AQ115,IF(A116&lt;'Données projet'!$A$62,$AF$205^A116,IF(A116='Données projet'!$A$62,'Données projet'!$B$62,AI115+AH116-AQ115)))</f>
        <v>213.7999999999999</v>
      </c>
      <c r="AJ116" s="14">
        <f>AI116*VLOOKUP('Données projet'!$B$10,Paramètres!$A$1:$I$89,3,0)*VLOOKUP('Données projet'!$B$10,Paramètres!$A$1:$I$89,5,0)</f>
        <v>233.46959999999987</v>
      </c>
      <c r="AK116" s="14">
        <f t="shared" si="89"/>
        <v>57.032235185737534</v>
      </c>
      <c r="AL116" s="22">
        <f t="shared" si="58"/>
        <v>505.95736294849252</v>
      </c>
      <c r="AM116" s="62">
        <f t="shared" si="59"/>
        <v>799.29069628182583</v>
      </c>
      <c r="AN116" s="62">
        <f ca="1">AVERAGE(OFFSET($AM$3,0,0,'Données projet'!$E$10+1,1))-AVERAGE(OFFSET($H$3,0,0,'Données projet'!$E$10+1,1))</f>
        <v>224.31750842452965</v>
      </c>
      <c r="AO116" s="62">
        <f t="shared" si="90"/>
        <v>94.125825809616856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30.114724115616216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30.114724115616216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2.2737367544323206E-13</v>
      </c>
      <c r="O117" s="14">
        <f>N117*VLOOKUP('Données projet'!$B$9,Paramètres!$A$1:$I$89,3,0)*VLOOKUP('Données projet'!$B$9,Paramètres!$A$1:$I$89,5,0)</f>
        <v>1.3596945791505279E-13</v>
      </c>
      <c r="P117" s="14">
        <f t="shared" si="87"/>
        <v>1.9708830566360721E-12</v>
      </c>
      <c r="Q117" s="22">
        <f t="shared" si="107"/>
        <v>3.669434796176543E-12</v>
      </c>
      <c r="R117" s="62">
        <f t="shared" si="55"/>
        <v>293.33333333333701</v>
      </c>
      <c r="S117" s="62">
        <f ca="1">AVERAGE(OFFSET($R$3,0,0,'Données projet'!$E$9+1,1))-AVERAGE(OFFSET($H$3,0,0,'Données projet'!$E$9+1,1))</f>
        <v>234.60993819620847</v>
      </c>
      <c r="T117" s="62">
        <f t="shared" si="88"/>
        <v>346.26896655159095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49.456698830682008</v>
      </c>
      <c r="AA117" s="23">
        <f>EXP(-LN(2)/25)*AA116+(1-EXP(-LN(2)/25))/(LN(2)/25)*Calculateur!V117*Calculateur!X117*VLOOKUP('Données projet'!$B$9,Paramètres!$A$1:$I$89,3,0)*0.475*44/12</f>
        <v>3.1579709797276152</v>
      </c>
      <c r="AB117" s="23">
        <f>EXP(-LN(2)/2)*AB116+(1-EXP(-LN(2)/2))/(LN(2)/2)*V117*Y117*VLOOKUP('Données projet'!$B$9,Paramètres!$A$1:$I$89,3,0)*0.475*44/12</f>
        <v>5.6416729557164578E-10</v>
      </c>
      <c r="AC117" s="24">
        <f t="shared" si="57"/>
        <v>52.614669810973787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2.6</v>
      </c>
      <c r="AI117" s="14">
        <f>IF('Données projet'!$A$62&gt;35,AI116+AH117-AQ116,IF(A117&lt;'Données projet'!$A$62,$AF$205^A117,IF(A117='Données projet'!$A$62,'Données projet'!$B$62,AI116+AH117-AQ116)))</f>
        <v>216.39999999999989</v>
      </c>
      <c r="AJ117" s="14">
        <f>AI117*VLOOKUP('Données projet'!$B$10,Paramètres!$A$1:$I$89,3,0)*VLOOKUP('Données projet'!$B$10,Paramètres!$A$1:$I$89,5,0)</f>
        <v>236.30879999999985</v>
      </c>
      <c r="AK117" s="14">
        <f t="shared" si="89"/>
        <v>57.644635835905838</v>
      </c>
      <c r="AL117" s="22">
        <f t="shared" si="58"/>
        <v>511.96890074753566</v>
      </c>
      <c r="AM117" s="62">
        <f t="shared" si="59"/>
        <v>805.30223408086897</v>
      </c>
      <c r="AN117" s="62">
        <f ca="1">AVERAGE(OFFSET($AM$3,0,0,'Données projet'!$E$10+1,1))-AVERAGE(OFFSET($H$3,0,0,'Données projet'!$E$10+1,1))</f>
        <v>224.31750842452965</v>
      </c>
      <c r="AO117" s="62">
        <f t="shared" si="90"/>
        <v>94.125825809616856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29.524192743876988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29.524192743876988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2.2737367544323206E-13</v>
      </c>
      <c r="O118" s="14">
        <f>N118*VLOOKUP('Données projet'!$B$9,Paramètres!$A$1:$I$89,3,0)*VLOOKUP('Données projet'!$B$9,Paramètres!$A$1:$I$89,5,0)</f>
        <v>1.3596945791505279E-13</v>
      </c>
      <c r="P118" s="14">
        <f t="shared" si="87"/>
        <v>1.9708830566360721E-12</v>
      </c>
      <c r="Q118" s="22">
        <f t="shared" si="107"/>
        <v>3.669434796176543E-12</v>
      </c>
      <c r="R118" s="62">
        <f t="shared" si="55"/>
        <v>293.33333333333701</v>
      </c>
      <c r="S118" s="62">
        <f ca="1">AVERAGE(OFFSET($R$3,0,0,'Données projet'!$E$9+1,1))-AVERAGE(OFFSET($H$3,0,0,'Données projet'!$E$9+1,1))</f>
        <v>234.60993819620847</v>
      </c>
      <c r="T118" s="62">
        <f t="shared" si="88"/>
        <v>346.26896655159095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48.486883132220015</v>
      </c>
      <c r="AA118" s="23">
        <f>EXP(-LN(2)/25)*AA117+(1-EXP(-LN(2)/25))/(LN(2)/25)*Calculateur!V118*Calculateur!X118*VLOOKUP('Données projet'!$B$9,Paramètres!$A$1:$I$89,3,0)*0.475*44/12</f>
        <v>3.0716160972164874</v>
      </c>
      <c r="AB118" s="23">
        <f>EXP(-LN(2)/2)*AB117+(1-EXP(-LN(2)/2))/(LN(2)/2)*V118*Y118*VLOOKUP('Données projet'!$B$9,Paramètres!$A$1:$I$89,3,0)*0.475*44/12</f>
        <v>3.9892652042238602E-10</v>
      </c>
      <c r="AC118" s="24">
        <f t="shared" si="57"/>
        <v>51.558499229835427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219</v>
      </c>
      <c r="AG118" s="13">
        <f>VLOOKUP(A118,'Données projet'!$A$61:$I$81,9,0)</f>
        <v>2.6</v>
      </c>
      <c r="AH118" s="13">
        <f t="array" ref="AH118">INDEX(AG:AG,MIN(IF(ISNUMBER(AG118:AG314),ROW(AG118:AG314),"")))</f>
        <v>2.6</v>
      </c>
      <c r="AI118" s="14">
        <f>IF('Données projet'!$A$62&gt;35,AI117+AH118-AQ117,IF(A118&lt;'Données projet'!$A$62,$AF$205^A118,IF(A118='Données projet'!$A$62,'Données projet'!$B$62,AI117+AH118-AQ117)))</f>
        <v>218.99999999999989</v>
      </c>
      <c r="AJ118" s="14">
        <f>AI118*VLOOKUP('Données projet'!$B$10,Paramètres!$A$1:$I$89,3,0)*VLOOKUP('Données projet'!$B$10,Paramètres!$A$1:$I$89,5,0)</f>
        <v>239.14799999999985</v>
      </c>
      <c r="AK118" s="14">
        <f t="shared" si="89"/>
        <v>58.256180607577782</v>
      </c>
      <c r="AL118" s="22">
        <f t="shared" si="58"/>
        <v>517.97894789153111</v>
      </c>
      <c r="AM118" s="62">
        <f t="shared" si="59"/>
        <v>811.31228122486436</v>
      </c>
      <c r="AN118" s="62">
        <f ca="1">AVERAGE(OFFSET($AM$3,0,0,'Données projet'!$E$10+1,1))-AVERAGE(OFFSET($H$3,0,0,'Données projet'!$E$10+1,1))</f>
        <v>224.31750842452965</v>
      </c>
      <c r="AO118" s="62">
        <f t="shared" si="90"/>
        <v>94.125825809616856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13</v>
      </c>
      <c r="AR118" s="17">
        <f>IF(ISNA(VLOOKUP(A118,'Données projet'!$A$61:$I$81,5,0)),0%,VLOOKUP(A118,'Données projet'!$A$61:$I$81,5,0)*VLOOKUP('Données projet'!$B$10,Paramètres!$A$1:$I$89,7,0))</f>
        <v>0.30099999999999999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33.668911842011767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33.668911842011767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2.2737367544323206E-13</v>
      </c>
      <c r="O119" s="14">
        <f>N119*VLOOKUP('Données projet'!$B$9,Paramètres!$A$1:$I$89,3,0)*VLOOKUP('Données projet'!$B$9,Paramètres!$A$1:$I$89,5,0)</f>
        <v>1.3596945791505279E-13</v>
      </c>
      <c r="P119" s="14">
        <f t="shared" si="87"/>
        <v>1.9708830566360721E-12</v>
      </c>
      <c r="Q119" s="22">
        <f t="shared" si="107"/>
        <v>3.669434796176543E-12</v>
      </c>
      <c r="R119" s="62">
        <f t="shared" si="55"/>
        <v>293.33333333333701</v>
      </c>
      <c r="S119" s="62">
        <f ca="1">AVERAGE(OFFSET($R$3,0,0,'Données projet'!$E$9+1,1))-AVERAGE(OFFSET($H$3,0,0,'Données projet'!$E$9+1,1))</f>
        <v>234.60993819620847</v>
      </c>
      <c r="T119" s="62">
        <f t="shared" si="88"/>
        <v>346.26896655159095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47.536084928075695</v>
      </c>
      <c r="AA119" s="23">
        <f>EXP(-LN(2)/25)*AA118+(1-EXP(-LN(2)/25))/(LN(2)/25)*Calculateur!V119*Calculateur!X119*VLOOKUP('Données projet'!$B$9,Paramètres!$A$1:$I$89,3,0)*0.475*44/12</f>
        <v>2.9876225935088323</v>
      </c>
      <c r="AB119" s="23">
        <f>EXP(-LN(2)/2)*AB118+(1-EXP(-LN(2)/2))/(LN(2)/2)*V119*Y119*VLOOKUP('Données projet'!$B$9,Paramètres!$A$1:$I$89,3,0)*0.475*44/12</f>
        <v>2.8208364778582289E-10</v>
      </c>
      <c r="AC119" s="24">
        <f t="shared" si="57"/>
        <v>50.523707521866612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</v>
      </c>
      <c r="AI119" s="14">
        <f>IF('Données projet'!$A$62&gt;35,AI118+AH119-AQ118,IF(A119&lt;'Données projet'!$A$62,$AF$205^A119,IF(A119='Données projet'!$A$62,'Données projet'!$B$62,AI118+AH119-AQ118)))</f>
        <v>208.99999999999989</v>
      </c>
      <c r="AJ119" s="14">
        <f>AI119*VLOOKUP('Données projet'!$B$10,Paramètres!$A$1:$I$89,3,0)*VLOOKUP('Données projet'!$B$10,Paramètres!$A$1:$I$89,5,0)</f>
        <v>228.22799999999984</v>
      </c>
      <c r="AK119" s="14">
        <f t="shared" si="89"/>
        <v>55.899361406374432</v>
      </c>
      <c r="AL119" s="22">
        <f t="shared" si="58"/>
        <v>494.85515444943525</v>
      </c>
      <c r="AM119" s="62">
        <f t="shared" si="59"/>
        <v>788.18848778276856</v>
      </c>
      <c r="AN119" s="62">
        <f ca="1">AVERAGE(OFFSET($AM$3,0,0,'Données projet'!$E$10+1,1))-AVERAGE(OFFSET($H$3,0,0,'Données projet'!$E$10+1,1))</f>
        <v>224.31750842452965</v>
      </c>
      <c r="AO119" s="62">
        <f t="shared" si="90"/>
        <v>94.125825809616856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33.008685016798374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33.008685016798374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2.2737367544323206E-13</v>
      </c>
      <c r="O120" s="14">
        <f>N120*VLOOKUP('Données projet'!$B$9,Paramètres!$A$1:$I$89,3,0)*VLOOKUP('Données projet'!$B$9,Paramètres!$A$1:$I$89,5,0)</f>
        <v>1.3596945791505279E-13</v>
      </c>
      <c r="P120" s="14">
        <f t="shared" si="87"/>
        <v>1.9708830566360721E-12</v>
      </c>
      <c r="Q120" s="22">
        <f t="shared" si="107"/>
        <v>3.669434796176543E-12</v>
      </c>
      <c r="R120" s="62">
        <f t="shared" si="55"/>
        <v>293.33333333333701</v>
      </c>
      <c r="S120" s="62">
        <f ca="1">AVERAGE(OFFSET($R$3,0,0,'Données projet'!$E$9+1,1))-AVERAGE(OFFSET($H$3,0,0,'Données projet'!$E$9+1,1))</f>
        <v>234.60993819620847</v>
      </c>
      <c r="T120" s="62">
        <f t="shared" si="88"/>
        <v>346.26896655159095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46.603931296784999</v>
      </c>
      <c r="AA120" s="23">
        <f>EXP(-LN(2)/25)*AA119+(1-EXP(-LN(2)/25))/(LN(2)/25)*Calculateur!V120*Calculateur!X120*VLOOKUP('Données projet'!$B$9,Paramètres!$A$1:$I$89,3,0)*0.475*44/12</f>
        <v>2.9059258965770893</v>
      </c>
      <c r="AB120" s="23">
        <f>EXP(-LN(2)/2)*AB119+(1-EXP(-LN(2)/2))/(LN(2)/2)*V120*Y120*VLOOKUP('Données projet'!$B$9,Paramètres!$A$1:$I$89,3,0)*0.475*44/12</f>
        <v>1.9946326021119301E-10</v>
      </c>
      <c r="AC120" s="24">
        <f t="shared" si="57"/>
        <v>49.509857193561551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</v>
      </c>
      <c r="AI120" s="14">
        <f>IF('Données projet'!$A$62&gt;35,AI119+AH120-AQ119,IF(A120&lt;'Données projet'!$A$62,$AF$205^A120,IF(A120='Données projet'!$A$62,'Données projet'!$B$62,AI119+AH120-AQ119)))</f>
        <v>211.99999999999989</v>
      </c>
      <c r="AJ120" s="14">
        <f>AI120*VLOOKUP('Données projet'!$B$10,Paramètres!$A$1:$I$89,3,0)*VLOOKUP('Données projet'!$B$10,Paramètres!$A$1:$I$89,5,0)</f>
        <v>231.50399999999988</v>
      </c>
      <c r="AK120" s="14">
        <f t="shared" si="89"/>
        <v>56.607758031045634</v>
      </c>
      <c r="AL120" s="22">
        <f t="shared" si="58"/>
        <v>501.79464523740421</v>
      </c>
      <c r="AM120" s="62">
        <f t="shared" si="59"/>
        <v>795.12797857073747</v>
      </c>
      <c r="AN120" s="62">
        <f ca="1">AVERAGE(OFFSET($AM$3,0,0,'Données projet'!$E$10+1,1))-AVERAGE(OFFSET($H$3,0,0,'Données projet'!$E$10+1,1))</f>
        <v>224.31750842452965</v>
      </c>
      <c r="AO120" s="62">
        <f t="shared" si="90"/>
        <v>94.125825809616856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32.36140483692882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32.36140483692882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2.2737367544323206E-13</v>
      </c>
      <c r="O121" s="14">
        <f>N121*VLOOKUP('Données projet'!$B$9,Paramètres!$A$1:$I$89,3,0)*VLOOKUP('Données projet'!$B$9,Paramètres!$A$1:$I$89,5,0)</f>
        <v>1.3596945791505279E-13</v>
      </c>
      <c r="P121" s="14">
        <f t="shared" si="87"/>
        <v>1.9708830566360721E-12</v>
      </c>
      <c r="Q121" s="22">
        <f t="shared" si="107"/>
        <v>3.669434796176543E-12</v>
      </c>
      <c r="R121" s="62">
        <f t="shared" si="55"/>
        <v>293.33333333333701</v>
      </c>
      <c r="S121" s="62">
        <f ca="1">AVERAGE(OFFSET($R$3,0,0,'Données projet'!$E$9+1,1))-AVERAGE(OFFSET($H$3,0,0,'Données projet'!$E$9+1,1))</f>
        <v>234.60993819620847</v>
      </c>
      <c r="T121" s="62">
        <f t="shared" si="88"/>
        <v>346.26896655159095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45.690056629646342</v>
      </c>
      <c r="AA121" s="23">
        <f>EXP(-LN(2)/25)*AA120+(1-EXP(-LN(2)/25))/(LN(2)/25)*Calculateur!V121*Calculateur!X121*VLOOKUP('Données projet'!$B$9,Paramètres!$A$1:$I$89,3,0)*0.475*44/12</f>
        <v>2.8264632001191874</v>
      </c>
      <c r="AB121" s="23">
        <f>EXP(-LN(2)/2)*AB120+(1-EXP(-LN(2)/2))/(LN(2)/2)*V121*Y121*VLOOKUP('Données projet'!$B$9,Paramètres!$A$1:$I$89,3,0)*0.475*44/12</f>
        <v>1.4104182389291144E-10</v>
      </c>
      <c r="AC121" s="24">
        <f t="shared" si="57"/>
        <v>48.516519829906571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</v>
      </c>
      <c r="AI121" s="14">
        <f>IF('Données projet'!$A$62&gt;35,AI120+AH121-AQ120,IF(A121&lt;'Données projet'!$A$62,$AF$205^A121,IF(A121='Données projet'!$A$62,'Données projet'!$B$62,AI120+AH121-AQ120)))</f>
        <v>214.99999999999989</v>
      </c>
      <c r="AJ121" s="14">
        <f>AI121*VLOOKUP('Données projet'!$B$10,Paramètres!$A$1:$I$89,3,0)*VLOOKUP('Données projet'!$B$10,Paramètres!$A$1:$I$89,5,0)</f>
        <v>234.77999999999989</v>
      </c>
      <c r="AK121" s="14">
        <f t="shared" si="89"/>
        <v>57.314988725508904</v>
      </c>
      <c r="AL121" s="22">
        <f t="shared" si="58"/>
        <v>508.73210536359448</v>
      </c>
      <c r="AM121" s="62">
        <f t="shared" si="59"/>
        <v>802.0654386969278</v>
      </c>
      <c r="AN121" s="62">
        <f ca="1">AVERAGE(OFFSET($AM$3,0,0,'Données projet'!$E$10+1,1))-AVERAGE(OFFSET($H$3,0,0,'Données projet'!$E$10+1,1))</f>
        <v>224.31750842452965</v>
      </c>
      <c r="AO121" s="62">
        <f t="shared" si="90"/>
        <v>94.125825809616856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31.726817426584581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31.726817426584581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2.2737367544323206E-13</v>
      </c>
      <c r="O122" s="14">
        <f>N122*VLOOKUP('Données projet'!$B$9,Paramètres!$A$1:$I$89,3,0)*VLOOKUP('Données projet'!$B$9,Paramètres!$A$1:$I$89,5,0)</f>
        <v>1.3596945791505279E-13</v>
      </c>
      <c r="P122" s="14">
        <f t="shared" si="87"/>
        <v>1.9708830566360721E-12</v>
      </c>
      <c r="Q122" s="22">
        <f t="shared" si="107"/>
        <v>3.669434796176543E-12</v>
      </c>
      <c r="R122" s="62">
        <f t="shared" si="55"/>
        <v>293.33333333333701</v>
      </c>
      <c r="S122" s="62">
        <f ca="1">AVERAGE(OFFSET($R$3,0,0,'Données projet'!$E$9+1,1))-AVERAGE(OFFSET($H$3,0,0,'Données projet'!$E$9+1,1))</f>
        <v>234.60993819620847</v>
      </c>
      <c r="T122" s="62">
        <f t="shared" si="88"/>
        <v>346.26896655159095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44.794102487321766</v>
      </c>
      <c r="AA122" s="23">
        <f>EXP(-LN(2)/25)*AA121+(1-EXP(-LN(2)/25))/(LN(2)/25)*Calculateur!V122*Calculateur!X122*VLOOKUP('Données projet'!$B$9,Paramètres!$A$1:$I$89,3,0)*0.475*44/12</f>
        <v>2.7491734152746883</v>
      </c>
      <c r="AB122" s="23">
        <f>EXP(-LN(2)/2)*AB121+(1-EXP(-LN(2)/2))/(LN(2)/2)*V122*Y122*VLOOKUP('Données projet'!$B$9,Paramètres!$A$1:$I$89,3,0)*0.475*44/12</f>
        <v>9.9731630105596505E-11</v>
      </c>
      <c r="AC122" s="24">
        <f t="shared" si="57"/>
        <v>47.543275902696188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</v>
      </c>
      <c r="AI122" s="14">
        <f>IF('Données projet'!$A$62&gt;35,AI121+AH122-AQ121,IF(A122&lt;'Données projet'!$A$62,$AF$205^A122,IF(A122='Données projet'!$A$62,'Données projet'!$B$62,AI121+AH122-AQ121)))</f>
        <v>217.99999999999989</v>
      </c>
      <c r="AJ122" s="14">
        <f>AI122*VLOOKUP('Données projet'!$B$10,Paramètres!$A$1:$I$89,3,0)*VLOOKUP('Données projet'!$B$10,Paramètres!$A$1:$I$89,5,0)</f>
        <v>238.05599999999987</v>
      </c>
      <c r="AK122" s="14">
        <f t="shared" si="89"/>
        <v>58.021071638689108</v>
      </c>
      <c r="AL122" s="22">
        <f t="shared" si="58"/>
        <v>515.66756643738324</v>
      </c>
      <c r="AM122" s="62">
        <f t="shared" si="59"/>
        <v>809.00089977071661</v>
      </c>
      <c r="AN122" s="62">
        <f ca="1">AVERAGE(OFFSET($AM$3,0,0,'Données projet'!$E$10+1,1))-AVERAGE(OFFSET($H$3,0,0,'Données projet'!$E$10+1,1))</f>
        <v>224.31750842452965</v>
      </c>
      <c r="AO122" s="62">
        <f t="shared" si="90"/>
        <v>94.125825809616856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31.104673888297093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31.104673888297093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2.2737367544323206E-13</v>
      </c>
      <c r="O123" s="14">
        <f>N123*VLOOKUP('Données projet'!$B$9,Paramètres!$A$1:$I$89,3,0)*VLOOKUP('Données projet'!$B$9,Paramètres!$A$1:$I$89,5,0)</f>
        <v>1.3596945791505279E-13</v>
      </c>
      <c r="P123" s="14">
        <f t="shared" si="87"/>
        <v>1.9708830566360721E-12</v>
      </c>
      <c r="Q123" s="22">
        <f t="shared" si="107"/>
        <v>3.669434796176543E-12</v>
      </c>
      <c r="R123" s="62">
        <f t="shared" si="55"/>
        <v>293.33333333333701</v>
      </c>
      <c r="S123" s="62">
        <f ca="1">AVERAGE(OFFSET($R$3,0,0,'Données projet'!$E$9+1,1))-AVERAGE(OFFSET($H$3,0,0,'Données projet'!$E$9+1,1))</f>
        <v>234.60993819620847</v>
      </c>
      <c r="T123" s="62">
        <f t="shared" si="88"/>
        <v>346.26896655159095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43.915717459250111</v>
      </c>
      <c r="AA123" s="23">
        <f>EXP(-LN(2)/25)*AA122+(1-EXP(-LN(2)/25))/(LN(2)/25)*Calculateur!V123*Calculateur!X123*VLOOKUP('Données projet'!$B$9,Paramètres!$A$1:$I$89,3,0)*0.475*44/12</f>
        <v>2.6739971236612554</v>
      </c>
      <c r="AB123" s="23">
        <f>EXP(-LN(2)/2)*AB122+(1-EXP(-LN(2)/2))/(LN(2)/2)*V123*Y123*VLOOKUP('Données projet'!$B$9,Paramètres!$A$1:$I$89,3,0)*0.475*44/12</f>
        <v>7.0520911946455722E-11</v>
      </c>
      <c r="AC123" s="24">
        <f t="shared" si="57"/>
        <v>46.589714582981891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221</v>
      </c>
      <c r="AG123" s="13">
        <f>VLOOKUP(A123,'Données projet'!$A$61:$I$81,9,0)</f>
        <v>3</v>
      </c>
      <c r="AH123" s="13">
        <f t="array" ref="AH123">INDEX(AG:AG,MIN(IF(ISNUMBER(AG123:AG319),ROW(AG123:AG319),"")))</f>
        <v>3</v>
      </c>
      <c r="AI123" s="14">
        <f>IF('Données projet'!$A$62&gt;35,AI122+AH123-AQ122,IF(A123&lt;'Données projet'!$A$62,$AF$205^A123,IF(A123='Données projet'!$A$62,'Données projet'!$B$62,AI122+AH123-AQ122)))</f>
        <v>220.99999999999989</v>
      </c>
      <c r="AJ123" s="14">
        <f>AI123*VLOOKUP('Données projet'!$B$10,Paramètres!$A$1:$I$89,3,0)*VLOOKUP('Données projet'!$B$10,Paramètres!$A$1:$I$89,5,0)</f>
        <v>241.33199999999985</v>
      </c>
      <c r="AK123" s="14">
        <f t="shared" si="89"/>
        <v>58.726024391301053</v>
      </c>
      <c r="AL123" s="22">
        <f t="shared" si="58"/>
        <v>522.60105914818246</v>
      </c>
      <c r="AM123" s="62">
        <f t="shared" si="59"/>
        <v>815.93439248151572</v>
      </c>
      <c r="AN123" s="62">
        <f ca="1">AVERAGE(OFFSET($AM$3,0,0,'Données projet'!$E$10+1,1))-AVERAGE(OFFSET($H$3,0,0,'Données projet'!$E$10+1,1))</f>
        <v>224.31750842452965</v>
      </c>
      <c r="AO123" s="62">
        <f t="shared" si="90"/>
        <v>94.125825809616856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221</v>
      </c>
      <c r="AR123" s="17">
        <f>IF(ISNA(VLOOKUP(A123,'Données projet'!$A$61:$I$81,5,0)),0%,VLOOKUP(A123,'Données projet'!$A$61:$I$81,5,0)*VLOOKUP('Données projet'!$B$10,Paramètres!$A$1:$I$89,7,0))</f>
        <v>0.34400000000000003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122.26890011123072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122.26890011123072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2.2737367544323206E-13</v>
      </c>
      <c r="O124" s="14">
        <f>N124*VLOOKUP('Données projet'!$B$9,Paramètres!$A$1:$I$89,3,0)*VLOOKUP('Données projet'!$B$9,Paramètres!$A$1:$I$89,5,0)</f>
        <v>1.3596945791505279E-13</v>
      </c>
      <c r="P124" s="14">
        <f t="shared" si="87"/>
        <v>1.9708830566360721E-12</v>
      </c>
      <c r="Q124" s="22">
        <f t="shared" si="107"/>
        <v>3.669434796176543E-12</v>
      </c>
      <c r="R124" s="62">
        <f t="shared" si="55"/>
        <v>293.33333333333701</v>
      </c>
      <c r="S124" s="62">
        <f ca="1">AVERAGE(OFFSET($R$3,0,0,'Données projet'!$E$9+1,1))-AVERAGE(OFFSET($H$3,0,0,'Données projet'!$E$9+1,1))</f>
        <v>234.60993819620847</v>
      </c>
      <c r="T124" s="62">
        <f t="shared" si="88"/>
        <v>346.26896655159095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43.054557025816976</v>
      </c>
      <c r="AA124" s="23">
        <f>EXP(-LN(2)/25)*AA123+(1-EXP(-LN(2)/25))/(LN(2)/25)*Calculateur!V124*Calculateur!X124*VLOOKUP('Données projet'!$B$9,Paramètres!$A$1:$I$89,3,0)*0.475*44/12</f>
        <v>2.6008765316953411</v>
      </c>
      <c r="AB124" s="23">
        <f>EXP(-LN(2)/2)*AB123+(1-EXP(-LN(2)/2))/(LN(2)/2)*V124*Y124*VLOOKUP('Données projet'!$B$9,Paramètres!$A$1:$I$89,3,0)*0.475*44/12</f>
        <v>4.9865815052798253E-11</v>
      </c>
      <c r="AC124" s="24">
        <f t="shared" si="57"/>
        <v>45.655433557562183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-1.2414602679200469E-13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224.31750842452965</v>
      </c>
      <c r="AO124" s="62">
        <f t="shared" si="90"/>
        <v>94.125825809616856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119.87128155671472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119.87128155671472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2.2737367544323206E-13</v>
      </c>
      <c r="O125" s="14">
        <f>N125*VLOOKUP('Données projet'!$B$9,Paramètres!$A$1:$I$89,3,0)*VLOOKUP('Données projet'!$B$9,Paramètres!$A$1:$I$89,5,0)</f>
        <v>1.3596945791505279E-13</v>
      </c>
      <c r="P125" s="14">
        <f t="shared" si="87"/>
        <v>1.9708830566360721E-12</v>
      </c>
      <c r="Q125" s="22">
        <f t="shared" si="107"/>
        <v>3.669434796176543E-12</v>
      </c>
      <c r="R125" s="62">
        <f t="shared" si="55"/>
        <v>293.33333333333701</v>
      </c>
      <c r="S125" s="62">
        <f ca="1">AVERAGE(OFFSET($R$3,0,0,'Données projet'!$E$9+1,1))-AVERAGE(OFFSET($H$3,0,0,'Données projet'!$E$9+1,1))</f>
        <v>234.60993819620847</v>
      </c>
      <c r="T125" s="62">
        <f t="shared" si="88"/>
        <v>346.26896655159095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42.210283423227466</v>
      </c>
      <c r="AA125" s="23">
        <f>EXP(-LN(2)/25)*AA124+(1-EXP(-LN(2)/25))/(LN(2)/25)*Calculateur!V125*Calculateur!X125*VLOOKUP('Données projet'!$B$9,Paramètres!$A$1:$I$89,3,0)*0.475*44/12</f>
        <v>2.5297554261619797</v>
      </c>
      <c r="AB125" s="23">
        <f>EXP(-LN(2)/2)*AB124+(1-EXP(-LN(2)/2))/(LN(2)/2)*V125*Y125*VLOOKUP('Données projet'!$B$9,Paramètres!$A$1:$I$89,3,0)*0.475*44/12</f>
        <v>3.5260455973227861E-11</v>
      </c>
      <c r="AC125" s="24">
        <f t="shared" si="57"/>
        <v>44.7400388494247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-1.2414602679200469E-13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224.31750842452965</v>
      </c>
      <c r="AO125" s="62">
        <f t="shared" si="90"/>
        <v>94.125825809616856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117.52067883964986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117.52067883964986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2.2737367544323206E-13</v>
      </c>
      <c r="O126" s="14">
        <f>N126*VLOOKUP('Données projet'!$B$9,Paramètres!$A$1:$I$89,3,0)*VLOOKUP('Données projet'!$B$9,Paramètres!$A$1:$I$89,5,0)</f>
        <v>1.3596945791505279E-13</v>
      </c>
      <c r="P126" s="14">
        <f t="shared" si="87"/>
        <v>1.9708830566360721E-12</v>
      </c>
      <c r="Q126" s="22">
        <f t="shared" si="107"/>
        <v>3.669434796176543E-12</v>
      </c>
      <c r="R126" s="62">
        <f t="shared" si="55"/>
        <v>293.33333333333701</v>
      </c>
      <c r="S126" s="62">
        <f ca="1">AVERAGE(OFFSET($R$3,0,0,'Données projet'!$E$9+1,1))-AVERAGE(OFFSET($H$3,0,0,'Données projet'!$E$9+1,1))</f>
        <v>234.60993819620847</v>
      </c>
      <c r="T126" s="62">
        <f t="shared" si="88"/>
        <v>346.26896655159095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41.38256551102868</v>
      </c>
      <c r="AA126" s="23">
        <f>EXP(-LN(2)/25)*AA125+(1-EXP(-LN(2)/25))/(LN(2)/25)*Calculateur!V126*Calculateur!X126*VLOOKUP('Données projet'!$B$9,Paramètres!$A$1:$I$89,3,0)*0.475*44/12</f>
        <v>2.4605791309995242</v>
      </c>
      <c r="AB126" s="23">
        <f>EXP(-LN(2)/2)*AB125+(1-EXP(-LN(2)/2))/(LN(2)/2)*V126*Y126*VLOOKUP('Données projet'!$B$9,Paramètres!$A$1:$I$89,3,0)*0.475*44/12</f>
        <v>2.4932907526399126E-11</v>
      </c>
      <c r="AC126" s="24">
        <f t="shared" si="57"/>
        <v>43.84314464205314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-1.2414602679200469E-13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224.31750842452965</v>
      </c>
      <c r="AO126" s="62">
        <f t="shared" si="90"/>
        <v>94.125825809616856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115.21617000814055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115.21617000814055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2.2737367544323206E-13</v>
      </c>
      <c r="O127" s="14">
        <f>N127*VLOOKUP('Données projet'!$B$9,Paramètres!$A$1:$I$89,3,0)*VLOOKUP('Données projet'!$B$9,Paramètres!$A$1:$I$89,5,0)</f>
        <v>1.3596945791505279E-13</v>
      </c>
      <c r="P127" s="14">
        <f t="shared" si="87"/>
        <v>1.9708830566360721E-12</v>
      </c>
      <c r="Q127" s="22">
        <f t="shared" si="107"/>
        <v>3.669434796176543E-12</v>
      </c>
      <c r="R127" s="62">
        <f t="shared" si="55"/>
        <v>293.33333333333701</v>
      </c>
      <c r="S127" s="62">
        <f ca="1">AVERAGE(OFFSET($R$3,0,0,'Données projet'!$E$9+1,1))-AVERAGE(OFFSET($H$3,0,0,'Données projet'!$E$9+1,1))</f>
        <v>234.60993819620847</v>
      </c>
      <c r="T127" s="62">
        <f t="shared" si="88"/>
        <v>346.26896655159095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40.571078642230042</v>
      </c>
      <c r="AA127" s="23">
        <f>EXP(-LN(2)/25)*AA126+(1-EXP(-LN(2)/25))/(LN(2)/25)*Calculateur!V127*Calculateur!X127*VLOOKUP('Données projet'!$B$9,Paramètres!$A$1:$I$89,3,0)*0.475*44/12</f>
        <v>2.3932944652661092</v>
      </c>
      <c r="AB127" s="23">
        <f>EXP(-LN(2)/2)*AB126+(1-EXP(-LN(2)/2))/(LN(2)/2)*V127*Y127*VLOOKUP('Données projet'!$B$9,Paramètres!$A$1:$I$89,3,0)*0.475*44/12</f>
        <v>1.7630227986613931E-11</v>
      </c>
      <c r="AC127" s="24">
        <f t="shared" si="57"/>
        <v>42.964373107513779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-1.2414602679200469E-13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224.31750842452965</v>
      </c>
      <c r="AO127" s="62">
        <f t="shared" si="90"/>
        <v>94.125825809616856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112.95685118920555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112.95685118920555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2.2737367544323206E-13</v>
      </c>
      <c r="O128" s="14">
        <f>N128*VLOOKUP('Données projet'!$B$9,Paramètres!$A$1:$I$89,3,0)*VLOOKUP('Données projet'!$B$9,Paramètres!$A$1:$I$89,5,0)</f>
        <v>1.3596945791505279E-13</v>
      </c>
      <c r="P128" s="14">
        <f t="shared" si="87"/>
        <v>1.9708830566360721E-12</v>
      </c>
      <c r="Q128" s="22">
        <f t="shared" si="107"/>
        <v>3.669434796176543E-12</v>
      </c>
      <c r="R128" s="62">
        <f t="shared" si="55"/>
        <v>293.33333333333701</v>
      </c>
      <c r="S128" s="62">
        <f ca="1">AVERAGE(OFFSET($R$3,0,0,'Données projet'!$E$9+1,1))-AVERAGE(OFFSET($H$3,0,0,'Données projet'!$E$9+1,1))</f>
        <v>234.60993819620847</v>
      </c>
      <c r="T128" s="62">
        <f t="shared" si="88"/>
        <v>346.26896655159095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39.775504535970427</v>
      </c>
      <c r="AA128" s="23">
        <f>EXP(-LN(2)/25)*AA127+(1-EXP(-LN(2)/25))/(LN(2)/25)*Calculateur!V128*Calculateur!X128*VLOOKUP('Données projet'!$B$9,Paramètres!$A$1:$I$89,3,0)*0.475*44/12</f>
        <v>2.3278497022555213</v>
      </c>
      <c r="AB128" s="23">
        <f>EXP(-LN(2)/2)*AB127+(1-EXP(-LN(2)/2))/(LN(2)/2)*V128*Y128*VLOOKUP('Données projet'!$B$9,Paramètres!$A$1:$I$89,3,0)*0.475*44/12</f>
        <v>1.2466453763199563E-11</v>
      </c>
      <c r="AC128" s="24">
        <f t="shared" si="57"/>
        <v>42.10335423823841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-1.2414602679200469E-13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224.31750842452965</v>
      </c>
      <c r="AO128" s="62">
        <f t="shared" si="90"/>
        <v>94.125825809616856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110.74183623426146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110.74183623426146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2.2737367544323206E-13</v>
      </c>
      <c r="O129" s="14">
        <f>N129*VLOOKUP('Données projet'!$B$9,Paramètres!$A$1:$I$89,3,0)*VLOOKUP('Données projet'!$B$9,Paramètres!$A$1:$I$89,5,0)</f>
        <v>1.3596945791505279E-13</v>
      </c>
      <c r="P129" s="14">
        <f t="shared" si="87"/>
        <v>1.9708830566360721E-12</v>
      </c>
      <c r="Q129" s="22">
        <f t="shared" si="107"/>
        <v>3.669434796176543E-12</v>
      </c>
      <c r="R129" s="62">
        <f t="shared" si="55"/>
        <v>293.33333333333701</v>
      </c>
      <c r="S129" s="62">
        <f ca="1">AVERAGE(OFFSET($R$3,0,0,'Données projet'!$E$9+1,1))-AVERAGE(OFFSET($H$3,0,0,'Données projet'!$E$9+1,1))</f>
        <v>234.60993819620847</v>
      </c>
      <c r="T129" s="62">
        <f t="shared" si="88"/>
        <v>346.26896655159095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38.995531152682275</v>
      </c>
      <c r="AA129" s="23">
        <f>EXP(-LN(2)/25)*AA128+(1-EXP(-LN(2)/25))/(LN(2)/25)*Calculateur!V129*Calculateur!X129*VLOOKUP('Données projet'!$B$9,Paramètres!$A$1:$I$89,3,0)*0.475*44/12</f>
        <v>2.2641945297310486</v>
      </c>
      <c r="AB129" s="23">
        <f>EXP(-LN(2)/2)*AB128+(1-EXP(-LN(2)/2))/(LN(2)/2)*V129*Y129*VLOOKUP('Données projet'!$B$9,Paramètres!$A$1:$I$89,3,0)*0.475*44/12</f>
        <v>8.8151139933069653E-12</v>
      </c>
      <c r="AC129" s="24">
        <f t="shared" si="57"/>
        <v>41.259725682422143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-1.2414602679200469E-13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224.31750842452965</v>
      </c>
      <c r="AO129" s="62">
        <f t="shared" si="90"/>
        <v>94.125825809616856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108.57025637155809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108.57025637155809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2.2737367544323206E-13</v>
      </c>
      <c r="O130" s="14">
        <f>N130*VLOOKUP('Données projet'!$B$9,Paramètres!$A$1:$I$89,3,0)*VLOOKUP('Données projet'!$B$9,Paramètres!$A$1:$I$89,5,0)</f>
        <v>1.3596945791505279E-13</v>
      </c>
      <c r="P130" s="14">
        <f t="shared" si="87"/>
        <v>1.9708830566360721E-12</v>
      </c>
      <c r="Q130" s="22">
        <f t="shared" si="107"/>
        <v>3.669434796176543E-12</v>
      </c>
      <c r="R130" s="62">
        <f t="shared" si="55"/>
        <v>293.33333333333701</v>
      </c>
      <c r="S130" s="62">
        <f ca="1">AVERAGE(OFFSET($R$3,0,0,'Données projet'!$E$9+1,1))-AVERAGE(OFFSET($H$3,0,0,'Données projet'!$E$9+1,1))</f>
        <v>234.60993819620847</v>
      </c>
      <c r="T130" s="62">
        <f t="shared" si="88"/>
        <v>346.26896655159095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38.230852571703615</v>
      </c>
      <c r="AA130" s="23">
        <f>EXP(-LN(2)/25)*AA129+(1-EXP(-LN(2)/25))/(LN(2)/25)*Calculateur!V130*Calculateur!X130*VLOOKUP('Données projet'!$B$9,Paramètres!$A$1:$I$89,3,0)*0.475*44/12</f>
        <v>2.2022800112467378</v>
      </c>
      <c r="AB130" s="23">
        <f>EXP(-LN(2)/2)*AB129+(1-EXP(-LN(2)/2))/(LN(2)/2)*V130*Y130*VLOOKUP('Données projet'!$B$9,Paramètres!$A$1:$I$89,3,0)*0.475*44/12</f>
        <v>6.2332268815997816E-12</v>
      </c>
      <c r="AC130" s="24">
        <f t="shared" si="57"/>
        <v>40.433132582956581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-1.2414602679200469E-13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224.31750842452965</v>
      </c>
      <c r="AO130" s="62">
        <f t="shared" si="90"/>
        <v>94.125825809616856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106.4412598654294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106.4412598654294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2.2737367544323206E-13</v>
      </c>
      <c r="O131" s="14">
        <f>N131*VLOOKUP('Données projet'!$B$9,Paramètres!$A$1:$I$89,3,0)*VLOOKUP('Données projet'!$B$9,Paramètres!$A$1:$I$89,5,0)</f>
        <v>1.3596945791505279E-13</v>
      </c>
      <c r="P131" s="14">
        <f t="shared" si="87"/>
        <v>1.9708830566360721E-12</v>
      </c>
      <c r="Q131" s="22">
        <f t="shared" ref="Q131:Q153" si="108">(O131+P131)*0.475*44/12</f>
        <v>3.669434796176543E-12</v>
      </c>
      <c r="R131" s="62">
        <f t="shared" ref="R131:R194" si="109">Q131+(I131+J131)*44/12</f>
        <v>293.33333333333701</v>
      </c>
      <c r="S131" s="62">
        <f ca="1">AVERAGE(OFFSET($R$3,0,0,'Données projet'!$E$9+1,1))-AVERAGE(OFFSET($H$3,0,0,'Données projet'!$E$9+1,1))</f>
        <v>234.60993819620847</v>
      </c>
      <c r="T131" s="62">
        <f t="shared" si="88"/>
        <v>346.26896655159095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37.481168871290066</v>
      </c>
      <c r="AA131" s="23">
        <f>EXP(-LN(2)/25)*AA130+(1-EXP(-LN(2)/25))/(LN(2)/25)*Calculateur!V131*Calculateur!X131*VLOOKUP('Données projet'!$B$9,Paramètres!$A$1:$I$89,3,0)*0.475*44/12</f>
        <v>2.1420585485263235</v>
      </c>
      <c r="AB131" s="23">
        <f>EXP(-LN(2)/2)*AB130+(1-EXP(-LN(2)/2))/(LN(2)/2)*V131*Y131*VLOOKUP('Données projet'!$B$9,Paramètres!$A$1:$I$89,3,0)*0.475*44/12</f>
        <v>4.4075569966534826E-12</v>
      </c>
      <c r="AC131" s="24">
        <f t="shared" si="57"/>
        <v>39.623227419820793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-1.2414602679200469E-13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224.31750842452965</v>
      </c>
      <c r="AO131" s="62">
        <f t="shared" si="90"/>
        <v>94.125825809616856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104.35401168222626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104.35401168222626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2.2737367544323206E-13</v>
      </c>
      <c r="O132" s="14">
        <f>N132*VLOOKUP('Données projet'!$B$9,Paramètres!$A$1:$I$89,3,0)*VLOOKUP('Données projet'!$B$9,Paramètres!$A$1:$I$89,5,0)</f>
        <v>1.3596945791505279E-13</v>
      </c>
      <c r="P132" s="14">
        <f t="shared" si="87"/>
        <v>1.9708830566360721E-12</v>
      </c>
      <c r="Q132" s="22">
        <f t="shared" si="108"/>
        <v>3.669434796176543E-12</v>
      </c>
      <c r="R132" s="62">
        <f t="shared" si="109"/>
        <v>293.33333333333701</v>
      </c>
      <c r="S132" s="62">
        <f ca="1">AVERAGE(OFFSET($R$3,0,0,'Données projet'!$E$9+1,1))-AVERAGE(OFFSET($H$3,0,0,'Données projet'!$E$9+1,1))</f>
        <v>234.60993819620847</v>
      </c>
      <c r="T132" s="62">
        <f t="shared" si="88"/>
        <v>346.26896655159095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36.74618601097972</v>
      </c>
      <c r="AA132" s="23">
        <f>EXP(-LN(2)/25)*AA131+(1-EXP(-LN(2)/25))/(LN(2)/25)*Calculateur!V132*Calculateur!X132*VLOOKUP('Données projet'!$B$9,Paramètres!$A$1:$I$89,3,0)*0.475*44/12</f>
        <v>2.0834838448709077</v>
      </c>
      <c r="AB132" s="23">
        <f>EXP(-LN(2)/2)*AB131+(1-EXP(-LN(2)/2))/(LN(2)/2)*V132*Y132*VLOOKUP('Données projet'!$B$9,Paramètres!$A$1:$I$89,3,0)*0.475*44/12</f>
        <v>3.1166134407998908E-12</v>
      </c>
      <c r="AC132" s="24">
        <f t="shared" ref="AC132:AC153" si="111">SUM(Z132:AB132)</f>
        <v>38.829669855853744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-1.2414602679200469E-13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224.31750842452965</v>
      </c>
      <c r="AO132" s="62">
        <f t="shared" si="90"/>
        <v>94.125825809616856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102.30769316280005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102.30769316280005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2.2737367544323206E-13</v>
      </c>
      <c r="O133" s="14">
        <f>N133*VLOOKUP('Données projet'!$B$9,Paramètres!$A$1:$I$89,3,0)*VLOOKUP('Données projet'!$B$9,Paramètres!$A$1:$I$89,5,0)</f>
        <v>1.3596945791505279E-13</v>
      </c>
      <c r="P133" s="14">
        <f t="shared" ref="P133:P196" si="141">EXP(-1.0587+0.8836*LN(O133)+0.284)</f>
        <v>1.9708830566360721E-12</v>
      </c>
      <c r="Q133" s="22">
        <f t="shared" si="108"/>
        <v>3.669434796176543E-12</v>
      </c>
      <c r="R133" s="62">
        <f t="shared" si="109"/>
        <v>293.33333333333701</v>
      </c>
      <c r="S133" s="62">
        <f ca="1">AVERAGE(OFFSET($R$3,0,0,'Données projet'!$E$9+1,1))-AVERAGE(OFFSET($H$3,0,0,'Données projet'!$E$9+1,1))</f>
        <v>234.60993819620847</v>
      </c>
      <c r="T133" s="62">
        <f t="shared" ref="T133:T196" si="142">$T$3</f>
        <v>346.26896655159095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36.025615716264781</v>
      </c>
      <c r="AA133" s="23">
        <f>EXP(-LN(2)/25)*AA132+(1-EXP(-LN(2)/25))/(LN(2)/25)*Calculateur!V133*Calculateur!X133*VLOOKUP('Données projet'!$B$9,Paramètres!$A$1:$I$89,3,0)*0.475*44/12</f>
        <v>2.0265108695672591</v>
      </c>
      <c r="AB133" s="23">
        <f>EXP(-LN(2)/2)*AB132+(1-EXP(-LN(2)/2))/(LN(2)/2)*V133*Y133*VLOOKUP('Données projet'!$B$9,Paramètres!$A$1:$I$89,3,0)*0.475*44/12</f>
        <v>2.2037784983267413E-12</v>
      </c>
      <c r="AC133" s="24">
        <f t="shared" si="111"/>
        <v>38.052126585834245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-1.2414602679200469E-13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224.31750842452965</v>
      </c>
      <c r="AO133" s="62">
        <f t="shared" ref="AO133:AO196" si="144">$AO$3</f>
        <v>94.125825809616856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100.30150170140872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100.30150170140872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2.2737367544323206E-13</v>
      </c>
      <c r="O134" s="14">
        <f>N134*VLOOKUP('Données projet'!$B$9,Paramètres!$A$1:$I$89,3,0)*VLOOKUP('Données projet'!$B$9,Paramètres!$A$1:$I$89,5,0)</f>
        <v>1.3596945791505279E-13</v>
      </c>
      <c r="P134" s="14">
        <f t="shared" si="141"/>
        <v>1.9708830566360721E-12</v>
      </c>
      <c r="Q134" s="22">
        <f t="shared" si="108"/>
        <v>3.669434796176543E-12</v>
      </c>
      <c r="R134" s="62">
        <f t="shared" si="109"/>
        <v>293.33333333333701</v>
      </c>
      <c r="S134" s="62">
        <f ca="1">AVERAGE(OFFSET($R$3,0,0,'Données projet'!$E$9+1,1))-AVERAGE(OFFSET($H$3,0,0,'Données projet'!$E$9+1,1))</f>
        <v>234.60993819620847</v>
      </c>
      <c r="T134" s="62">
        <f t="shared" si="142"/>
        <v>346.26896655159095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35.319175365524714</v>
      </c>
      <c r="AA134" s="23">
        <f>EXP(-LN(2)/25)*AA133+(1-EXP(-LN(2)/25))/(LN(2)/25)*Calculateur!V134*Calculateur!X134*VLOOKUP('Données projet'!$B$9,Paramètres!$A$1:$I$89,3,0)*0.475*44/12</f>
        <v>1.9710958232693674</v>
      </c>
      <c r="AB134" s="23">
        <f>EXP(-LN(2)/2)*AB133+(1-EXP(-LN(2)/2))/(LN(2)/2)*V134*Y134*VLOOKUP('Données projet'!$B$9,Paramètres!$A$1:$I$89,3,0)*0.475*44/12</f>
        <v>1.5583067203999454E-12</v>
      </c>
      <c r="AC134" s="24">
        <f t="shared" si="111"/>
        <v>37.290271188795636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-1.2414602679200469E-13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224.31750842452965</v>
      </c>
      <c r="AO134" s="62">
        <f t="shared" si="144"/>
        <v>94.125825809616856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98.334650430919325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98.334650430919325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2.2737367544323206E-13</v>
      </c>
      <c r="O135" s="14">
        <f>N135*VLOOKUP('Données projet'!$B$9,Paramètres!$A$1:$I$89,3,0)*VLOOKUP('Données projet'!$B$9,Paramètres!$A$1:$I$89,5,0)</f>
        <v>1.3596945791505279E-13</v>
      </c>
      <c r="P135" s="14">
        <f t="shared" si="141"/>
        <v>1.9708830566360721E-12</v>
      </c>
      <c r="Q135" s="22">
        <f t="shared" si="108"/>
        <v>3.669434796176543E-12</v>
      </c>
      <c r="R135" s="62">
        <f t="shared" si="109"/>
        <v>293.33333333333701</v>
      </c>
      <c r="S135" s="62">
        <f ca="1">AVERAGE(OFFSET($R$3,0,0,'Données projet'!$E$9+1,1))-AVERAGE(OFFSET($H$3,0,0,'Données projet'!$E$9+1,1))</f>
        <v>234.60993819620847</v>
      </c>
      <c r="T135" s="62">
        <f t="shared" si="142"/>
        <v>346.26896655159095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34.626587879176597</v>
      </c>
      <c r="AA135" s="23">
        <f>EXP(-LN(2)/25)*AA134+(1-EXP(-LN(2)/25))/(LN(2)/25)*Calculateur!V135*Calculateur!X135*VLOOKUP('Données projet'!$B$9,Paramètres!$A$1:$I$89,3,0)*0.475*44/12</f>
        <v>1.9171961043266421</v>
      </c>
      <c r="AB135" s="23">
        <f>EXP(-LN(2)/2)*AB134+(1-EXP(-LN(2)/2))/(LN(2)/2)*V135*Y135*VLOOKUP('Données projet'!$B$9,Paramètres!$A$1:$I$89,3,0)*0.475*44/12</f>
        <v>1.1018892491633707E-12</v>
      </c>
      <c r="AC135" s="24">
        <f t="shared" si="111"/>
        <v>36.543783983504341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-1.2414602679200469E-13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224.31750842452965</v>
      </c>
      <c r="AO135" s="62">
        <f t="shared" si="144"/>
        <v>94.125825809616856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96.406367914183406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96.406367914183406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2.2737367544323206E-13</v>
      </c>
      <c r="O136" s="14">
        <f>N136*VLOOKUP('Données projet'!$B$9,Paramètres!$A$1:$I$89,3,0)*VLOOKUP('Données projet'!$B$9,Paramètres!$A$1:$I$89,5,0)</f>
        <v>1.3596945791505279E-13</v>
      </c>
      <c r="P136" s="14">
        <f t="shared" si="141"/>
        <v>1.9708830566360721E-12</v>
      </c>
      <c r="Q136" s="22">
        <f t="shared" si="108"/>
        <v>3.669434796176543E-12</v>
      </c>
      <c r="R136" s="62">
        <f t="shared" si="109"/>
        <v>293.33333333333701</v>
      </c>
      <c r="S136" s="62">
        <f ca="1">AVERAGE(OFFSET($R$3,0,0,'Données projet'!$E$9+1,1))-AVERAGE(OFFSET($H$3,0,0,'Données projet'!$E$9+1,1))</f>
        <v>234.60993819620847</v>
      </c>
      <c r="T136" s="62">
        <f t="shared" si="142"/>
        <v>346.26896655159095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33.947581610999109</v>
      </c>
      <c r="AA136" s="23">
        <f>EXP(-LN(2)/25)*AA135+(1-EXP(-LN(2)/25))/(LN(2)/25)*Calculateur!V136*Calculateur!X136*VLOOKUP('Données projet'!$B$9,Paramètres!$A$1:$I$89,3,0)*0.475*44/12</f>
        <v>1.8647702760328688</v>
      </c>
      <c r="AB136" s="23">
        <f>EXP(-LN(2)/2)*AB135+(1-EXP(-LN(2)/2))/(LN(2)/2)*V136*Y136*VLOOKUP('Données projet'!$B$9,Paramètres!$A$1:$I$89,3,0)*0.475*44/12</f>
        <v>7.791533601999727E-13</v>
      </c>
      <c r="AC136" s="24">
        <f t="shared" si="111"/>
        <v>35.812351887032762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-1.2414602679200469E-13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224.31750842452965</v>
      </c>
      <c r="AO136" s="62">
        <f t="shared" si="144"/>
        <v>94.125825809616856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94.515897841464479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94.515897841464479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2.2737367544323206E-13</v>
      </c>
      <c r="O137" s="14">
        <f>N137*VLOOKUP('Données projet'!$B$9,Paramètres!$A$1:$I$89,3,0)*VLOOKUP('Données projet'!$B$9,Paramètres!$A$1:$I$89,5,0)</f>
        <v>1.3596945791505279E-13</v>
      </c>
      <c r="P137" s="14">
        <f t="shared" si="141"/>
        <v>1.9708830566360721E-12</v>
      </c>
      <c r="Q137" s="22">
        <f t="shared" si="108"/>
        <v>3.669434796176543E-12</v>
      </c>
      <c r="R137" s="62">
        <f t="shared" si="109"/>
        <v>293.33333333333701</v>
      </c>
      <c r="S137" s="62">
        <f ca="1">AVERAGE(OFFSET($R$3,0,0,'Données projet'!$E$9+1,1))-AVERAGE(OFFSET($H$3,0,0,'Données projet'!$E$9+1,1))</f>
        <v>234.60993819620847</v>
      </c>
      <c r="T137" s="62">
        <f t="shared" si="142"/>
        <v>346.26896655159095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33.281890241587654</v>
      </c>
      <c r="AA137" s="23">
        <f>EXP(-LN(2)/25)*AA136+(1-EXP(-LN(2)/25))/(LN(2)/25)*Calculateur!V137*Calculateur!X137*VLOOKUP('Données projet'!$B$9,Paramètres!$A$1:$I$89,3,0)*0.475*44/12</f>
        <v>1.8137780347707433</v>
      </c>
      <c r="AB137" s="23">
        <f>EXP(-LN(2)/2)*AB136+(1-EXP(-LN(2)/2))/(LN(2)/2)*V137*Y137*VLOOKUP('Données projet'!$B$9,Paramètres!$A$1:$I$89,3,0)*0.475*44/12</f>
        <v>5.5094462458168533E-13</v>
      </c>
      <c r="AC137" s="24">
        <f t="shared" si="111"/>
        <v>35.09566827635895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-1.2414602679200469E-13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224.31750842452965</v>
      </c>
      <c r="AO137" s="62">
        <f t="shared" si="144"/>
        <v>94.125825809616856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92.662498733798671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92.662498733798671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2.2737367544323206E-13</v>
      </c>
      <c r="O138" s="14">
        <f>N138*VLOOKUP('Données projet'!$B$9,Paramètres!$A$1:$I$89,3,0)*VLOOKUP('Données projet'!$B$9,Paramètres!$A$1:$I$89,5,0)</f>
        <v>1.3596945791505279E-13</v>
      </c>
      <c r="P138" s="14">
        <f t="shared" si="141"/>
        <v>1.9708830566360721E-12</v>
      </c>
      <c r="Q138" s="22">
        <f t="shared" si="108"/>
        <v>3.669434796176543E-12</v>
      </c>
      <c r="R138" s="62">
        <f t="shared" si="109"/>
        <v>293.33333333333701</v>
      </c>
      <c r="S138" s="62">
        <f ca="1">AVERAGE(OFFSET($R$3,0,0,'Données projet'!$E$9+1,1))-AVERAGE(OFFSET($H$3,0,0,'Données projet'!$E$9+1,1))</f>
        <v>234.60993819620847</v>
      </c>
      <c r="T138" s="62">
        <f t="shared" si="142"/>
        <v>346.26896655159095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32.629252673898712</v>
      </c>
      <c r="AA138" s="23">
        <f>EXP(-LN(2)/25)*AA137+(1-EXP(-LN(2)/25))/(LN(2)/25)*Calculateur!V138*Calculateur!X138*VLOOKUP('Données projet'!$B$9,Paramètres!$A$1:$I$89,3,0)*0.475*44/12</f>
        <v>1.7641801790274958</v>
      </c>
      <c r="AB138" s="23">
        <f>EXP(-LN(2)/2)*AB137+(1-EXP(-LN(2)/2))/(LN(2)/2)*V138*Y138*VLOOKUP('Données projet'!$B$9,Paramètres!$A$1:$I$89,3,0)*0.475*44/12</f>
        <v>3.8957668009998635E-13</v>
      </c>
      <c r="AC138" s="24">
        <f t="shared" si="111"/>
        <v>34.393432852926601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-1.2414602679200469E-13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224.31750842452965</v>
      </c>
      <c r="AO138" s="62">
        <f t="shared" si="144"/>
        <v>94.125825809616856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90.845443652172364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90.845443652172364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2.2737367544323206E-13</v>
      </c>
      <c r="O139" s="14">
        <f>N139*VLOOKUP('Données projet'!$B$9,Paramètres!$A$1:$I$89,3,0)*VLOOKUP('Données projet'!$B$9,Paramètres!$A$1:$I$89,5,0)</f>
        <v>1.3596945791505279E-13</v>
      </c>
      <c r="P139" s="14">
        <f t="shared" si="141"/>
        <v>1.9708830566360721E-12</v>
      </c>
      <c r="Q139" s="22">
        <f t="shared" si="108"/>
        <v>3.669434796176543E-12</v>
      </c>
      <c r="R139" s="62">
        <f t="shared" si="109"/>
        <v>293.33333333333701</v>
      </c>
      <c r="S139" s="62">
        <f ca="1">AVERAGE(OFFSET($R$3,0,0,'Données projet'!$E$9+1,1))-AVERAGE(OFFSET($H$3,0,0,'Données projet'!$E$9+1,1))</f>
        <v>234.60993819620847</v>
      </c>
      <c r="T139" s="62">
        <f t="shared" si="142"/>
        <v>346.26896655159095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31.989412930842541</v>
      </c>
      <c r="AA139" s="23">
        <f>EXP(-LN(2)/25)*AA138+(1-EXP(-LN(2)/25))/(LN(2)/25)*Calculateur!V139*Calculateur!X139*VLOOKUP('Données projet'!$B$9,Paramètres!$A$1:$I$89,3,0)*0.475*44/12</f>
        <v>1.7159385792577855</v>
      </c>
      <c r="AB139" s="23">
        <f>EXP(-LN(2)/2)*AB138+(1-EXP(-LN(2)/2))/(LN(2)/2)*V139*Y139*VLOOKUP('Données projet'!$B$9,Paramètres!$A$1:$I$89,3,0)*0.475*44/12</f>
        <v>2.7547231229084267E-13</v>
      </c>
      <c r="AC139" s="24">
        <f t="shared" si="111"/>
        <v>33.705351510100606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-1.2414602679200469E-13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224.31750842452965</v>
      </c>
      <c r="AO139" s="62">
        <f t="shared" si="144"/>
        <v>94.125825809616856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89.064019912402586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89.064019912402586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2.2737367544323206E-13</v>
      </c>
      <c r="O140" s="14">
        <f>N140*VLOOKUP('Données projet'!$B$9,Paramètres!$A$1:$I$89,3,0)*VLOOKUP('Données projet'!$B$9,Paramètres!$A$1:$I$89,5,0)</f>
        <v>1.3596945791505279E-13</v>
      </c>
      <c r="P140" s="14">
        <f t="shared" si="141"/>
        <v>1.9708830566360721E-12</v>
      </c>
      <c r="Q140" s="22">
        <f t="shared" si="108"/>
        <v>3.669434796176543E-12</v>
      </c>
      <c r="R140" s="62">
        <f t="shared" si="109"/>
        <v>293.33333333333701</v>
      </c>
      <c r="S140" s="62">
        <f ca="1">AVERAGE(OFFSET($R$3,0,0,'Données projet'!$E$9+1,1))-AVERAGE(OFFSET($H$3,0,0,'Données projet'!$E$9+1,1))</f>
        <v>234.60993819620847</v>
      </c>
      <c r="T140" s="62">
        <f t="shared" si="142"/>
        <v>346.26896655159095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31.362120054883995</v>
      </c>
      <c r="AA140" s="23">
        <f>EXP(-LN(2)/25)*AA139+(1-EXP(-LN(2)/25))/(LN(2)/25)*Calculateur!V140*Calculateur!X140*VLOOKUP('Données projet'!$B$9,Paramètres!$A$1:$I$89,3,0)*0.475*44/12</f>
        <v>1.6690161485706934</v>
      </c>
      <c r="AB140" s="23">
        <f>EXP(-LN(2)/2)*AB139+(1-EXP(-LN(2)/2))/(LN(2)/2)*V140*Y140*VLOOKUP('Données projet'!$B$9,Paramètres!$A$1:$I$89,3,0)*0.475*44/12</f>
        <v>1.9478834004999317E-13</v>
      </c>
      <c r="AC140" s="24">
        <f t="shared" si="111"/>
        <v>33.031136203454878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-1.2414602679200469E-13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224.31750842452965</v>
      </c>
      <c r="AO140" s="62">
        <f t="shared" si="144"/>
        <v>94.125825809616856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87.317528805608504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87.317528805608504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2.2737367544323206E-13</v>
      </c>
      <c r="O141" s="14">
        <f>N141*VLOOKUP('Données projet'!$B$9,Paramètres!$A$1:$I$89,3,0)*VLOOKUP('Données projet'!$B$9,Paramètres!$A$1:$I$89,5,0)</f>
        <v>1.3596945791505279E-13</v>
      </c>
      <c r="P141" s="14">
        <f t="shared" si="141"/>
        <v>1.9708830566360721E-12</v>
      </c>
      <c r="Q141" s="22">
        <f t="shared" si="108"/>
        <v>3.669434796176543E-12</v>
      </c>
      <c r="R141" s="62">
        <f t="shared" si="109"/>
        <v>293.33333333333701</v>
      </c>
      <c r="S141" s="62">
        <f ca="1">AVERAGE(OFFSET($R$3,0,0,'Données projet'!$E$9+1,1))-AVERAGE(OFFSET($H$3,0,0,'Données projet'!$E$9+1,1))</f>
        <v>234.60993819620847</v>
      </c>
      <c r="T141" s="62">
        <f t="shared" si="142"/>
        <v>346.26896655159095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30.747128009612123</v>
      </c>
      <c r="AA141" s="23">
        <f>EXP(-LN(2)/25)*AA140+(1-EXP(-LN(2)/25))/(LN(2)/25)*Calculateur!V141*Calculateur!X141*VLOOKUP('Données projet'!$B$9,Paramètres!$A$1:$I$89,3,0)*0.475*44/12</f>
        <v>1.6233768142182832</v>
      </c>
      <c r="AB141" s="23">
        <f>EXP(-LN(2)/2)*AB140+(1-EXP(-LN(2)/2))/(LN(2)/2)*V141*Y141*VLOOKUP('Données projet'!$B$9,Paramètres!$A$1:$I$89,3,0)*0.475*44/12</f>
        <v>1.3773615614542133E-13</v>
      </c>
      <c r="AC141" s="24">
        <f t="shared" si="111"/>
        <v>32.370504823830544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-1.2414602679200469E-13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224.31750842452965</v>
      </c>
      <c r="AO141" s="62">
        <f t="shared" si="144"/>
        <v>94.125825809616856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85.605285324164257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85.605285324164257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2.2737367544323206E-13</v>
      </c>
      <c r="O142" s="14">
        <f>N142*VLOOKUP('Données projet'!$B$9,Paramètres!$A$1:$I$89,3,0)*VLOOKUP('Données projet'!$B$9,Paramètres!$A$1:$I$89,5,0)</f>
        <v>1.3596945791505279E-13</v>
      </c>
      <c r="P142" s="14">
        <f t="shared" si="141"/>
        <v>1.9708830566360721E-12</v>
      </c>
      <c r="Q142" s="22">
        <f t="shared" si="108"/>
        <v>3.669434796176543E-12</v>
      </c>
      <c r="R142" s="62">
        <f t="shared" si="109"/>
        <v>293.33333333333701</v>
      </c>
      <c r="S142" s="62">
        <f ca="1">AVERAGE(OFFSET($R$3,0,0,'Données projet'!$E$9+1,1))-AVERAGE(OFFSET($H$3,0,0,'Données projet'!$E$9+1,1))</f>
        <v>234.60993819620847</v>
      </c>
      <c r="T142" s="62">
        <f t="shared" si="142"/>
        <v>346.26896655159095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30.14419558323992</v>
      </c>
      <c r="AA142" s="23">
        <f>EXP(-LN(2)/25)*AA141+(1-EXP(-LN(2)/25))/(LN(2)/25)*Calculateur!V142*Calculateur!X142*VLOOKUP('Données projet'!$B$9,Paramètres!$A$1:$I$89,3,0)*0.475*44/12</f>
        <v>1.5789854898638078</v>
      </c>
      <c r="AB142" s="23">
        <f>EXP(-LN(2)/2)*AB141+(1-EXP(-LN(2)/2))/(LN(2)/2)*V142*Y142*VLOOKUP('Données projet'!$B$9,Paramètres!$A$1:$I$89,3,0)*0.475*44/12</f>
        <v>9.7394170024996587E-14</v>
      </c>
      <c r="AC142" s="24">
        <f t="shared" si="111"/>
        <v>31.723181073103824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-1.2414602679200469E-13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224.31750842452965</v>
      </c>
      <c r="AO142" s="62">
        <f t="shared" si="144"/>
        <v>94.125825809616856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83.926617893025735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83.926617893025735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2.2737367544323206E-13</v>
      </c>
      <c r="O143" s="14">
        <f>N143*VLOOKUP('Données projet'!$B$9,Paramètres!$A$1:$I$89,3,0)*VLOOKUP('Données projet'!$B$9,Paramètres!$A$1:$I$89,5,0)</f>
        <v>1.3596945791505279E-13</v>
      </c>
      <c r="P143" s="14">
        <f t="shared" si="141"/>
        <v>1.9708830566360721E-12</v>
      </c>
      <c r="Q143" s="22">
        <f t="shared" si="108"/>
        <v>3.669434796176543E-12</v>
      </c>
      <c r="R143" s="62">
        <f t="shared" si="109"/>
        <v>293.33333333333701</v>
      </c>
      <c r="S143" s="62">
        <f ca="1">AVERAGE(OFFSET($R$3,0,0,'Données projet'!$E$9+1,1))-AVERAGE(OFFSET($H$3,0,0,'Données projet'!$E$9+1,1))</f>
        <v>234.60993819620847</v>
      </c>
      <c r="T143" s="62">
        <f t="shared" si="142"/>
        <v>346.26896655159095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29.553086293996412</v>
      </c>
      <c r="AA143" s="23">
        <f>EXP(-LN(2)/25)*AA142+(1-EXP(-LN(2)/25))/(LN(2)/25)*Calculateur!V143*Calculateur!X143*VLOOKUP('Données projet'!$B$9,Paramètres!$A$1:$I$89,3,0)*0.475*44/12</f>
        <v>1.5358080486082439</v>
      </c>
      <c r="AB143" s="23">
        <f>EXP(-LN(2)/2)*AB142+(1-EXP(-LN(2)/2))/(LN(2)/2)*V143*Y143*VLOOKUP('Données projet'!$B$9,Paramètres!$A$1:$I$89,3,0)*0.475*44/12</f>
        <v>6.8868078072710666E-14</v>
      </c>
      <c r="AC143" s="24">
        <f t="shared" si="111"/>
        <v>31.088894342604721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-1.2414602679200469E-13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224.31750842452965</v>
      </c>
      <c r="AO143" s="62">
        <f t="shared" si="144"/>
        <v>94.125825809616856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82.280868106325798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82.280868106325798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2.2737367544323206E-13</v>
      </c>
      <c r="O144" s="14">
        <f>N144*VLOOKUP('Données projet'!$B$9,Paramètres!$A$1:$I$89,3,0)*VLOOKUP('Données projet'!$B$9,Paramètres!$A$1:$I$89,5,0)</f>
        <v>1.3596945791505279E-13</v>
      </c>
      <c r="P144" s="14">
        <f t="shared" si="141"/>
        <v>1.9708830566360721E-12</v>
      </c>
      <c r="Q144" s="22">
        <f t="shared" si="108"/>
        <v>3.669434796176543E-12</v>
      </c>
      <c r="R144" s="62">
        <f t="shared" si="109"/>
        <v>293.33333333333701</v>
      </c>
      <c r="S144" s="62">
        <f ca="1">AVERAGE(OFFSET($R$3,0,0,'Données projet'!$E$9+1,1))-AVERAGE(OFFSET($H$3,0,0,'Données projet'!$E$9+1,1))</f>
        <v>234.60993819620847</v>
      </c>
      <c r="T144" s="62">
        <f t="shared" si="142"/>
        <v>346.26896655159095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28.973568297373902</v>
      </c>
      <c r="AA144" s="23">
        <f>EXP(-LN(2)/25)*AA143+(1-EXP(-LN(2)/25))/(LN(2)/25)*Calculateur!V144*Calculateur!X144*VLOOKUP('Données projet'!$B$9,Paramètres!$A$1:$I$89,3,0)*0.475*44/12</f>
        <v>1.4938112967544164</v>
      </c>
      <c r="AB144" s="23">
        <f>EXP(-LN(2)/2)*AB143+(1-EXP(-LN(2)/2))/(LN(2)/2)*V144*Y144*VLOOKUP('Données projet'!$B$9,Paramètres!$A$1:$I$89,3,0)*0.475*44/12</f>
        <v>4.8697085012498294E-14</v>
      </c>
      <c r="AC144" s="24">
        <f t="shared" si="111"/>
        <v>30.467379594128367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-1.2414602679200469E-13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224.31750842452965</v>
      </c>
      <c r="AO144" s="62">
        <f t="shared" si="144"/>
        <v>94.125825809616856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80.667390469134801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80.667390469134801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2.2737367544323206E-13</v>
      </c>
      <c r="O145" s="14">
        <f>N145*VLOOKUP('Données projet'!$B$9,Paramètres!$A$1:$I$89,3,0)*VLOOKUP('Données projet'!$B$9,Paramètres!$A$1:$I$89,5,0)</f>
        <v>1.3596945791505279E-13</v>
      </c>
      <c r="P145" s="14">
        <f t="shared" si="141"/>
        <v>1.9708830566360721E-12</v>
      </c>
      <c r="Q145" s="22">
        <f t="shared" si="108"/>
        <v>3.669434796176543E-12</v>
      </c>
      <c r="R145" s="62">
        <f t="shared" si="109"/>
        <v>293.33333333333701</v>
      </c>
      <c r="S145" s="62">
        <f ca="1">AVERAGE(OFFSET($R$3,0,0,'Données projet'!$E$9+1,1))-AVERAGE(OFFSET($H$3,0,0,'Données projet'!$E$9+1,1))</f>
        <v>234.60993819620847</v>
      </c>
      <c r="T145" s="62">
        <f t="shared" si="142"/>
        <v>346.26896655159095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28.405414295194081</v>
      </c>
      <c r="AA145" s="23">
        <f>EXP(-LN(2)/25)*AA144+(1-EXP(-LN(2)/25))/(LN(2)/25)*Calculateur!V145*Calculateur!X145*VLOOKUP('Données projet'!$B$9,Paramètres!$A$1:$I$89,3,0)*0.475*44/12</f>
        <v>1.4529629482885449</v>
      </c>
      <c r="AB145" s="23">
        <f>EXP(-LN(2)/2)*AB144+(1-EXP(-LN(2)/2))/(LN(2)/2)*V145*Y145*VLOOKUP('Données projet'!$B$9,Paramètres!$A$1:$I$89,3,0)*0.475*44/12</f>
        <v>3.4434039036355333E-14</v>
      </c>
      <c r="AC145" s="24">
        <f t="shared" si="111"/>
        <v>29.858377243482661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-1.2414602679200469E-13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224.31750842452965</v>
      </c>
      <c r="AO145" s="62">
        <f t="shared" si="144"/>
        <v>94.125825809616856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79.085552144284932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79.085552144284932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2.2737367544323206E-13</v>
      </c>
      <c r="O146" s="14">
        <f>N146*VLOOKUP('Données projet'!$B$9,Paramètres!$A$1:$I$89,3,0)*VLOOKUP('Données projet'!$B$9,Paramètres!$A$1:$I$89,5,0)</f>
        <v>1.3596945791505279E-13</v>
      </c>
      <c r="P146" s="14">
        <f t="shared" si="141"/>
        <v>1.9708830566360721E-12</v>
      </c>
      <c r="Q146" s="22">
        <f t="shared" si="108"/>
        <v>3.669434796176543E-12</v>
      </c>
      <c r="R146" s="62">
        <f t="shared" si="109"/>
        <v>293.33333333333701</v>
      </c>
      <c r="S146" s="62">
        <f ca="1">AVERAGE(OFFSET($R$3,0,0,'Données projet'!$E$9+1,1))-AVERAGE(OFFSET($H$3,0,0,'Données projet'!$E$9+1,1))</f>
        <v>234.60993819620847</v>
      </c>
      <c r="T146" s="62">
        <f t="shared" si="142"/>
        <v>346.26896655159095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27.848401446457284</v>
      </c>
      <c r="AA146" s="23">
        <f>EXP(-LN(2)/25)*AA145+(1-EXP(-LN(2)/25))/(LN(2)/25)*Calculateur!V146*Calculateur!X146*VLOOKUP('Données projet'!$B$9,Paramètres!$A$1:$I$89,3,0)*0.475*44/12</f>
        <v>1.4132316000595939</v>
      </c>
      <c r="AB146" s="23">
        <f>EXP(-LN(2)/2)*AB145+(1-EXP(-LN(2)/2))/(LN(2)/2)*V146*Y146*VLOOKUP('Données projet'!$B$9,Paramètres!$A$1:$I$89,3,0)*0.475*44/12</f>
        <v>2.4348542506249147E-14</v>
      </c>
      <c r="AC146" s="24">
        <f t="shared" si="111"/>
        <v>29.261633046516902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-1.2414602679200469E-13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224.31750842452965</v>
      </c>
      <c r="AO146" s="62">
        <f t="shared" si="144"/>
        <v>94.125825809616856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77.534732704159268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77.534732704159268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2.2737367544323206E-13</v>
      </c>
      <c r="O147" s="14">
        <f>N147*VLOOKUP('Données projet'!$B$9,Paramètres!$A$1:$I$89,3,0)*VLOOKUP('Données projet'!$B$9,Paramètres!$A$1:$I$89,5,0)</f>
        <v>1.3596945791505279E-13</v>
      </c>
      <c r="P147" s="14">
        <f t="shared" si="141"/>
        <v>1.9708830566360721E-12</v>
      </c>
      <c r="Q147" s="22">
        <f t="shared" si="108"/>
        <v>3.669434796176543E-12</v>
      </c>
      <c r="R147" s="62">
        <f t="shared" si="109"/>
        <v>293.33333333333701</v>
      </c>
      <c r="S147" s="62">
        <f ca="1">AVERAGE(OFFSET($R$3,0,0,'Données projet'!$E$9+1,1))-AVERAGE(OFFSET($H$3,0,0,'Données projet'!$E$9+1,1))</f>
        <v>234.60993819620847</v>
      </c>
      <c r="T147" s="62">
        <f t="shared" si="142"/>
        <v>346.26896655159095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27.302311279939925</v>
      </c>
      <c r="AA147" s="23">
        <f>EXP(-LN(2)/25)*AA146+(1-EXP(-LN(2)/25))/(LN(2)/25)*Calculateur!V147*Calculateur!X147*VLOOKUP('Données projet'!$B$9,Paramètres!$A$1:$I$89,3,0)*0.475*44/12</f>
        <v>1.3745867076373444</v>
      </c>
      <c r="AB147" s="23">
        <f>EXP(-LN(2)/2)*AB146+(1-EXP(-LN(2)/2))/(LN(2)/2)*V147*Y147*VLOOKUP('Données projet'!$B$9,Paramètres!$A$1:$I$89,3,0)*0.475*44/12</f>
        <v>1.7217019518177667E-14</v>
      </c>
      <c r="AC147" s="24">
        <f t="shared" si="111"/>
        <v>28.676897987577288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-1.2414602679200469E-13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224.31750842452965</v>
      </c>
      <c r="AO147" s="62">
        <f t="shared" si="144"/>
        <v>94.125825809616856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76.014323887347999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76.014323887347999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2.2737367544323206E-13</v>
      </c>
      <c r="O148" s="14">
        <f>N148*VLOOKUP('Données projet'!$B$9,Paramètres!$A$1:$I$89,3,0)*VLOOKUP('Données projet'!$B$9,Paramètres!$A$1:$I$89,5,0)</f>
        <v>1.3596945791505279E-13</v>
      </c>
      <c r="P148" s="14">
        <f t="shared" si="141"/>
        <v>1.9708830566360721E-12</v>
      </c>
      <c r="Q148" s="22">
        <f t="shared" si="108"/>
        <v>3.669434796176543E-12</v>
      </c>
      <c r="R148" s="62">
        <f t="shared" si="109"/>
        <v>293.33333333333701</v>
      </c>
      <c r="S148" s="62">
        <f ca="1">AVERAGE(OFFSET($R$3,0,0,'Données projet'!$E$9+1,1))-AVERAGE(OFFSET($H$3,0,0,'Données projet'!$E$9+1,1))</f>
        <v>234.60993819620847</v>
      </c>
      <c r="T148" s="62">
        <f t="shared" si="142"/>
        <v>346.26896655159095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26.766929608505858</v>
      </c>
      <c r="AA148" s="23">
        <f>EXP(-LN(2)/25)*AA147+(1-EXP(-LN(2)/25))/(LN(2)/25)*Calculateur!V148*Calculateur!X148*VLOOKUP('Données projet'!$B$9,Paramètres!$A$1:$I$89,3,0)*0.475*44/12</f>
        <v>1.3369985618306279</v>
      </c>
      <c r="AB148" s="23">
        <f>EXP(-LN(2)/2)*AB147+(1-EXP(-LN(2)/2))/(LN(2)/2)*V148*Y148*VLOOKUP('Données projet'!$B$9,Paramètres!$A$1:$I$89,3,0)*0.475*44/12</f>
        <v>1.2174271253124573E-14</v>
      </c>
      <c r="AC148" s="24">
        <f t="shared" si="111"/>
        <v>28.103928170336498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-1.2414602679200469E-13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224.31750842452965</v>
      </c>
      <c r="AO148" s="62">
        <f t="shared" si="144"/>
        <v>94.125825809616856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74.523729360076601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74.523729360076601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2.2737367544323206E-13</v>
      </c>
      <c r="O149" s="14">
        <f>N149*VLOOKUP('Données projet'!$B$9,Paramètres!$A$1:$I$89,3,0)*VLOOKUP('Données projet'!$B$9,Paramètres!$A$1:$I$89,5,0)</f>
        <v>1.3596945791505279E-13</v>
      </c>
      <c r="P149" s="14">
        <f t="shared" si="141"/>
        <v>1.9708830566360721E-12</v>
      </c>
      <c r="Q149" s="22">
        <f t="shared" si="108"/>
        <v>3.669434796176543E-12</v>
      </c>
      <c r="R149" s="62">
        <f t="shared" si="109"/>
        <v>293.33333333333701</v>
      </c>
      <c r="S149" s="62">
        <f ca="1">AVERAGE(OFFSET($R$3,0,0,'Données projet'!$E$9+1,1))-AVERAGE(OFFSET($H$3,0,0,'Données projet'!$E$9+1,1))</f>
        <v>234.60993819620847</v>
      </c>
      <c r="T149" s="62">
        <f t="shared" si="142"/>
        <v>346.26896655159095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26.24204644509804</v>
      </c>
      <c r="AA149" s="23">
        <f>EXP(-LN(2)/25)*AA148+(1-EXP(-LN(2)/25))/(LN(2)/25)*Calculateur!V149*Calculateur!X149*VLOOKUP('Données projet'!$B$9,Paramètres!$A$1:$I$89,3,0)*0.475*44/12</f>
        <v>1.3004382658476707</v>
      </c>
      <c r="AB149" s="23">
        <f>EXP(-LN(2)/2)*AB148+(1-EXP(-LN(2)/2))/(LN(2)/2)*V149*Y149*VLOOKUP('Données projet'!$B$9,Paramètres!$A$1:$I$89,3,0)*0.475*44/12</f>
        <v>8.6085097590888333E-15</v>
      </c>
      <c r="AC149" s="24">
        <f t="shared" si="111"/>
        <v>27.542484710945718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-1.2414602679200469E-13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224.31750842452965</v>
      </c>
      <c r="AO149" s="62">
        <f t="shared" si="144"/>
        <v>94.125825809616856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73.062364482312105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73.062364482312105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2.2737367544323206E-13</v>
      </c>
      <c r="O150" s="14">
        <f>N150*VLOOKUP('Données projet'!$B$9,Paramètres!$A$1:$I$89,3,0)*VLOOKUP('Données projet'!$B$9,Paramètres!$A$1:$I$89,5,0)</f>
        <v>1.3596945791505279E-13</v>
      </c>
      <c r="P150" s="14">
        <f t="shared" si="141"/>
        <v>1.9708830566360721E-12</v>
      </c>
      <c r="Q150" s="22">
        <f t="shared" si="108"/>
        <v>3.669434796176543E-12</v>
      </c>
      <c r="R150" s="62">
        <f t="shared" si="109"/>
        <v>293.33333333333701</v>
      </c>
      <c r="S150" s="62">
        <f ca="1">AVERAGE(OFFSET($R$3,0,0,'Données projet'!$E$9+1,1))-AVERAGE(OFFSET($H$3,0,0,'Données projet'!$E$9+1,1))</f>
        <v>234.60993819620847</v>
      </c>
      <c r="T150" s="62">
        <f t="shared" si="142"/>
        <v>346.26896655159095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25.72745592037753</v>
      </c>
      <c r="AA150" s="23">
        <f>EXP(-LN(2)/25)*AA149+(1-EXP(-LN(2)/25))/(LN(2)/25)*Calculateur!V150*Calculateur!X150*VLOOKUP('Données projet'!$B$9,Paramètres!$A$1:$I$89,3,0)*0.475*44/12</f>
        <v>1.2648777130809901</v>
      </c>
      <c r="AB150" s="23">
        <f>EXP(-LN(2)/2)*AB149+(1-EXP(-LN(2)/2))/(LN(2)/2)*V150*Y150*VLOOKUP('Données projet'!$B$9,Paramètres!$A$1:$I$89,3,0)*0.475*44/12</f>
        <v>6.0871356265622867E-15</v>
      </c>
      <c r="AC150" s="24">
        <f t="shared" si="111"/>
        <v>26.992333633458529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-1.2414602679200469E-13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224.31750842452965</v>
      </c>
      <c r="AO150" s="62">
        <f t="shared" si="144"/>
        <v>94.125825809616856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71.629656078456009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71.629656078456009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2.2737367544323206E-13</v>
      </c>
      <c r="O151" s="14">
        <f>N151*VLOOKUP('Données projet'!$B$9,Paramètres!$A$1:$I$89,3,0)*VLOOKUP('Données projet'!$B$9,Paramètres!$A$1:$I$89,5,0)</f>
        <v>1.3596945791505279E-13</v>
      </c>
      <c r="P151" s="14">
        <f t="shared" si="141"/>
        <v>1.9708830566360721E-12</v>
      </c>
      <c r="Q151" s="22">
        <f t="shared" si="108"/>
        <v>3.669434796176543E-12</v>
      </c>
      <c r="R151" s="62">
        <f t="shared" si="109"/>
        <v>293.33333333333701</v>
      </c>
      <c r="S151" s="62">
        <f ca="1">AVERAGE(OFFSET($R$3,0,0,'Données projet'!$E$9+1,1))-AVERAGE(OFFSET($H$3,0,0,'Données projet'!$E$9+1,1))</f>
        <v>234.60993819620847</v>
      </c>
      <c r="T151" s="62">
        <f t="shared" si="142"/>
        <v>346.26896655159095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25.222956201977563</v>
      </c>
      <c r="AA151" s="23">
        <f>EXP(-LN(2)/25)*AA150+(1-EXP(-LN(2)/25))/(LN(2)/25)*Calculateur!V151*Calculateur!X151*VLOOKUP('Données projet'!$B$9,Paramètres!$A$1:$I$89,3,0)*0.475*44/12</f>
        <v>1.2302895654997623</v>
      </c>
      <c r="AB151" s="23">
        <f>EXP(-LN(2)/2)*AB150+(1-EXP(-LN(2)/2))/(LN(2)/2)*V151*Y151*VLOOKUP('Données projet'!$B$9,Paramètres!$A$1:$I$89,3,0)*0.475*44/12</f>
        <v>4.3042548795444166E-15</v>
      </c>
      <c r="AC151" s="24">
        <f t="shared" si="111"/>
        <v>26.45324576747733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-1.2414602679200469E-13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224.31750842452965</v>
      </c>
      <c r="AO151" s="62">
        <f t="shared" si="144"/>
        <v>94.125825809616856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70.225042212533694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70.225042212533694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2.2737367544323206E-13</v>
      </c>
      <c r="O152" s="14">
        <f>N152*VLOOKUP('Données projet'!$B$9,Paramètres!$A$1:$I$89,3,0)*VLOOKUP('Données projet'!$B$9,Paramètres!$A$1:$I$89,5,0)</f>
        <v>1.3596945791505279E-13</v>
      </c>
      <c r="P152" s="14">
        <f t="shared" si="141"/>
        <v>1.9708830566360721E-12</v>
      </c>
      <c r="Q152" s="22">
        <f t="shared" si="108"/>
        <v>3.669434796176543E-12</v>
      </c>
      <c r="R152" s="62">
        <f t="shared" si="109"/>
        <v>293.33333333333701</v>
      </c>
      <c r="S152" s="62">
        <f ca="1">AVERAGE(OFFSET($R$3,0,0,'Données projet'!$E$9+1,1))-AVERAGE(OFFSET($H$3,0,0,'Données projet'!$E$9+1,1))</f>
        <v>234.60993819620847</v>
      </c>
      <c r="T152" s="62">
        <f t="shared" si="142"/>
        <v>346.26896655159095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24.728349415340976</v>
      </c>
      <c r="AA152" s="23">
        <f>EXP(-LN(2)/25)*AA151+(1-EXP(-LN(2)/25))/(LN(2)/25)*Calculateur!V152*Calculateur!X152*VLOOKUP('Données projet'!$B$9,Paramètres!$A$1:$I$89,3,0)*0.475*44/12</f>
        <v>1.1966472326330548</v>
      </c>
      <c r="AB152" s="23">
        <f>EXP(-LN(2)/2)*AB151+(1-EXP(-LN(2)/2))/(LN(2)/2)*V152*Y152*VLOOKUP('Données projet'!$B$9,Paramètres!$A$1:$I$89,3,0)*0.475*44/12</f>
        <v>3.0435678132811434E-15</v>
      </c>
      <c r="AC152" s="24">
        <f t="shared" si="111"/>
        <v>25.924996647974034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-1.2414602679200469E-13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224.31750842452965</v>
      </c>
      <c r="AO152" s="62">
        <f t="shared" si="144"/>
        <v>94.125825809616856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68.847971967792247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68.847971967792247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2.2737367544323206E-13</v>
      </c>
      <c r="O153" s="14">
        <f>N153*VLOOKUP('Données projet'!$B$9,Paramètres!$A$1:$I$89,3,0)*VLOOKUP('Données projet'!$B$9,Paramètres!$A$1:$I$89,5,0)</f>
        <v>1.3596945791505279E-13</v>
      </c>
      <c r="P153" s="14">
        <f t="shared" si="141"/>
        <v>1.9708830566360721E-12</v>
      </c>
      <c r="Q153" s="22">
        <f t="shared" si="108"/>
        <v>3.669434796176543E-12</v>
      </c>
      <c r="R153" s="62">
        <f t="shared" si="109"/>
        <v>293.33333333333701</v>
      </c>
      <c r="S153" s="62">
        <f ca="1">AVERAGE(OFFSET($R$3,0,0,'Données projet'!$E$9+1,1))-AVERAGE(OFFSET($H$3,0,0,'Données projet'!$E$9+1,1))</f>
        <v>234.60993819620847</v>
      </c>
      <c r="T153" s="62">
        <f t="shared" si="142"/>
        <v>346.26896655159095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24.243441566109979</v>
      </c>
      <c r="AA153" s="23">
        <f>EXP(-LN(2)/25)*AA152+(1-EXP(-LN(2)/25))/(LN(2)/25)*Calculateur!V153*Calculateur!X153*VLOOKUP('Données projet'!$B$9,Paramètres!$A$1:$I$89,3,0)*0.475*44/12</f>
        <v>1.1639248511277609</v>
      </c>
      <c r="AB153" s="23">
        <f>EXP(-LN(2)/2)*AB152+(1-EXP(-LN(2)/2))/(LN(2)/2)*V153*Y153*VLOOKUP('Données projet'!$B$9,Paramètres!$A$1:$I$89,3,0)*0.475*44/12</f>
        <v>2.1521274397722083E-15</v>
      </c>
      <c r="AC153" s="24">
        <f t="shared" si="111"/>
        <v>25.407366417237743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-1.2414602679200469E-13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224.31750842452965</v>
      </c>
      <c r="AO153" s="62">
        <f t="shared" si="144"/>
        <v>94.125825809616856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67.497905230620262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67.497905230620262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2.2737367544323206E-13</v>
      </c>
      <c r="O154" s="14">
        <f>N154*VLOOKUP('Données projet'!$B$9,Paramètres!$A$1:$I$89,3,0)*VLOOKUP('Données projet'!$B$9,Paramètres!$A$1:$I$89,5,0)</f>
        <v>1.3596945791505279E-13</v>
      </c>
      <c r="P154" s="14">
        <f t="shared" si="141"/>
        <v>1.9708830566360721E-12</v>
      </c>
      <c r="Q154" s="22">
        <f t="shared" ref="Q154:Q203" si="162">(O154+P154)*0.475*44/12</f>
        <v>3.669434796176543E-12</v>
      </c>
      <c r="R154" s="62">
        <f t="shared" si="109"/>
        <v>293.33333333333701</v>
      </c>
      <c r="S154" s="62">
        <f ca="1">AVERAGE(OFFSET($R$3,0,0,'Données projet'!$E$9+1,1))-AVERAGE(OFFSET($H$3,0,0,'Données projet'!$E$9+1,1))</f>
        <v>234.60993819620847</v>
      </c>
      <c r="T154" s="62">
        <f t="shared" si="142"/>
        <v>346.26896655159095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23.768042464037819</v>
      </c>
      <c r="AA154" s="23">
        <f>EXP(-LN(2)/25)*AA153+(1-EXP(-LN(2)/25))/(LN(2)/25)*Calculateur!V154*Calculateur!X154*VLOOKUP('Données projet'!$B$9,Paramètres!$A$1:$I$89,3,0)*0.475*44/12</f>
        <v>1.1320972648655245</v>
      </c>
      <c r="AB154" s="23">
        <f>EXP(-LN(2)/2)*AB153+(1-EXP(-LN(2)/2))/(LN(2)/2)*V154*Y154*VLOOKUP('Données projet'!$B$9,Paramètres!$A$1:$I$89,3,0)*0.475*44/12</f>
        <v>1.5217839066405717E-15</v>
      </c>
      <c r="AC154" s="24">
        <f t="shared" ref="AC154:AC203" si="163">SUM(Z154:AB154)</f>
        <v>24.900139728903344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-1.2414602679200469E-13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224.31750842452965</v>
      </c>
      <c r="AO154" s="62">
        <f t="shared" si="144"/>
        <v>94.125825809616856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66.17431247870482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66.17431247870482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2.2737367544323206E-13</v>
      </c>
      <c r="O155" s="14">
        <f>N155*VLOOKUP('Données projet'!$B$9,Paramètres!$A$1:$I$89,3,0)*VLOOKUP('Données projet'!$B$9,Paramètres!$A$1:$I$89,5,0)</f>
        <v>1.3596945791505279E-13</v>
      </c>
      <c r="P155" s="14">
        <f t="shared" si="141"/>
        <v>1.9708830566360721E-12</v>
      </c>
      <c r="Q155" s="22">
        <f t="shared" si="162"/>
        <v>3.669434796176543E-12</v>
      </c>
      <c r="R155" s="62">
        <f t="shared" si="109"/>
        <v>293.33333333333701</v>
      </c>
      <c r="S155" s="62">
        <f ca="1">AVERAGE(OFFSET($R$3,0,0,'Données projet'!$E$9+1,1))-AVERAGE(OFFSET($H$3,0,0,'Données projet'!$E$9+1,1))</f>
        <v>234.60993819620847</v>
      </c>
      <c r="T155" s="62">
        <f t="shared" si="142"/>
        <v>346.26896655159095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23.301965648392475</v>
      </c>
      <c r="AA155" s="23">
        <f>EXP(-LN(2)/25)*AA154+(1-EXP(-LN(2)/25))/(LN(2)/25)*Calculateur!V155*Calculateur!X155*VLOOKUP('Données projet'!$B$9,Paramètres!$A$1:$I$89,3,0)*0.475*44/12</f>
        <v>1.1011400056233691</v>
      </c>
      <c r="AB155" s="23">
        <f>EXP(-LN(2)/2)*AB154+(1-EXP(-LN(2)/2))/(LN(2)/2)*V155*Y155*VLOOKUP('Données projet'!$B$9,Paramètres!$A$1:$I$89,3,0)*0.475*44/12</f>
        <v>1.0760637198861042E-15</v>
      </c>
      <c r="AC155" s="24">
        <f t="shared" si="163"/>
        <v>24.403105654015842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-1.2414602679200469E-13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224.31750842452965</v>
      </c>
      <c r="AO155" s="62">
        <f t="shared" si="144"/>
        <v>94.125825809616856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64.876674573342584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64.876674573342584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2.2737367544323206E-13</v>
      </c>
      <c r="O156" s="14">
        <f>N156*VLOOKUP('Données projet'!$B$9,Paramètres!$A$1:$I$89,3,0)*VLOOKUP('Données projet'!$B$9,Paramètres!$A$1:$I$89,5,0)</f>
        <v>1.3596945791505279E-13</v>
      </c>
      <c r="P156" s="14">
        <f t="shared" si="141"/>
        <v>1.9708830566360721E-12</v>
      </c>
      <c r="Q156" s="22">
        <f t="shared" si="162"/>
        <v>3.669434796176543E-12</v>
      </c>
      <c r="R156" s="62">
        <f t="shared" si="109"/>
        <v>293.33333333333701</v>
      </c>
      <c r="S156" s="62">
        <f ca="1">AVERAGE(OFFSET($R$3,0,0,'Données projet'!$E$9+1,1))-AVERAGE(OFFSET($H$3,0,0,'Données projet'!$E$9+1,1))</f>
        <v>234.60993819620847</v>
      </c>
      <c r="T156" s="62">
        <f t="shared" si="142"/>
        <v>346.26896655159095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22.845028314823146</v>
      </c>
      <c r="AA156" s="23">
        <f>EXP(-LN(2)/25)*AA155+(1-EXP(-LN(2)/25))/(LN(2)/25)*Calculateur!V156*Calculateur!X156*VLOOKUP('Données projet'!$B$9,Paramètres!$A$1:$I$89,3,0)*0.475*44/12</f>
        <v>1.071029274263162</v>
      </c>
      <c r="AB156" s="23">
        <f>EXP(-LN(2)/2)*AB155+(1-EXP(-LN(2)/2))/(LN(2)/2)*V156*Y156*VLOOKUP('Données projet'!$B$9,Paramètres!$A$1:$I$89,3,0)*0.475*44/12</f>
        <v>7.6089195332028584E-16</v>
      </c>
      <c r="AC156" s="24">
        <f t="shared" si="163"/>
        <v>23.916057589086307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-1.2414602679200469E-13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224.31750842452965</v>
      </c>
      <c r="AO156" s="62">
        <f t="shared" si="144"/>
        <v>94.125825809616856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63.60448255582353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63.60448255582353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2.2737367544323206E-13</v>
      </c>
      <c r="O157" s="14">
        <f>N157*VLOOKUP('Données projet'!$B$9,Paramètres!$A$1:$I$89,3,0)*VLOOKUP('Données projet'!$B$9,Paramètres!$A$1:$I$89,5,0)</f>
        <v>1.3596945791505279E-13</v>
      </c>
      <c r="P157" s="14">
        <f t="shared" si="141"/>
        <v>1.9708830566360721E-12</v>
      </c>
      <c r="Q157" s="22">
        <f t="shared" si="162"/>
        <v>3.669434796176543E-12</v>
      </c>
      <c r="R157" s="62">
        <f t="shared" si="109"/>
        <v>293.33333333333701</v>
      </c>
      <c r="S157" s="62">
        <f ca="1">AVERAGE(OFFSET($R$3,0,0,'Données projet'!$E$9+1,1))-AVERAGE(OFFSET($H$3,0,0,'Données projet'!$E$9+1,1))</f>
        <v>234.60993819620847</v>
      </c>
      <c r="T157" s="62">
        <f t="shared" si="142"/>
        <v>346.26896655159095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22.397051243660858</v>
      </c>
      <c r="AA157" s="23">
        <f>EXP(-LN(2)/25)*AA156+(1-EXP(-LN(2)/25))/(LN(2)/25)*Calculateur!V157*Calculateur!X157*VLOOKUP('Données projet'!$B$9,Paramètres!$A$1:$I$89,3,0)*0.475*44/12</f>
        <v>1.041741922435454</v>
      </c>
      <c r="AB157" s="23">
        <f>EXP(-LN(2)/2)*AB156+(1-EXP(-LN(2)/2))/(LN(2)/2)*V157*Y157*VLOOKUP('Données projet'!$B$9,Paramètres!$A$1:$I$89,3,0)*0.475*44/12</f>
        <v>5.3803185994305208E-16</v>
      </c>
      <c r="AC157" s="24">
        <f t="shared" si="163"/>
        <v>23.43879316609631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-1.2414602679200469E-13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224.31750842452965</v>
      </c>
      <c r="AO157" s="62">
        <f t="shared" si="144"/>
        <v>94.125825809616856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62.357237447807513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62.357237447807513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2.2737367544323206E-13</v>
      </c>
      <c r="O158" s="14">
        <f>N158*VLOOKUP('Données projet'!$B$9,Paramètres!$A$1:$I$89,3,0)*VLOOKUP('Données projet'!$B$9,Paramètres!$A$1:$I$89,5,0)</f>
        <v>1.3596945791505279E-13</v>
      </c>
      <c r="P158" s="14">
        <f t="shared" si="141"/>
        <v>1.9708830566360721E-12</v>
      </c>
      <c r="Q158" s="22">
        <f t="shared" si="162"/>
        <v>3.669434796176543E-12</v>
      </c>
      <c r="R158" s="62">
        <f t="shared" si="109"/>
        <v>293.33333333333701</v>
      </c>
      <c r="S158" s="62">
        <f ca="1">AVERAGE(OFFSET($R$3,0,0,'Données projet'!$E$9+1,1))-AVERAGE(OFFSET($H$3,0,0,'Données projet'!$E$9+1,1))</f>
        <v>234.60993819620847</v>
      </c>
      <c r="T158" s="62">
        <f t="shared" si="142"/>
        <v>346.26896655159095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21.95785872962503</v>
      </c>
      <c r="AA158" s="23">
        <f>EXP(-LN(2)/25)*AA157+(1-EXP(-LN(2)/25))/(LN(2)/25)*Calculateur!V158*Calculateur!X158*VLOOKUP('Données projet'!$B$9,Paramètres!$A$1:$I$89,3,0)*0.475*44/12</f>
        <v>1.0132554347836298</v>
      </c>
      <c r="AB158" s="23">
        <f>EXP(-LN(2)/2)*AB157+(1-EXP(-LN(2)/2))/(LN(2)/2)*V158*Y158*VLOOKUP('Données projet'!$B$9,Paramètres!$A$1:$I$89,3,0)*0.475*44/12</f>
        <v>3.8044597666014292E-16</v>
      </c>
      <c r="AC158" s="24">
        <f t="shared" si="163"/>
        <v>22.971114164408661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-1.2414602679200469E-13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224.31750842452965</v>
      </c>
      <c r="AO158" s="62">
        <f t="shared" si="144"/>
        <v>94.125825809616856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61.134450055615289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61.134450055615289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2.2737367544323206E-13</v>
      </c>
      <c r="O159" s="14">
        <f>N159*VLOOKUP('Données projet'!$B$9,Paramètres!$A$1:$I$89,3,0)*VLOOKUP('Données projet'!$B$9,Paramètres!$A$1:$I$89,5,0)</f>
        <v>1.3596945791505279E-13</v>
      </c>
      <c r="P159" s="14">
        <f t="shared" si="141"/>
        <v>1.9708830566360721E-12</v>
      </c>
      <c r="Q159" s="22">
        <f t="shared" si="162"/>
        <v>3.669434796176543E-12</v>
      </c>
      <c r="R159" s="62">
        <f t="shared" si="109"/>
        <v>293.33333333333701</v>
      </c>
      <c r="S159" s="62">
        <f ca="1">AVERAGE(OFFSET($R$3,0,0,'Données projet'!$E$9+1,1))-AVERAGE(OFFSET($H$3,0,0,'Données projet'!$E$9+1,1))</f>
        <v>234.60993819620847</v>
      </c>
      <c r="T159" s="62">
        <f t="shared" si="142"/>
        <v>346.26896655159095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21.527278512908463</v>
      </c>
      <c r="AA159" s="23">
        <f>EXP(-LN(2)/25)*AA158+(1-EXP(-LN(2)/25))/(LN(2)/25)*Calculateur!V159*Calculateur!X159*VLOOKUP('Données projet'!$B$9,Paramètres!$A$1:$I$89,3,0)*0.475*44/12</f>
        <v>0.98554791163468392</v>
      </c>
      <c r="AB159" s="23">
        <f>EXP(-LN(2)/2)*AB158+(1-EXP(-LN(2)/2))/(LN(2)/2)*V159*Y159*VLOOKUP('Données projet'!$B$9,Paramètres!$A$1:$I$89,3,0)*0.475*44/12</f>
        <v>2.6901592997152604E-16</v>
      </c>
      <c r="AC159" s="24">
        <f t="shared" si="163"/>
        <v>22.512826424543146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-1.2414602679200469E-13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224.31750842452965</v>
      </c>
      <c r="AO159" s="62">
        <f t="shared" si="144"/>
        <v>94.125825809616856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59.935640778357289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59.935640778357289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2.2737367544323206E-13</v>
      </c>
      <c r="O160" s="14">
        <f>N160*VLOOKUP('Données projet'!$B$9,Paramètres!$A$1:$I$89,3,0)*VLOOKUP('Données projet'!$B$9,Paramètres!$A$1:$I$89,5,0)</f>
        <v>1.3596945791505279E-13</v>
      </c>
      <c r="P160" s="14">
        <f t="shared" si="141"/>
        <v>1.9708830566360721E-12</v>
      </c>
      <c r="Q160" s="22">
        <f t="shared" si="162"/>
        <v>3.669434796176543E-12</v>
      </c>
      <c r="R160" s="62">
        <f t="shared" si="109"/>
        <v>293.33333333333701</v>
      </c>
      <c r="S160" s="62">
        <f ca="1">AVERAGE(OFFSET($R$3,0,0,'Données projet'!$E$9+1,1))-AVERAGE(OFFSET($H$3,0,0,'Données projet'!$E$9+1,1))</f>
        <v>234.60993819620847</v>
      </c>
      <c r="T160" s="62">
        <f t="shared" si="142"/>
        <v>346.26896655159095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21.105141711613708</v>
      </c>
      <c r="AA160" s="23">
        <f>EXP(-LN(2)/25)*AA159+(1-EXP(-LN(2)/25))/(LN(2)/25)*Calculateur!V160*Calculateur!X160*VLOOKUP('Données projet'!$B$9,Paramètres!$A$1:$I$89,3,0)*0.475*44/12</f>
        <v>0.95859805216332128</v>
      </c>
      <c r="AB160" s="23">
        <f>EXP(-LN(2)/2)*AB159+(1-EXP(-LN(2)/2))/(LN(2)/2)*V160*Y160*VLOOKUP('Données projet'!$B$9,Paramètres!$A$1:$I$89,3,0)*0.475*44/12</f>
        <v>1.9022298833007146E-16</v>
      </c>
      <c r="AC160" s="24">
        <f t="shared" si="163"/>
        <v>22.063739763777029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-1.2414602679200469E-13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224.31750842452965</v>
      </c>
      <c r="AO160" s="62">
        <f t="shared" si="144"/>
        <v>94.125825809616856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58.760339419824859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58.760339419824859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2.2737367544323206E-13</v>
      </c>
      <c r="O161" s="14">
        <f>N161*VLOOKUP('Données projet'!$B$9,Paramètres!$A$1:$I$89,3,0)*VLOOKUP('Données projet'!$B$9,Paramètres!$A$1:$I$89,5,0)</f>
        <v>1.3596945791505279E-13</v>
      </c>
      <c r="P161" s="14">
        <f t="shared" si="141"/>
        <v>1.9708830566360721E-12</v>
      </c>
      <c r="Q161" s="22">
        <f t="shared" si="162"/>
        <v>3.669434796176543E-12</v>
      </c>
      <c r="R161" s="62">
        <f t="shared" si="109"/>
        <v>293.33333333333701</v>
      </c>
      <c r="S161" s="62">
        <f ca="1">AVERAGE(OFFSET($R$3,0,0,'Données projet'!$E$9+1,1))-AVERAGE(OFFSET($H$3,0,0,'Données projet'!$E$9+1,1))</f>
        <v>234.60993819620847</v>
      </c>
      <c r="T161" s="62">
        <f t="shared" si="142"/>
        <v>346.26896655159095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20.691282755514319</v>
      </c>
      <c r="AA161" s="23">
        <f>EXP(-LN(2)/25)*AA160+(1-EXP(-LN(2)/25))/(LN(2)/25)*Calculateur!V161*Calculateur!X161*VLOOKUP('Données projet'!$B$9,Paramètres!$A$1:$I$89,3,0)*0.475*44/12</f>
        <v>0.93238513801643463</v>
      </c>
      <c r="AB161" s="23">
        <f>EXP(-LN(2)/2)*AB160+(1-EXP(-LN(2)/2))/(LN(2)/2)*V161*Y161*VLOOKUP('Données projet'!$B$9,Paramètres!$A$1:$I$89,3,0)*0.475*44/12</f>
        <v>1.3450796498576302E-16</v>
      </c>
      <c r="AC161" s="24">
        <f t="shared" si="163"/>
        <v>21.623667893530754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-1.2414602679200469E-13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224.31750842452965</v>
      </c>
      <c r="AO161" s="62">
        <f t="shared" si="144"/>
        <v>94.125825809616856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57.608085004070205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57.608085004070205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2.2737367544323206E-13</v>
      </c>
      <c r="O162" s="14">
        <f>N162*VLOOKUP('Données projet'!$B$9,Paramètres!$A$1:$I$89,3,0)*VLOOKUP('Données projet'!$B$9,Paramètres!$A$1:$I$89,5,0)</f>
        <v>1.3596945791505279E-13</v>
      </c>
      <c r="P162" s="14">
        <f t="shared" si="141"/>
        <v>1.9708830566360721E-12</v>
      </c>
      <c r="Q162" s="22">
        <f t="shared" si="162"/>
        <v>3.669434796176543E-12</v>
      </c>
      <c r="R162" s="62">
        <f t="shared" si="109"/>
        <v>293.33333333333701</v>
      </c>
      <c r="S162" s="62">
        <f ca="1">AVERAGE(OFFSET($R$3,0,0,'Données projet'!$E$9+1,1))-AVERAGE(OFFSET($H$3,0,0,'Données projet'!$E$9+1,1))</f>
        <v>234.60993819620847</v>
      </c>
      <c r="T162" s="62">
        <f t="shared" si="142"/>
        <v>346.26896655159095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20.285539321114999</v>
      </c>
      <c r="AA162" s="23">
        <f>EXP(-LN(2)/25)*AA161+(1-EXP(-LN(2)/25))/(LN(2)/25)*Calculateur!V162*Calculateur!X162*VLOOKUP('Données projet'!$B$9,Paramètres!$A$1:$I$89,3,0)*0.475*44/12</f>
        <v>0.90688901738537187</v>
      </c>
      <c r="AB162" s="23">
        <f>EXP(-LN(2)/2)*AB161+(1-EXP(-LN(2)/2))/(LN(2)/2)*V162*Y162*VLOOKUP('Données projet'!$B$9,Paramètres!$A$1:$I$89,3,0)*0.475*44/12</f>
        <v>9.511149416503573E-17</v>
      </c>
      <c r="AC162" s="24">
        <f t="shared" si="163"/>
        <v>21.19242833850037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-1.2414602679200469E-13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224.31750842452965</v>
      </c>
      <c r="AO162" s="62">
        <f t="shared" si="144"/>
        <v>94.125825809616856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56.478425594602705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56.478425594602705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2.2737367544323206E-13</v>
      </c>
      <c r="O163" s="14">
        <f>N163*VLOOKUP('Données projet'!$B$9,Paramètres!$A$1:$I$89,3,0)*VLOOKUP('Données projet'!$B$9,Paramètres!$A$1:$I$89,5,0)</f>
        <v>1.3596945791505279E-13</v>
      </c>
      <c r="P163" s="14">
        <f t="shared" si="141"/>
        <v>1.9708830566360721E-12</v>
      </c>
      <c r="Q163" s="22">
        <f t="shared" si="162"/>
        <v>3.669434796176543E-12</v>
      </c>
      <c r="R163" s="62">
        <f t="shared" si="109"/>
        <v>293.33333333333701</v>
      </c>
      <c r="S163" s="62">
        <f ca="1">AVERAGE(OFFSET($R$3,0,0,'Données projet'!$E$9+1,1))-AVERAGE(OFFSET($H$3,0,0,'Données projet'!$E$9+1,1))</f>
        <v>234.60993819620847</v>
      </c>
      <c r="T163" s="62">
        <f t="shared" si="142"/>
        <v>346.26896655159095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19.887752267985192</v>
      </c>
      <c r="AA163" s="23">
        <f>EXP(-LN(2)/25)*AA162+(1-EXP(-LN(2)/25))/(LN(2)/25)*Calculateur!V163*Calculateur!X163*VLOOKUP('Données projet'!$B$9,Paramètres!$A$1:$I$89,3,0)*0.475*44/12</f>
        <v>0.88209008951374812</v>
      </c>
      <c r="AB163" s="23">
        <f>EXP(-LN(2)/2)*AB162+(1-EXP(-LN(2)/2))/(LN(2)/2)*V163*Y163*VLOOKUP('Données projet'!$B$9,Paramètres!$A$1:$I$89,3,0)*0.475*44/12</f>
        <v>6.725398249288151E-17</v>
      </c>
      <c r="AC163" s="24">
        <f t="shared" si="163"/>
        <v>20.769842357498941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-1.2414602679200469E-13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224.31750842452965</v>
      </c>
      <c r="AO163" s="62">
        <f t="shared" si="144"/>
        <v>94.125825809616856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55.370918117130657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55.370918117130657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2.2737367544323206E-13</v>
      </c>
      <c r="O164" s="14">
        <f>N164*VLOOKUP('Données projet'!$B$9,Paramètres!$A$1:$I$89,3,0)*VLOOKUP('Données projet'!$B$9,Paramètres!$A$1:$I$89,5,0)</f>
        <v>1.3596945791505279E-13</v>
      </c>
      <c r="P164" s="14">
        <f t="shared" si="141"/>
        <v>1.9708830566360721E-12</v>
      </c>
      <c r="Q164" s="22">
        <f t="shared" si="162"/>
        <v>3.669434796176543E-12</v>
      </c>
      <c r="R164" s="62">
        <f t="shared" si="109"/>
        <v>293.33333333333701</v>
      </c>
      <c r="S164" s="62">
        <f ca="1">AVERAGE(OFFSET($R$3,0,0,'Données projet'!$E$9+1,1))-AVERAGE(OFFSET($H$3,0,0,'Données projet'!$E$9+1,1))</f>
        <v>234.60993819620847</v>
      </c>
      <c r="T164" s="62">
        <f t="shared" si="142"/>
        <v>346.26896655159095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19.497765576341116</v>
      </c>
      <c r="AA164" s="23">
        <f>EXP(-LN(2)/25)*AA163+(1-EXP(-LN(2)/25))/(LN(2)/25)*Calculateur!V164*Calculateur!X164*VLOOKUP('Données projet'!$B$9,Paramètres!$A$1:$I$89,3,0)*0.475*44/12</f>
        <v>0.85796928962889296</v>
      </c>
      <c r="AB164" s="23">
        <f>EXP(-LN(2)/2)*AB163+(1-EXP(-LN(2)/2))/(LN(2)/2)*V164*Y164*VLOOKUP('Données projet'!$B$9,Paramètres!$A$1:$I$89,3,0)*0.475*44/12</f>
        <v>4.7555747082517865E-17</v>
      </c>
      <c r="AC164" s="24">
        <f t="shared" si="163"/>
        <v>20.35573486597001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-1.2414602679200469E-13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224.31750842452965</v>
      </c>
      <c r="AO164" s="62">
        <f t="shared" si="144"/>
        <v>94.125825809616856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54.28512818577898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54.28512818577898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2.2737367544323206E-13</v>
      </c>
      <c r="O165" s="14">
        <f>N165*VLOOKUP('Données projet'!$B$9,Paramètres!$A$1:$I$89,3,0)*VLOOKUP('Données projet'!$B$9,Paramètres!$A$1:$I$89,5,0)</f>
        <v>1.3596945791505279E-13</v>
      </c>
      <c r="P165" s="14">
        <f t="shared" si="141"/>
        <v>1.9708830566360721E-12</v>
      </c>
      <c r="Q165" s="22">
        <f t="shared" si="162"/>
        <v>3.669434796176543E-12</v>
      </c>
      <c r="R165" s="62">
        <f t="shared" si="109"/>
        <v>293.33333333333701</v>
      </c>
      <c r="S165" s="62">
        <f ca="1">AVERAGE(OFFSET($R$3,0,0,'Données projet'!$E$9+1,1))-AVERAGE(OFFSET($H$3,0,0,'Données projet'!$E$9+1,1))</f>
        <v>234.60993819620847</v>
      </c>
      <c r="T165" s="62">
        <f t="shared" si="142"/>
        <v>346.26896655159095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19.115426285851786</v>
      </c>
      <c r="AA165" s="23">
        <f>EXP(-LN(2)/25)*AA164+(1-EXP(-LN(2)/25))/(LN(2)/25)*Calculateur!V165*Calculateur!X165*VLOOKUP('Données projet'!$B$9,Paramètres!$A$1:$I$89,3,0)*0.475*44/12</f>
        <v>0.8345080742853469</v>
      </c>
      <c r="AB165" s="23">
        <f>EXP(-LN(2)/2)*AB164+(1-EXP(-LN(2)/2))/(LN(2)/2)*V165*Y165*VLOOKUP('Données projet'!$B$9,Paramètres!$A$1:$I$89,3,0)*0.475*44/12</f>
        <v>3.3626991246440755E-17</v>
      </c>
      <c r="AC165" s="24">
        <f t="shared" si="163"/>
        <v>19.949934360137132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-1.2414602679200469E-13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224.31750842452965</v>
      </c>
      <c r="AO165" s="62">
        <f t="shared" si="144"/>
        <v>94.125825809616856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53.220629932714644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53.220629932714644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2.2737367544323206E-13</v>
      </c>
      <c r="O166" s="14">
        <f>N166*VLOOKUP('Données projet'!$B$9,Paramètres!$A$1:$I$89,3,0)*VLOOKUP('Données projet'!$B$9,Paramètres!$A$1:$I$89,5,0)</f>
        <v>1.3596945791505279E-13</v>
      </c>
      <c r="P166" s="14">
        <f t="shared" si="141"/>
        <v>1.9708830566360721E-12</v>
      </c>
      <c r="Q166" s="22">
        <f t="shared" si="162"/>
        <v>3.669434796176543E-12</v>
      </c>
      <c r="R166" s="62">
        <f t="shared" si="109"/>
        <v>293.33333333333701</v>
      </c>
      <c r="S166" s="62">
        <f ca="1">AVERAGE(OFFSET($R$3,0,0,'Données projet'!$E$9+1,1))-AVERAGE(OFFSET($H$3,0,0,'Données projet'!$E$9+1,1))</f>
        <v>234.60993819620847</v>
      </c>
      <c r="T166" s="62">
        <f t="shared" si="142"/>
        <v>346.26896655159095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18.740584435645012</v>
      </c>
      <c r="AA166" s="23">
        <f>EXP(-LN(2)/25)*AA165+(1-EXP(-LN(2)/25))/(LN(2)/25)*Calculateur!V166*Calculateur!X166*VLOOKUP('Données projet'!$B$9,Paramètres!$A$1:$I$89,3,0)*0.475*44/12</f>
        <v>0.81168840710914181</v>
      </c>
      <c r="AB166" s="23">
        <f>EXP(-LN(2)/2)*AB165+(1-EXP(-LN(2)/2))/(LN(2)/2)*V166*Y166*VLOOKUP('Données projet'!$B$9,Paramètres!$A$1:$I$89,3,0)*0.475*44/12</f>
        <v>2.3777873541258932E-17</v>
      </c>
      <c r="AC166" s="24">
        <f t="shared" si="163"/>
        <v>19.552272842754153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-1.2414602679200469E-13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224.31750842452965</v>
      </c>
      <c r="AO166" s="62">
        <f t="shared" si="144"/>
        <v>94.125825809616856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52.177005841113072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52.177005841113072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2.2737367544323206E-13</v>
      </c>
      <c r="O167" s="14">
        <f>N167*VLOOKUP('Données projet'!$B$9,Paramètres!$A$1:$I$89,3,0)*VLOOKUP('Données projet'!$B$9,Paramètres!$A$1:$I$89,5,0)</f>
        <v>1.3596945791505279E-13</v>
      </c>
      <c r="P167" s="14">
        <f t="shared" si="141"/>
        <v>1.9708830566360721E-12</v>
      </c>
      <c r="Q167" s="22">
        <f t="shared" si="162"/>
        <v>3.669434796176543E-12</v>
      </c>
      <c r="R167" s="62">
        <f t="shared" si="109"/>
        <v>293.33333333333701</v>
      </c>
      <c r="S167" s="62">
        <f ca="1">AVERAGE(OFFSET($R$3,0,0,'Données projet'!$E$9+1,1))-AVERAGE(OFFSET($H$3,0,0,'Données projet'!$E$9+1,1))</f>
        <v>234.60993819620847</v>
      </c>
      <c r="T167" s="62">
        <f t="shared" si="142"/>
        <v>346.26896655159095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18.373093005489839</v>
      </c>
      <c r="AA167" s="23">
        <f>EXP(-LN(2)/25)*AA166+(1-EXP(-LN(2)/25))/(LN(2)/25)*Calculateur!V167*Calculateur!X167*VLOOKUP('Données projet'!$B$9,Paramètres!$A$1:$I$89,3,0)*0.475*44/12</f>
        <v>0.78949274493190413</v>
      </c>
      <c r="AB167" s="23">
        <f>EXP(-LN(2)/2)*AB166+(1-EXP(-LN(2)/2))/(LN(2)/2)*V167*Y167*VLOOKUP('Données projet'!$B$9,Paramètres!$A$1:$I$89,3,0)*0.475*44/12</f>
        <v>1.6813495623220378E-17</v>
      </c>
      <c r="AC167" s="24">
        <f t="shared" si="163"/>
        <v>19.162585750421744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-1.2414602679200469E-13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224.31750842452965</v>
      </c>
      <c r="AO167" s="62">
        <f t="shared" si="144"/>
        <v>94.125825809616856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51.153846581399968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51.153846581399968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2.2737367544323206E-13</v>
      </c>
      <c r="O168" s="14">
        <f>N168*VLOOKUP('Données projet'!$B$9,Paramètres!$A$1:$I$89,3,0)*VLOOKUP('Données projet'!$B$9,Paramètres!$A$1:$I$89,5,0)</f>
        <v>1.3596945791505279E-13</v>
      </c>
      <c r="P168" s="14">
        <f t="shared" si="141"/>
        <v>1.9708830566360721E-12</v>
      </c>
      <c r="Q168" s="22">
        <f t="shared" si="162"/>
        <v>3.669434796176543E-12</v>
      </c>
      <c r="R168" s="62">
        <f t="shared" si="109"/>
        <v>293.33333333333701</v>
      </c>
      <c r="S168" s="62">
        <f ca="1">AVERAGE(OFFSET($R$3,0,0,'Données projet'!$E$9+1,1))-AVERAGE(OFFSET($H$3,0,0,'Données projet'!$E$9+1,1))</f>
        <v>234.60993819620847</v>
      </c>
      <c r="T168" s="62">
        <f t="shared" si="142"/>
        <v>346.26896655159095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18.012807858132369</v>
      </c>
      <c r="AA168" s="23">
        <f>EXP(-LN(2)/25)*AA167+(1-EXP(-LN(2)/25))/(LN(2)/25)*Calculateur!V168*Calculateur!X168*VLOOKUP('Données projet'!$B$9,Paramètres!$A$1:$I$89,3,0)*0.475*44/12</f>
        <v>0.76790402430412219</v>
      </c>
      <c r="AB168" s="23">
        <f>EXP(-LN(2)/2)*AB167+(1-EXP(-LN(2)/2))/(LN(2)/2)*V168*Y168*VLOOKUP('Données projet'!$B$9,Paramètres!$A$1:$I$89,3,0)*0.475*44/12</f>
        <v>1.1888936770629466E-17</v>
      </c>
      <c r="AC168" s="24">
        <f t="shared" si="163"/>
        <v>18.780711882436492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-1.2414602679200469E-13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224.31750842452965</v>
      </c>
      <c r="AO168" s="62">
        <f t="shared" si="144"/>
        <v>94.125825809616856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50.150750850704313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50.150750850704313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2.2737367544323206E-13</v>
      </c>
      <c r="O169" s="14">
        <f>N169*VLOOKUP('Données projet'!$B$9,Paramètres!$A$1:$I$89,3,0)*VLOOKUP('Données projet'!$B$9,Paramètres!$A$1:$I$89,5,0)</f>
        <v>1.3596945791505279E-13</v>
      </c>
      <c r="P169" s="14">
        <f t="shared" si="141"/>
        <v>1.9708830566360721E-12</v>
      </c>
      <c r="Q169" s="22">
        <f t="shared" si="162"/>
        <v>3.669434796176543E-12</v>
      </c>
      <c r="R169" s="62">
        <f t="shared" si="109"/>
        <v>293.33333333333701</v>
      </c>
      <c r="S169" s="62">
        <f ca="1">AVERAGE(OFFSET($R$3,0,0,'Données projet'!$E$9+1,1))-AVERAGE(OFFSET($H$3,0,0,'Données projet'!$E$9+1,1))</f>
        <v>234.60993819620847</v>
      </c>
      <c r="T169" s="62">
        <f t="shared" si="142"/>
        <v>346.26896655159095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17.659587682762339</v>
      </c>
      <c r="AA169" s="23">
        <f>EXP(-LN(2)/25)*AA168+(1-EXP(-LN(2)/25))/(LN(2)/25)*Calculateur!V169*Calculateur!X169*VLOOKUP('Données projet'!$B$9,Paramètres!$A$1:$I$89,3,0)*0.475*44/12</f>
        <v>0.74690564837720841</v>
      </c>
      <c r="AB169" s="23">
        <f>EXP(-LN(2)/2)*AB168+(1-EXP(-LN(2)/2))/(LN(2)/2)*V169*Y169*VLOOKUP('Données projet'!$B$9,Paramètres!$A$1:$I$89,3,0)*0.475*44/12</f>
        <v>8.4067478116101888E-18</v>
      </c>
      <c r="AC169" s="24">
        <f t="shared" si="163"/>
        <v>18.406493331139547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-1.2414602679200469E-13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224.31750842452965</v>
      </c>
      <c r="AO169" s="62">
        <f t="shared" si="144"/>
        <v>94.125825809616856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49.167325215459613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49.167325215459613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2.2737367544323206E-13</v>
      </c>
      <c r="O170" s="14">
        <f>N170*VLOOKUP('Données projet'!$B$9,Paramètres!$A$1:$I$89,3,0)*VLOOKUP('Données projet'!$B$9,Paramètres!$A$1:$I$89,5,0)</f>
        <v>1.3596945791505279E-13</v>
      </c>
      <c r="P170" s="14">
        <f t="shared" si="141"/>
        <v>1.9708830566360721E-12</v>
      </c>
      <c r="Q170" s="22">
        <f t="shared" si="162"/>
        <v>3.669434796176543E-12</v>
      </c>
      <c r="R170" s="62">
        <f t="shared" si="109"/>
        <v>293.33333333333701</v>
      </c>
      <c r="S170" s="62">
        <f ca="1">AVERAGE(OFFSET($R$3,0,0,'Données projet'!$E$9+1,1))-AVERAGE(OFFSET($H$3,0,0,'Données projet'!$E$9+1,1))</f>
        <v>234.60993819620847</v>
      </c>
      <c r="T170" s="62">
        <f t="shared" si="142"/>
        <v>346.26896655159095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17.313293939588281</v>
      </c>
      <c r="AA170" s="23">
        <f>EXP(-LN(2)/25)*AA169+(1-EXP(-LN(2)/25))/(LN(2)/25)*Calculateur!V170*Calculateur!X170*VLOOKUP('Données projet'!$B$9,Paramètres!$A$1:$I$89,3,0)*0.475*44/12</f>
        <v>0.72648147414427267</v>
      </c>
      <c r="AB170" s="23">
        <f>EXP(-LN(2)/2)*AB169+(1-EXP(-LN(2)/2))/(LN(2)/2)*V170*Y170*VLOOKUP('Données projet'!$B$9,Paramètres!$A$1:$I$89,3,0)*0.475*44/12</f>
        <v>5.9444683853147331E-18</v>
      </c>
      <c r="AC170" s="24">
        <f t="shared" si="163"/>
        <v>18.039775413732553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-1.2414602679200469E-13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224.31750842452965</v>
      </c>
      <c r="AO170" s="62">
        <f t="shared" si="144"/>
        <v>94.125825809616856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48.203183957091653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48.203183957091653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2.2737367544323206E-13</v>
      </c>
      <c r="O171" s="14">
        <f>N171*VLOOKUP('Données projet'!$B$9,Paramètres!$A$1:$I$89,3,0)*VLOOKUP('Données projet'!$B$9,Paramètres!$A$1:$I$89,5,0)</f>
        <v>1.3596945791505279E-13</v>
      </c>
      <c r="P171" s="14">
        <f t="shared" si="141"/>
        <v>1.9708830566360721E-12</v>
      </c>
      <c r="Q171" s="22">
        <f t="shared" si="162"/>
        <v>3.669434796176543E-12</v>
      </c>
      <c r="R171" s="62">
        <f t="shared" si="109"/>
        <v>293.33333333333701</v>
      </c>
      <c r="S171" s="62">
        <f ca="1">AVERAGE(OFFSET($R$3,0,0,'Données projet'!$E$9+1,1))-AVERAGE(OFFSET($H$3,0,0,'Données projet'!$E$9+1,1))</f>
        <v>234.60993819620847</v>
      </c>
      <c r="T171" s="62">
        <f t="shared" si="142"/>
        <v>346.26896655159095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16.973790805499537</v>
      </c>
      <c r="AA171" s="23">
        <f>EXP(-LN(2)/25)*AA170+(1-EXP(-LN(2)/25))/(LN(2)/25)*Calculateur!V171*Calculateur!X171*VLOOKUP('Données projet'!$B$9,Paramètres!$A$1:$I$89,3,0)*0.475*44/12</f>
        <v>0.70661580002979718</v>
      </c>
      <c r="AB171" s="23">
        <f>EXP(-LN(2)/2)*AB170+(1-EXP(-LN(2)/2))/(LN(2)/2)*V171*Y171*VLOOKUP('Données projet'!$B$9,Paramètres!$A$1:$I$89,3,0)*0.475*44/12</f>
        <v>4.2033739058050944E-18</v>
      </c>
      <c r="AC171" s="24">
        <f t="shared" si="163"/>
        <v>17.680406605529335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-1.2414602679200469E-13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224.31750842452965</v>
      </c>
      <c r="AO171" s="62">
        <f t="shared" si="144"/>
        <v>94.125825809616856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47.25794892073219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47.25794892073219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2.2737367544323206E-13</v>
      </c>
      <c r="O172" s="14">
        <f>N172*VLOOKUP('Données projet'!$B$9,Paramètres!$A$1:$I$89,3,0)*VLOOKUP('Données projet'!$B$9,Paramètres!$A$1:$I$89,5,0)</f>
        <v>1.3596945791505279E-13</v>
      </c>
      <c r="P172" s="14">
        <f t="shared" si="141"/>
        <v>1.9708830566360721E-12</v>
      </c>
      <c r="Q172" s="22">
        <f t="shared" si="162"/>
        <v>3.669434796176543E-12</v>
      </c>
      <c r="R172" s="62">
        <f t="shared" si="109"/>
        <v>293.33333333333701</v>
      </c>
      <c r="S172" s="62">
        <f ca="1">AVERAGE(OFFSET($R$3,0,0,'Données projet'!$E$9+1,1))-AVERAGE(OFFSET($H$3,0,0,'Données projet'!$E$9+1,1))</f>
        <v>234.60993819620847</v>
      </c>
      <c r="T172" s="62">
        <f t="shared" si="142"/>
        <v>346.26896655159095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16.640945120793809</v>
      </c>
      <c r="AA172" s="23">
        <f>EXP(-LN(2)/25)*AA171+(1-EXP(-LN(2)/25))/(LN(2)/25)*Calculateur!V172*Calculateur!X172*VLOOKUP('Données projet'!$B$9,Paramètres!$A$1:$I$89,3,0)*0.475*44/12</f>
        <v>0.6872933538186724</v>
      </c>
      <c r="AB172" s="23">
        <f>EXP(-LN(2)/2)*AB171+(1-EXP(-LN(2)/2))/(LN(2)/2)*V172*Y172*VLOOKUP('Données projet'!$B$9,Paramètres!$A$1:$I$89,3,0)*0.475*44/12</f>
        <v>2.9722341926573666E-18</v>
      </c>
      <c r="AC172" s="24">
        <f t="shared" si="163"/>
        <v>17.32823847461248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-1.2414602679200469E-13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224.31750842452965</v>
      </c>
      <c r="AO172" s="62">
        <f t="shared" si="144"/>
        <v>94.125825809616856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46.331249366899293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46.331249366899293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2.2737367544323206E-13</v>
      </c>
      <c r="O173" s="14">
        <f>N173*VLOOKUP('Données projet'!$B$9,Paramètres!$A$1:$I$89,3,0)*VLOOKUP('Données projet'!$B$9,Paramètres!$A$1:$I$89,5,0)</f>
        <v>1.3596945791505279E-13</v>
      </c>
      <c r="P173" s="14">
        <f t="shared" si="141"/>
        <v>1.9708830566360721E-12</v>
      </c>
      <c r="Q173" s="22">
        <f t="shared" si="162"/>
        <v>3.669434796176543E-12</v>
      </c>
      <c r="R173" s="62">
        <f t="shared" si="109"/>
        <v>293.33333333333701</v>
      </c>
      <c r="S173" s="62">
        <f ca="1">AVERAGE(OFFSET($R$3,0,0,'Données projet'!$E$9+1,1))-AVERAGE(OFFSET($H$3,0,0,'Données projet'!$E$9+1,1))</f>
        <v>234.60993819620847</v>
      </c>
      <c r="T173" s="62">
        <f t="shared" si="142"/>
        <v>346.26896655159095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16.314626336949338</v>
      </c>
      <c r="AA173" s="23">
        <f>EXP(-LN(2)/25)*AA172+(1-EXP(-LN(2)/25))/(LN(2)/25)*Calculateur!V173*Calculateur!X173*VLOOKUP('Données projet'!$B$9,Paramètres!$A$1:$I$89,3,0)*0.475*44/12</f>
        <v>0.66849928091531419</v>
      </c>
      <c r="AB173" s="23">
        <f>EXP(-LN(2)/2)*AB172+(1-EXP(-LN(2)/2))/(LN(2)/2)*V173*Y173*VLOOKUP('Données projet'!$B$9,Paramètres!$A$1:$I$89,3,0)*0.475*44/12</f>
        <v>2.1016869529025472E-18</v>
      </c>
      <c r="AC173" s="24">
        <f t="shared" si="163"/>
        <v>16.983125617864651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-1.2414602679200469E-13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224.31750842452965</v>
      </c>
      <c r="AO173" s="62">
        <f t="shared" si="144"/>
        <v>94.125825809616856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45.422721826086139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45.422721826086139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2.2737367544323206E-13</v>
      </c>
      <c r="O174" s="14">
        <f>N174*VLOOKUP('Données projet'!$B$9,Paramètres!$A$1:$I$89,3,0)*VLOOKUP('Données projet'!$B$9,Paramètres!$A$1:$I$89,5,0)</f>
        <v>1.3596945791505279E-13</v>
      </c>
      <c r="P174" s="14">
        <f t="shared" si="141"/>
        <v>1.9708830566360721E-12</v>
      </c>
      <c r="Q174" s="22">
        <f t="shared" si="162"/>
        <v>3.669434796176543E-12</v>
      </c>
      <c r="R174" s="62">
        <f t="shared" si="109"/>
        <v>293.33333333333701</v>
      </c>
      <c r="S174" s="62">
        <f ca="1">AVERAGE(OFFSET($R$3,0,0,'Données projet'!$E$9+1,1))-AVERAGE(OFFSET($H$3,0,0,'Données projet'!$E$9+1,1))</f>
        <v>234.60993819620847</v>
      </c>
      <c r="T174" s="62">
        <f t="shared" si="142"/>
        <v>346.26896655159095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15.994706465421254</v>
      </c>
      <c r="AA174" s="23">
        <f>EXP(-LN(2)/25)*AA173+(1-EXP(-LN(2)/25))/(LN(2)/25)*Calculateur!V174*Calculateur!X174*VLOOKUP('Données projet'!$B$9,Paramètres!$A$1:$I$89,3,0)*0.475*44/12</f>
        <v>0.6502191329238356</v>
      </c>
      <c r="AB174" s="23">
        <f>EXP(-LN(2)/2)*AB173+(1-EXP(-LN(2)/2))/(LN(2)/2)*V174*Y174*VLOOKUP('Données projet'!$B$9,Paramètres!$A$1:$I$89,3,0)*0.475*44/12</f>
        <v>1.4861170963286833E-18</v>
      </c>
      <c r="AC174" s="24">
        <f t="shared" si="163"/>
        <v>16.64492559834509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-1.2414602679200469E-13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224.31750842452965</v>
      </c>
      <c r="AO174" s="62">
        <f t="shared" si="144"/>
        <v>94.125825809616856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44.53200995620125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44.53200995620125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2.2737367544323206E-13</v>
      </c>
      <c r="O175" s="14">
        <f>N175*VLOOKUP('Données projet'!$B$9,Paramètres!$A$1:$I$89,3,0)*VLOOKUP('Données projet'!$B$9,Paramètres!$A$1:$I$89,5,0)</f>
        <v>1.3596945791505279E-13</v>
      </c>
      <c r="P175" s="14">
        <f t="shared" si="141"/>
        <v>1.9708830566360721E-12</v>
      </c>
      <c r="Q175" s="22">
        <f t="shared" si="162"/>
        <v>3.669434796176543E-12</v>
      </c>
      <c r="R175" s="62">
        <f t="shared" si="109"/>
        <v>293.33333333333701</v>
      </c>
      <c r="S175" s="62">
        <f ca="1">AVERAGE(OFFSET($R$3,0,0,'Données projet'!$E$9+1,1))-AVERAGE(OFFSET($H$3,0,0,'Données projet'!$E$9+1,1))</f>
        <v>234.60993819620847</v>
      </c>
      <c r="T175" s="62">
        <f t="shared" si="142"/>
        <v>346.26896655159095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15.681060027441982</v>
      </c>
      <c r="AA175" s="23">
        <f>EXP(-LN(2)/25)*AA174+(1-EXP(-LN(2)/25))/(LN(2)/25)*Calculateur!V175*Calculateur!X175*VLOOKUP('Données projet'!$B$9,Paramètres!$A$1:$I$89,3,0)*0.475*44/12</f>
        <v>0.63243885654049525</v>
      </c>
      <c r="AB175" s="23">
        <f>EXP(-LN(2)/2)*AB174+(1-EXP(-LN(2)/2))/(LN(2)/2)*V175*Y175*VLOOKUP('Données projet'!$B$9,Paramètres!$A$1:$I$89,3,0)*0.475*44/12</f>
        <v>1.0508434764512736E-18</v>
      </c>
      <c r="AC175" s="24">
        <f t="shared" si="163"/>
        <v>16.313498883982476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-1.2414602679200469E-13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224.31750842452965</v>
      </c>
      <c r="AO175" s="62">
        <f t="shared" si="144"/>
        <v>94.125825809616856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43.658764402804209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43.658764402804209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2.2737367544323206E-13</v>
      </c>
      <c r="O176" s="14">
        <f>N176*VLOOKUP('Données projet'!$B$9,Paramètres!$A$1:$I$89,3,0)*VLOOKUP('Données projet'!$B$9,Paramètres!$A$1:$I$89,5,0)</f>
        <v>1.3596945791505279E-13</v>
      </c>
      <c r="P176" s="14">
        <f t="shared" si="141"/>
        <v>1.9708830566360721E-12</v>
      </c>
      <c r="Q176" s="22">
        <f t="shared" si="162"/>
        <v>3.669434796176543E-12</v>
      </c>
      <c r="R176" s="62">
        <f t="shared" si="109"/>
        <v>293.33333333333701</v>
      </c>
      <c r="S176" s="62">
        <f ca="1">AVERAGE(OFFSET($R$3,0,0,'Données projet'!$E$9+1,1))-AVERAGE(OFFSET($H$3,0,0,'Données projet'!$E$9+1,1))</f>
        <v>234.60993819620847</v>
      </c>
      <c r="T176" s="62">
        <f t="shared" si="142"/>
        <v>346.26896655159095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15.373564004806045</v>
      </c>
      <c r="AA176" s="23">
        <f>EXP(-LN(2)/25)*AA175+(1-EXP(-LN(2)/25))/(LN(2)/25)*Calculateur!V176*Calculateur!X176*VLOOKUP('Données projet'!$B$9,Paramètres!$A$1:$I$89,3,0)*0.475*44/12</f>
        <v>0.61514478274988138</v>
      </c>
      <c r="AB176" s="23">
        <f>EXP(-LN(2)/2)*AB175+(1-EXP(-LN(2)/2))/(LN(2)/2)*V176*Y176*VLOOKUP('Données projet'!$B$9,Paramètres!$A$1:$I$89,3,0)*0.475*44/12</f>
        <v>7.4305854816434164E-19</v>
      </c>
      <c r="AC176" s="24">
        <f t="shared" si="163"/>
        <v>15.988708787555927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-1.2414602679200469E-13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224.31750842452965</v>
      </c>
      <c r="AO176" s="62">
        <f t="shared" si="144"/>
        <v>94.125825809616856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42.802642662082086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42.802642662082086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2.2737367544323206E-13</v>
      </c>
      <c r="O177" s="14">
        <f>N177*VLOOKUP('Données projet'!$B$9,Paramètres!$A$1:$I$89,3,0)*VLOOKUP('Données projet'!$B$9,Paramètres!$A$1:$I$89,5,0)</f>
        <v>1.3596945791505279E-13</v>
      </c>
      <c r="P177" s="14">
        <f t="shared" si="141"/>
        <v>1.9708830566360721E-12</v>
      </c>
      <c r="Q177" s="22">
        <f t="shared" si="162"/>
        <v>3.669434796176543E-12</v>
      </c>
      <c r="R177" s="62">
        <f t="shared" si="109"/>
        <v>293.33333333333701</v>
      </c>
      <c r="S177" s="62">
        <f ca="1">AVERAGE(OFFSET($R$3,0,0,'Données projet'!$E$9+1,1))-AVERAGE(OFFSET($H$3,0,0,'Données projet'!$E$9+1,1))</f>
        <v>234.60993819620847</v>
      </c>
      <c r="T177" s="62">
        <f t="shared" si="142"/>
        <v>346.26896655159095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15.072097791619944</v>
      </c>
      <c r="AA177" s="23">
        <f>EXP(-LN(2)/25)*AA176+(1-EXP(-LN(2)/25))/(LN(2)/25)*Calculateur!V177*Calculateur!X177*VLOOKUP('Données projet'!$B$9,Paramètres!$A$1:$I$89,3,0)*0.475*44/12</f>
        <v>0.59832361631652764</v>
      </c>
      <c r="AB177" s="23">
        <f>EXP(-LN(2)/2)*AB176+(1-EXP(-LN(2)/2))/(LN(2)/2)*V177*Y177*VLOOKUP('Données projet'!$B$9,Paramètres!$A$1:$I$89,3,0)*0.475*44/12</f>
        <v>5.254217382256368E-19</v>
      </c>
      <c r="AC177" s="24">
        <f t="shared" si="163"/>
        <v>15.670421407936471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-1.2414602679200469E-13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224.31750842452965</v>
      </c>
      <c r="AO177" s="62">
        <f t="shared" si="144"/>
        <v>94.125825809616856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41.963308946512825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41.963308946512825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2.2737367544323206E-13</v>
      </c>
      <c r="O178" s="14">
        <f>N178*VLOOKUP('Données projet'!$B$9,Paramètres!$A$1:$I$89,3,0)*VLOOKUP('Données projet'!$B$9,Paramètres!$A$1:$I$89,5,0)</f>
        <v>1.3596945791505279E-13</v>
      </c>
      <c r="P178" s="14">
        <f t="shared" si="141"/>
        <v>1.9708830566360721E-12</v>
      </c>
      <c r="Q178" s="22">
        <f t="shared" si="162"/>
        <v>3.669434796176543E-12</v>
      </c>
      <c r="R178" s="62">
        <f t="shared" si="109"/>
        <v>293.33333333333701</v>
      </c>
      <c r="S178" s="62">
        <f ca="1">AVERAGE(OFFSET($R$3,0,0,'Données projet'!$E$9+1,1))-AVERAGE(OFFSET($H$3,0,0,'Données projet'!$E$9+1,1))</f>
        <v>234.60993819620847</v>
      </c>
      <c r="T178" s="62">
        <f t="shared" si="142"/>
        <v>346.26896655159095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14.77654314699819</v>
      </c>
      <c r="AA178" s="23">
        <f>EXP(-LN(2)/25)*AA177+(1-EXP(-LN(2)/25))/(LN(2)/25)*Calculateur!V178*Calculateur!X178*VLOOKUP('Données projet'!$B$9,Paramètres!$A$1:$I$89,3,0)*0.475*44/12</f>
        <v>0.58196242556388067</v>
      </c>
      <c r="AB178" s="23">
        <f>EXP(-LN(2)/2)*AB177+(1-EXP(-LN(2)/2))/(LN(2)/2)*V178*Y178*VLOOKUP('Données projet'!$B$9,Paramètres!$A$1:$I$89,3,0)*0.475*44/12</f>
        <v>3.7152927408217082E-19</v>
      </c>
      <c r="AC178" s="24">
        <f t="shared" si="163"/>
        <v>15.35850557256207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-1.2414602679200469E-13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224.31750842452965</v>
      </c>
      <c r="AO178" s="62">
        <f t="shared" si="144"/>
        <v>94.125825809616856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41.140434053162863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41.140434053162863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2.2737367544323206E-13</v>
      </c>
      <c r="O179" s="14">
        <f>N179*VLOOKUP('Données projet'!$B$9,Paramètres!$A$1:$I$89,3,0)*VLOOKUP('Données projet'!$B$9,Paramètres!$A$1:$I$89,5,0)</f>
        <v>1.3596945791505279E-13</v>
      </c>
      <c r="P179" s="14">
        <f t="shared" si="141"/>
        <v>1.9708830566360721E-12</v>
      </c>
      <c r="Q179" s="22">
        <f t="shared" si="162"/>
        <v>3.669434796176543E-12</v>
      </c>
      <c r="R179" s="62">
        <f t="shared" si="109"/>
        <v>293.33333333333701</v>
      </c>
      <c r="S179" s="62">
        <f ca="1">AVERAGE(OFFSET($R$3,0,0,'Données projet'!$E$9+1,1))-AVERAGE(OFFSET($H$3,0,0,'Données projet'!$E$9+1,1))</f>
        <v>234.60993819620847</v>
      </c>
      <c r="T179" s="62">
        <f t="shared" si="142"/>
        <v>346.26896655159095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14.486784148686935</v>
      </c>
      <c r="AA179" s="23">
        <f>EXP(-LN(2)/25)*AA178+(1-EXP(-LN(2)/25))/(LN(2)/25)*Calculateur!V179*Calculateur!X179*VLOOKUP('Données projet'!$B$9,Paramètres!$A$1:$I$89,3,0)*0.475*44/12</f>
        <v>0.56604863243276249</v>
      </c>
      <c r="AB179" s="23">
        <f>EXP(-LN(2)/2)*AB178+(1-EXP(-LN(2)/2))/(LN(2)/2)*V179*Y179*VLOOKUP('Données projet'!$B$9,Paramètres!$A$1:$I$89,3,0)*0.475*44/12</f>
        <v>2.627108691128184E-19</v>
      </c>
      <c r="AC179" s="24">
        <f t="shared" si="163"/>
        <v>15.052832781119697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-1.2414602679200469E-13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224.31750842452965</v>
      </c>
      <c r="AO179" s="62">
        <f t="shared" si="144"/>
        <v>94.125825809616856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40.333695234567365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40.333695234567365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2.2737367544323206E-13</v>
      </c>
      <c r="O180" s="14">
        <f>N180*VLOOKUP('Données projet'!$B$9,Paramètres!$A$1:$I$89,3,0)*VLOOKUP('Données projet'!$B$9,Paramètres!$A$1:$I$89,5,0)</f>
        <v>1.3596945791505279E-13</v>
      </c>
      <c r="P180" s="14">
        <f t="shared" si="141"/>
        <v>1.9708830566360721E-12</v>
      </c>
      <c r="Q180" s="22">
        <f t="shared" si="162"/>
        <v>3.669434796176543E-12</v>
      </c>
      <c r="R180" s="62">
        <f t="shared" si="109"/>
        <v>293.33333333333701</v>
      </c>
      <c r="S180" s="62">
        <f ca="1">AVERAGE(OFFSET($R$3,0,0,'Données projet'!$E$9+1,1))-AVERAGE(OFFSET($H$3,0,0,'Données projet'!$E$9+1,1))</f>
        <v>234.60993819620847</v>
      </c>
      <c r="T180" s="62">
        <f t="shared" si="142"/>
        <v>346.26896655159095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14.202707147597026</v>
      </c>
      <c r="AA180" s="23">
        <f>EXP(-LN(2)/25)*AA179+(1-EXP(-LN(2)/25))/(LN(2)/25)*Calculateur!V180*Calculateur!X180*VLOOKUP('Données projet'!$B$9,Paramètres!$A$1:$I$89,3,0)*0.475*44/12</f>
        <v>0.55057000281168478</v>
      </c>
      <c r="AB180" s="23">
        <f>EXP(-LN(2)/2)*AB179+(1-EXP(-LN(2)/2))/(LN(2)/2)*V180*Y180*VLOOKUP('Données projet'!$B$9,Paramètres!$A$1:$I$89,3,0)*0.475*44/12</f>
        <v>1.8576463704108541E-19</v>
      </c>
      <c r="AC180" s="24">
        <f t="shared" si="163"/>
        <v>14.753277150408712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-1.2414602679200469E-13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224.31750842452965</v>
      </c>
      <c r="AO180" s="62">
        <f t="shared" si="144"/>
        <v>94.125825809616856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39.542776072142431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39.542776072142431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2.2737367544323206E-13</v>
      </c>
      <c r="O181" s="14">
        <f>N181*VLOOKUP('Données projet'!$B$9,Paramètres!$A$1:$I$89,3,0)*VLOOKUP('Données projet'!$B$9,Paramètres!$A$1:$I$89,5,0)</f>
        <v>1.3596945791505279E-13</v>
      </c>
      <c r="P181" s="14">
        <f t="shared" si="141"/>
        <v>1.9708830566360721E-12</v>
      </c>
      <c r="Q181" s="22">
        <f t="shared" si="162"/>
        <v>3.669434796176543E-12</v>
      </c>
      <c r="R181" s="62">
        <f t="shared" si="109"/>
        <v>293.33333333333701</v>
      </c>
      <c r="S181" s="62">
        <f ca="1">AVERAGE(OFFSET($R$3,0,0,'Données projet'!$E$9+1,1))-AVERAGE(OFFSET($H$3,0,0,'Données projet'!$E$9+1,1))</f>
        <v>234.60993819620847</v>
      </c>
      <c r="T181" s="62">
        <f t="shared" si="142"/>
        <v>346.26896655159095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13.924200723228628</v>
      </c>
      <c r="AA181" s="23">
        <f>EXP(-LN(2)/25)*AA180+(1-EXP(-LN(2)/25))/(LN(2)/25)*Calculateur!V181*Calculateur!X181*VLOOKUP('Données projet'!$B$9,Paramètres!$A$1:$I$89,3,0)*0.475*44/12</f>
        <v>0.53551463713158121</v>
      </c>
      <c r="AB181" s="23">
        <f>EXP(-LN(2)/2)*AB180+(1-EXP(-LN(2)/2))/(LN(2)/2)*V181*Y181*VLOOKUP('Données projet'!$B$9,Paramètres!$A$1:$I$89,3,0)*0.475*44/12</f>
        <v>1.313554345564092E-19</v>
      </c>
      <c r="AC181" s="24">
        <f t="shared" si="163"/>
        <v>14.459715360360208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-1.2414602679200469E-13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224.31750842452965</v>
      </c>
      <c r="AO181" s="62">
        <f t="shared" si="144"/>
        <v>94.125825809616856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38.767366352079598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38.767366352079598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2.2737367544323206E-13</v>
      </c>
      <c r="O182" s="14">
        <f>N182*VLOOKUP('Données projet'!$B$9,Paramètres!$A$1:$I$89,3,0)*VLOOKUP('Données projet'!$B$9,Paramètres!$A$1:$I$89,5,0)</f>
        <v>1.3596945791505279E-13</v>
      </c>
      <c r="P182" s="14">
        <f t="shared" si="141"/>
        <v>1.9708830566360721E-12</v>
      </c>
      <c r="Q182" s="22">
        <f t="shared" si="162"/>
        <v>3.669434796176543E-12</v>
      </c>
      <c r="R182" s="62">
        <f t="shared" si="109"/>
        <v>293.33333333333701</v>
      </c>
      <c r="S182" s="62">
        <f ca="1">AVERAGE(OFFSET($R$3,0,0,'Données projet'!$E$9+1,1))-AVERAGE(OFFSET($H$3,0,0,'Données projet'!$E$9+1,1))</f>
        <v>234.60993819620847</v>
      </c>
      <c r="T182" s="62">
        <f t="shared" si="142"/>
        <v>346.26896655159095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13.65115563996995</v>
      </c>
      <c r="AA182" s="23">
        <f>EXP(-LN(2)/25)*AA181+(1-EXP(-LN(2)/25))/(LN(2)/25)*Calculateur!V182*Calculateur!X182*VLOOKUP('Données projet'!$B$9,Paramètres!$A$1:$I$89,3,0)*0.475*44/12</f>
        <v>0.52087096121772725</v>
      </c>
      <c r="AB182" s="23">
        <f>EXP(-LN(2)/2)*AB181+(1-EXP(-LN(2)/2))/(LN(2)/2)*V182*Y182*VLOOKUP('Données projet'!$B$9,Paramètres!$A$1:$I$89,3,0)*0.475*44/12</f>
        <v>9.2882318520542705E-20</v>
      </c>
      <c r="AC182" s="24">
        <f t="shared" si="163"/>
        <v>14.172026601187678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-1.2414602679200469E-13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224.31750842452965</v>
      </c>
      <c r="AO182" s="62">
        <f t="shared" si="144"/>
        <v>94.125825809616856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38.007161943673971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38.007161943673971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2.2737367544323206E-13</v>
      </c>
      <c r="O183" s="14">
        <f>N183*VLOOKUP('Données projet'!$B$9,Paramètres!$A$1:$I$89,3,0)*VLOOKUP('Données projet'!$B$9,Paramètres!$A$1:$I$89,5,0)</f>
        <v>1.3596945791505279E-13</v>
      </c>
      <c r="P183" s="14">
        <f t="shared" si="141"/>
        <v>1.9708830566360721E-12</v>
      </c>
      <c r="Q183" s="22">
        <f t="shared" si="162"/>
        <v>3.669434796176543E-12</v>
      </c>
      <c r="R183" s="62">
        <f t="shared" si="109"/>
        <v>293.33333333333701</v>
      </c>
      <c r="S183" s="62">
        <f ca="1">AVERAGE(OFFSET($R$3,0,0,'Données projet'!$E$9+1,1))-AVERAGE(OFFSET($H$3,0,0,'Données projet'!$E$9+1,1))</f>
        <v>234.60993819620847</v>
      </c>
      <c r="T183" s="62">
        <f t="shared" si="142"/>
        <v>346.26896655159095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13.383464804252919</v>
      </c>
      <c r="AA183" s="23">
        <f>EXP(-LN(2)/25)*AA182+(1-EXP(-LN(2)/25))/(LN(2)/25)*Calculateur!V183*Calculateur!X183*VLOOKUP('Données projet'!$B$9,Paramètres!$A$1:$I$89,3,0)*0.475*44/12</f>
        <v>0.50662771739181511</v>
      </c>
      <c r="AB183" s="23">
        <f>EXP(-LN(2)/2)*AB182+(1-EXP(-LN(2)/2))/(LN(2)/2)*V183*Y183*VLOOKUP('Données projet'!$B$9,Paramètres!$A$1:$I$89,3,0)*0.475*44/12</f>
        <v>6.56777172782046E-20</v>
      </c>
      <c r="AC183" s="24">
        <f t="shared" si="163"/>
        <v>13.890092521644734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-1.2414602679200469E-13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224.31750842452965</v>
      </c>
      <c r="AO183" s="62">
        <f t="shared" si="144"/>
        <v>94.125825809616856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37.261864680038272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37.261864680038272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2.2737367544323206E-13</v>
      </c>
      <c r="O184" s="14">
        <f>N184*VLOOKUP('Données projet'!$B$9,Paramètres!$A$1:$I$89,3,0)*VLOOKUP('Données projet'!$B$9,Paramètres!$A$1:$I$89,5,0)</f>
        <v>1.3596945791505279E-13</v>
      </c>
      <c r="P184" s="14">
        <f t="shared" si="141"/>
        <v>1.9708830566360721E-12</v>
      </c>
      <c r="Q184" s="22">
        <f t="shared" si="162"/>
        <v>3.669434796176543E-12</v>
      </c>
      <c r="R184" s="62">
        <f t="shared" si="109"/>
        <v>293.33333333333701</v>
      </c>
      <c r="S184" s="62">
        <f ca="1">AVERAGE(OFFSET($R$3,0,0,'Données projet'!$E$9+1,1))-AVERAGE(OFFSET($H$3,0,0,'Données projet'!$E$9+1,1))</f>
        <v>234.60993819620847</v>
      </c>
      <c r="T184" s="62">
        <f t="shared" si="142"/>
        <v>346.26896655159095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13.12102322254901</v>
      </c>
      <c r="AA184" s="23">
        <f>EXP(-LN(2)/25)*AA183+(1-EXP(-LN(2)/25))/(LN(2)/25)*Calculateur!V184*Calculateur!X184*VLOOKUP('Données projet'!$B$9,Paramètres!$A$1:$I$89,3,0)*0.475*44/12</f>
        <v>0.49277395581734218</v>
      </c>
      <c r="AB184" s="23">
        <f>EXP(-LN(2)/2)*AB183+(1-EXP(-LN(2)/2))/(LN(2)/2)*V184*Y184*VLOOKUP('Données projet'!$B$9,Paramètres!$A$1:$I$89,3,0)*0.475*44/12</f>
        <v>4.6441159260271352E-20</v>
      </c>
      <c r="AC184" s="24">
        <f t="shared" si="163"/>
        <v>13.613797178366351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-1.2414602679200469E-13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224.31750842452965</v>
      </c>
      <c r="AO184" s="62">
        <f t="shared" si="144"/>
        <v>94.125825809616856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36.531182241156024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36.531182241156024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2.2737367544323206E-13</v>
      </c>
      <c r="O185" s="14">
        <f>N185*VLOOKUP('Données projet'!$B$9,Paramètres!$A$1:$I$89,3,0)*VLOOKUP('Données projet'!$B$9,Paramètres!$A$1:$I$89,5,0)</f>
        <v>1.3596945791505279E-13</v>
      </c>
      <c r="P185" s="14">
        <f t="shared" si="141"/>
        <v>1.9708830566360721E-12</v>
      </c>
      <c r="Q185" s="22">
        <f t="shared" si="162"/>
        <v>3.669434796176543E-12</v>
      </c>
      <c r="R185" s="62">
        <f t="shared" si="109"/>
        <v>293.33333333333701</v>
      </c>
      <c r="S185" s="62">
        <f ca="1">AVERAGE(OFFSET($R$3,0,0,'Données projet'!$E$9+1,1))-AVERAGE(OFFSET($H$3,0,0,'Données projet'!$E$9+1,1))</f>
        <v>234.60993819620847</v>
      </c>
      <c r="T185" s="62">
        <f t="shared" si="142"/>
        <v>346.26896655159095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12.863727960188756</v>
      </c>
      <c r="AA185" s="23">
        <f>EXP(-LN(2)/25)*AA184+(1-EXP(-LN(2)/25))/(LN(2)/25)*Calculateur!V185*Calculateur!X185*VLOOKUP('Données projet'!$B$9,Paramètres!$A$1:$I$89,3,0)*0.475*44/12</f>
        <v>0.47929902608166086</v>
      </c>
      <c r="AB185" s="23">
        <f>EXP(-LN(2)/2)*AB184+(1-EXP(-LN(2)/2))/(LN(2)/2)*V185*Y185*VLOOKUP('Données projet'!$B$9,Paramètres!$A$1:$I$89,3,0)*0.475*44/12</f>
        <v>3.28388586391023E-20</v>
      </c>
      <c r="AC185" s="24">
        <f t="shared" si="163"/>
        <v>13.343026986270417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-1.2414602679200469E-13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224.31750842452965</v>
      </c>
      <c r="AO185" s="62">
        <f t="shared" si="144"/>
        <v>94.125825809616856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35.814828039227976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35.814828039227976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2.2737367544323206E-13</v>
      </c>
      <c r="O186" s="14">
        <f>N186*VLOOKUP('Données projet'!$B$9,Paramètres!$A$1:$I$89,3,0)*VLOOKUP('Données projet'!$B$9,Paramètres!$A$1:$I$89,5,0)</f>
        <v>1.3596945791505279E-13</v>
      </c>
      <c r="P186" s="14">
        <f t="shared" si="141"/>
        <v>1.9708830566360721E-12</v>
      </c>
      <c r="Q186" s="22">
        <f t="shared" si="162"/>
        <v>3.669434796176543E-12</v>
      </c>
      <c r="R186" s="62">
        <f t="shared" si="109"/>
        <v>293.33333333333701</v>
      </c>
      <c r="S186" s="62">
        <f ca="1">AVERAGE(OFFSET($R$3,0,0,'Données projet'!$E$9+1,1))-AVERAGE(OFFSET($H$3,0,0,'Données projet'!$E$9+1,1))</f>
        <v>234.60993819620847</v>
      </c>
      <c r="T186" s="62">
        <f t="shared" si="142"/>
        <v>346.26896655159095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12.611478100988773</v>
      </c>
      <c r="AA186" s="23">
        <f>EXP(-LN(2)/25)*AA185+(1-EXP(-LN(2)/25))/(LN(2)/25)*Calculateur!V186*Calculateur!X186*VLOOKUP('Données projet'!$B$9,Paramètres!$A$1:$I$89,3,0)*0.475*44/12</f>
        <v>0.46619256900821754</v>
      </c>
      <c r="AB186" s="23">
        <f>EXP(-LN(2)/2)*AB185+(1-EXP(-LN(2)/2))/(LN(2)/2)*V186*Y186*VLOOKUP('Données projet'!$B$9,Paramètres!$A$1:$I$89,3,0)*0.475*44/12</f>
        <v>2.3220579630135676E-20</v>
      </c>
      <c r="AC186" s="24">
        <f t="shared" si="163"/>
        <v>13.077670669996991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-1.2414602679200469E-13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224.31750842452965</v>
      </c>
      <c r="AO186" s="62">
        <f t="shared" si="144"/>
        <v>94.125825809616856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35.112521106266819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35.112521106266819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2.2737367544323206E-13</v>
      </c>
      <c r="O187" s="14">
        <f>N187*VLOOKUP('Données projet'!$B$9,Paramètres!$A$1:$I$89,3,0)*VLOOKUP('Données projet'!$B$9,Paramètres!$A$1:$I$89,5,0)</f>
        <v>1.3596945791505279E-13</v>
      </c>
      <c r="P187" s="14">
        <f t="shared" si="141"/>
        <v>1.9708830566360721E-12</v>
      </c>
      <c r="Q187" s="22">
        <f t="shared" si="162"/>
        <v>3.669434796176543E-12</v>
      </c>
      <c r="R187" s="62">
        <f t="shared" si="109"/>
        <v>293.33333333333701</v>
      </c>
      <c r="S187" s="62">
        <f ca="1">AVERAGE(OFFSET($R$3,0,0,'Données projet'!$E$9+1,1))-AVERAGE(OFFSET($H$3,0,0,'Données projet'!$E$9+1,1))</f>
        <v>234.60993819620847</v>
      </c>
      <c r="T187" s="62">
        <f t="shared" si="142"/>
        <v>346.26896655159095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12.364174707670479</v>
      </c>
      <c r="AA187" s="23">
        <f>EXP(-LN(2)/25)*AA186+(1-EXP(-LN(2)/25))/(LN(2)/25)*Calculateur!V187*Calculateur!X187*VLOOKUP('Données projet'!$B$9,Paramètres!$A$1:$I$89,3,0)*0.475*44/12</f>
        <v>0.4534445086926861</v>
      </c>
      <c r="AB187" s="23">
        <f>EXP(-LN(2)/2)*AB186+(1-EXP(-LN(2)/2))/(LN(2)/2)*V187*Y187*VLOOKUP('Données projet'!$B$9,Paramètres!$A$1:$I$89,3,0)*0.475*44/12</f>
        <v>1.641942931955115E-20</v>
      </c>
      <c r="AC187" s="24">
        <f t="shared" si="163"/>
        <v>12.817619216363164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-1.2414602679200469E-13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224.31750842452965</v>
      </c>
      <c r="AO187" s="62">
        <f t="shared" si="144"/>
        <v>94.125825809616856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34.423985983896095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34.423985983896095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2.2737367544323206E-13</v>
      </c>
      <c r="O188" s="14">
        <f>N188*VLOOKUP('Données projet'!$B$9,Paramètres!$A$1:$I$89,3,0)*VLOOKUP('Données projet'!$B$9,Paramètres!$A$1:$I$89,5,0)</f>
        <v>1.3596945791505279E-13</v>
      </c>
      <c r="P188" s="14">
        <f t="shared" si="141"/>
        <v>1.9708830566360721E-12</v>
      </c>
      <c r="Q188" s="22">
        <f t="shared" si="162"/>
        <v>3.669434796176543E-12</v>
      </c>
      <c r="R188" s="62">
        <f t="shared" si="109"/>
        <v>293.33333333333701</v>
      </c>
      <c r="S188" s="62">
        <f ca="1">AVERAGE(OFFSET($R$3,0,0,'Données projet'!$E$9+1,1))-AVERAGE(OFFSET($H$3,0,0,'Données projet'!$E$9+1,1))</f>
        <v>234.60993819620847</v>
      </c>
      <c r="T188" s="62">
        <f t="shared" si="142"/>
        <v>346.26896655159095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12.121720783054981</v>
      </c>
      <c r="AA188" s="23">
        <f>EXP(-LN(2)/25)*AA187+(1-EXP(-LN(2)/25))/(LN(2)/25)*Calculateur!V188*Calculateur!X188*VLOOKUP('Données projet'!$B$9,Paramètres!$A$1:$I$89,3,0)*0.475*44/12</f>
        <v>0.44104504475687423</v>
      </c>
      <c r="AB188" s="23">
        <f>EXP(-LN(2)/2)*AB187+(1-EXP(-LN(2)/2))/(LN(2)/2)*V188*Y188*VLOOKUP('Données projet'!$B$9,Paramètres!$A$1:$I$89,3,0)*0.475*44/12</f>
        <v>1.1610289815067838E-20</v>
      </c>
      <c r="AC188" s="24">
        <f t="shared" si="163"/>
        <v>12.562765827811855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-1.2414602679200469E-13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224.31750842452965</v>
      </c>
      <c r="AO188" s="62">
        <f t="shared" si="144"/>
        <v>94.125825809616856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33.748952615310102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33.748952615310102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2.2737367544323206E-13</v>
      </c>
      <c r="O189" s="14">
        <f>N189*VLOOKUP('Données projet'!$B$9,Paramètres!$A$1:$I$89,3,0)*VLOOKUP('Données projet'!$B$9,Paramètres!$A$1:$I$89,5,0)</f>
        <v>1.3596945791505279E-13</v>
      </c>
      <c r="P189" s="14">
        <f t="shared" si="141"/>
        <v>1.9708830566360721E-12</v>
      </c>
      <c r="Q189" s="22">
        <f t="shared" si="162"/>
        <v>3.669434796176543E-12</v>
      </c>
      <c r="R189" s="62">
        <f t="shared" si="109"/>
        <v>293.33333333333701</v>
      </c>
      <c r="S189" s="62">
        <f ca="1">AVERAGE(OFFSET($R$3,0,0,'Données projet'!$E$9+1,1))-AVERAGE(OFFSET($H$3,0,0,'Données projet'!$E$9+1,1))</f>
        <v>234.60993819620847</v>
      </c>
      <c r="T189" s="62">
        <f t="shared" si="142"/>
        <v>346.26896655159095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11.884021232018901</v>
      </c>
      <c r="AA189" s="23">
        <f>EXP(-LN(2)/25)*AA188+(1-EXP(-LN(2)/25))/(LN(2)/25)*Calculateur!V189*Calculateur!X189*VLOOKUP('Données projet'!$B$9,Paramètres!$A$1:$I$89,3,0)*0.475*44/12</f>
        <v>0.42898464481444665</v>
      </c>
      <c r="AB189" s="23">
        <f>EXP(-LN(2)/2)*AB188+(1-EXP(-LN(2)/2))/(LN(2)/2)*V189*Y189*VLOOKUP('Données projet'!$B$9,Paramètres!$A$1:$I$89,3,0)*0.475*44/12</f>
        <v>8.209714659775575E-21</v>
      </c>
      <c r="AC189" s="24">
        <f t="shared" si="163"/>
        <v>12.313005876833348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-1.2414602679200469E-13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224.31750842452965</v>
      </c>
      <c r="AO189" s="62">
        <f t="shared" si="144"/>
        <v>94.125825809616856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33.087156239352382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33.087156239352382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2.2737367544323206E-13</v>
      </c>
      <c r="O190" s="14">
        <f>N190*VLOOKUP('Données projet'!$B$9,Paramètres!$A$1:$I$89,3,0)*VLOOKUP('Données projet'!$B$9,Paramètres!$A$1:$I$89,5,0)</f>
        <v>1.3596945791505279E-13</v>
      </c>
      <c r="P190" s="14">
        <f t="shared" si="141"/>
        <v>1.9708830566360721E-12</v>
      </c>
      <c r="Q190" s="22">
        <f t="shared" si="162"/>
        <v>3.669434796176543E-12</v>
      </c>
      <c r="R190" s="62">
        <f t="shared" si="109"/>
        <v>293.33333333333701</v>
      </c>
      <c r="S190" s="62">
        <f ca="1">AVERAGE(OFFSET($R$3,0,0,'Données projet'!$E$9+1,1))-AVERAGE(OFFSET($H$3,0,0,'Données projet'!$E$9+1,1))</f>
        <v>234.60993819620847</v>
      </c>
      <c r="T190" s="62">
        <f t="shared" si="142"/>
        <v>346.26896655159095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11.650982824196229</v>
      </c>
      <c r="AA190" s="23">
        <f>EXP(-LN(2)/25)*AA189+(1-EXP(-LN(2)/25))/(LN(2)/25)*Calculateur!V190*Calculateur!X190*VLOOKUP('Données projet'!$B$9,Paramètres!$A$1:$I$89,3,0)*0.475*44/12</f>
        <v>0.41725403714267362</v>
      </c>
      <c r="AB190" s="23">
        <f>EXP(-LN(2)/2)*AB189+(1-EXP(-LN(2)/2))/(LN(2)/2)*V190*Y190*VLOOKUP('Données projet'!$B$9,Paramètres!$A$1:$I$89,3,0)*0.475*44/12</f>
        <v>5.8051449075339191E-21</v>
      </c>
      <c r="AC190" s="24">
        <f t="shared" si="163"/>
        <v>12.068236861338903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-1.2414602679200469E-13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224.31750842452965</v>
      </c>
      <c r="AO190" s="62">
        <f t="shared" si="144"/>
        <v>94.125825809616856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32.438337286671263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32.438337286671263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2.2737367544323206E-13</v>
      </c>
      <c r="O191" s="14">
        <f>N191*VLOOKUP('Données projet'!$B$9,Paramètres!$A$1:$I$89,3,0)*VLOOKUP('Données projet'!$B$9,Paramètres!$A$1:$I$89,5,0)</f>
        <v>1.3596945791505279E-13</v>
      </c>
      <c r="P191" s="14">
        <f t="shared" si="141"/>
        <v>1.9708830566360721E-12</v>
      </c>
      <c r="Q191" s="22">
        <f t="shared" si="162"/>
        <v>3.669434796176543E-12</v>
      </c>
      <c r="R191" s="62">
        <f t="shared" si="109"/>
        <v>293.33333333333701</v>
      </c>
      <c r="S191" s="62">
        <f ca="1">AVERAGE(OFFSET($R$3,0,0,'Données projet'!$E$9+1,1))-AVERAGE(OFFSET($H$3,0,0,'Données projet'!$E$9+1,1))</f>
        <v>234.60993819620847</v>
      </c>
      <c r="T191" s="62">
        <f t="shared" si="142"/>
        <v>346.26896655159095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11.422514157411564</v>
      </c>
      <c r="AA191" s="23">
        <f>EXP(-LN(2)/25)*AA190+(1-EXP(-LN(2)/25))/(LN(2)/25)*Calculateur!V191*Calculateur!X191*VLOOKUP('Données projet'!$B$9,Paramètres!$A$1:$I$89,3,0)*0.475*44/12</f>
        <v>0.40584420355457101</v>
      </c>
      <c r="AB191" s="23">
        <f>EXP(-LN(2)/2)*AB190+(1-EXP(-LN(2)/2))/(LN(2)/2)*V191*Y191*VLOOKUP('Données projet'!$B$9,Paramètres!$A$1:$I$89,3,0)*0.475*44/12</f>
        <v>4.1048573298877875E-21</v>
      </c>
      <c r="AC191" s="24">
        <f t="shared" si="163"/>
        <v>11.828358360966135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-1.2414602679200469E-13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224.31750842452965</v>
      </c>
      <c r="AO191" s="62">
        <f t="shared" si="144"/>
        <v>94.125825809616856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31.802241277911737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31.802241277911737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2.2737367544323206E-13</v>
      </c>
      <c r="O192" s="14">
        <f>N192*VLOOKUP('Données projet'!$B$9,Paramètres!$A$1:$I$89,3,0)*VLOOKUP('Données projet'!$B$9,Paramètres!$A$1:$I$89,5,0)</f>
        <v>1.3596945791505279E-13</v>
      </c>
      <c r="P192" s="14">
        <f t="shared" si="141"/>
        <v>1.9708830566360721E-12</v>
      </c>
      <c r="Q192" s="22">
        <f t="shared" si="162"/>
        <v>3.669434796176543E-12</v>
      </c>
      <c r="R192" s="62">
        <f t="shared" si="109"/>
        <v>293.33333333333701</v>
      </c>
      <c r="S192" s="62">
        <f ca="1">AVERAGE(OFFSET($R$3,0,0,'Données projet'!$E$9+1,1))-AVERAGE(OFFSET($H$3,0,0,'Données projet'!$E$9+1,1))</f>
        <v>234.60993819620847</v>
      </c>
      <c r="T192" s="62">
        <f t="shared" si="142"/>
        <v>346.26896655159095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11.19852562183042</v>
      </c>
      <c r="AA192" s="23">
        <f>EXP(-LN(2)/25)*AA191+(1-EXP(-LN(2)/25))/(LN(2)/25)*Calculateur!V192*Calculateur!X192*VLOOKUP('Données projet'!$B$9,Paramètres!$A$1:$I$89,3,0)*0.475*44/12</f>
        <v>0.39474637246595218</v>
      </c>
      <c r="AB192" s="23">
        <f>EXP(-LN(2)/2)*AB191+(1-EXP(-LN(2)/2))/(LN(2)/2)*V192*Y192*VLOOKUP('Données projet'!$B$9,Paramètres!$A$1:$I$89,3,0)*0.475*44/12</f>
        <v>2.9025724537669595E-21</v>
      </c>
      <c r="AC192" s="24">
        <f t="shared" si="163"/>
        <v>11.593271994296373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-1.2414602679200469E-13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224.31750842452965</v>
      </c>
      <c r="AO192" s="62">
        <f t="shared" si="144"/>
        <v>94.125825809616856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31.178618723903728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31.178618723903728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2.2737367544323206E-13</v>
      </c>
      <c r="O193" s="14">
        <f>N193*VLOOKUP('Données projet'!$B$9,Paramètres!$A$1:$I$89,3,0)*VLOOKUP('Données projet'!$B$9,Paramètres!$A$1:$I$89,5,0)</f>
        <v>1.3596945791505279E-13</v>
      </c>
      <c r="P193" s="14">
        <f t="shared" si="141"/>
        <v>1.9708830566360721E-12</v>
      </c>
      <c r="Q193" s="22">
        <f t="shared" si="162"/>
        <v>3.669434796176543E-12</v>
      </c>
      <c r="R193" s="62">
        <f t="shared" si="109"/>
        <v>293.33333333333701</v>
      </c>
      <c r="S193" s="62">
        <f ca="1">AVERAGE(OFFSET($R$3,0,0,'Données projet'!$E$9+1,1))-AVERAGE(OFFSET($H$3,0,0,'Données projet'!$E$9+1,1))</f>
        <v>234.60993819620847</v>
      </c>
      <c r="T193" s="62">
        <f t="shared" si="142"/>
        <v>346.26896655159095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10.978929364812506</v>
      </c>
      <c r="AA193" s="23">
        <f>EXP(-LN(2)/25)*AA192+(1-EXP(-LN(2)/25))/(LN(2)/25)*Calculateur!V193*Calculateur!X193*VLOOKUP('Données projet'!$B$9,Paramètres!$A$1:$I$89,3,0)*0.475*44/12</f>
        <v>0.38395201215206121</v>
      </c>
      <c r="AB193" s="23">
        <f>EXP(-LN(2)/2)*AB192+(1-EXP(-LN(2)/2))/(LN(2)/2)*V193*Y193*VLOOKUP('Données projet'!$B$9,Paramètres!$A$1:$I$89,3,0)*0.475*44/12</f>
        <v>2.0524286649438937E-21</v>
      </c>
      <c r="AC193" s="24">
        <f t="shared" si="163"/>
        <v>11.362881376964568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-1.2414602679200469E-13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224.31750842452965</v>
      </c>
      <c r="AO193" s="62">
        <f t="shared" si="144"/>
        <v>94.125825809616856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30.567225027807616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30.567225027807616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2.2737367544323206E-13</v>
      </c>
      <c r="O194" s="14">
        <f>N194*VLOOKUP('Données projet'!$B$9,Paramètres!$A$1:$I$89,3,0)*VLOOKUP('Données projet'!$B$9,Paramètres!$A$1:$I$89,5,0)</f>
        <v>1.3596945791505279E-13</v>
      </c>
      <c r="P194" s="14">
        <f t="shared" si="141"/>
        <v>1.9708830566360721E-12</v>
      </c>
      <c r="Q194" s="22">
        <f t="shared" si="162"/>
        <v>3.669434796176543E-12</v>
      </c>
      <c r="R194" s="62">
        <f t="shared" si="109"/>
        <v>293.33333333333701</v>
      </c>
      <c r="S194" s="62">
        <f ca="1">AVERAGE(OFFSET($R$3,0,0,'Données projet'!$E$9+1,1))-AVERAGE(OFFSET($H$3,0,0,'Données projet'!$E$9+1,1))</f>
        <v>234.60993819620847</v>
      </c>
      <c r="T194" s="62">
        <f t="shared" si="142"/>
        <v>346.26896655159095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10.763639256454223</v>
      </c>
      <c r="AA194" s="23">
        <f>EXP(-LN(2)/25)*AA193+(1-EXP(-LN(2)/25))/(LN(2)/25)*Calculateur!V194*Calculateur!X194*VLOOKUP('Données projet'!$B$9,Paramètres!$A$1:$I$89,3,0)*0.475*44/12</f>
        <v>0.37345282418860432</v>
      </c>
      <c r="AB194" s="23">
        <f>EXP(-LN(2)/2)*AB193+(1-EXP(-LN(2)/2))/(LN(2)/2)*V194*Y194*VLOOKUP('Données projet'!$B$9,Paramètres!$A$1:$I$89,3,0)*0.475*44/12</f>
        <v>1.4512862268834798E-21</v>
      </c>
      <c r="AC194" s="24">
        <f t="shared" si="163"/>
        <v>11.137092080642827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-1.2414602679200469E-13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224.31750842452965</v>
      </c>
      <c r="AO194" s="62">
        <f t="shared" si="144"/>
        <v>94.125825809616856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29.967820389178616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29.967820389178616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2.2737367544323206E-13</v>
      </c>
      <c r="O195" s="14">
        <f>N195*VLOOKUP('Données projet'!$B$9,Paramètres!$A$1:$I$89,3,0)*VLOOKUP('Données projet'!$B$9,Paramètres!$A$1:$I$89,5,0)</f>
        <v>1.3596945791505279E-13</v>
      </c>
      <c r="P195" s="14">
        <f t="shared" si="141"/>
        <v>1.9708830566360721E-12</v>
      </c>
      <c r="Q195" s="22">
        <f t="shared" si="162"/>
        <v>3.669434796176543E-12</v>
      </c>
      <c r="R195" s="62">
        <f t="shared" ref="R195:R203" si="191">Q195+(I195+J195)*44/12</f>
        <v>293.33333333333701</v>
      </c>
      <c r="S195" s="62">
        <f ca="1">AVERAGE(OFFSET($R$3,0,0,'Données projet'!$E$9+1,1))-AVERAGE(OFFSET($H$3,0,0,'Données projet'!$E$9+1,1))</f>
        <v>234.60993819620847</v>
      </c>
      <c r="T195" s="62">
        <f t="shared" si="142"/>
        <v>346.26896655159095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10.552570855806845</v>
      </c>
      <c r="AA195" s="23">
        <f>EXP(-LN(2)/25)*AA194+(1-EXP(-LN(2)/25))/(LN(2)/25)*Calculateur!V195*Calculateur!X195*VLOOKUP('Données projet'!$B$9,Paramètres!$A$1:$I$89,3,0)*0.475*44/12</f>
        <v>0.36324073707213644</v>
      </c>
      <c r="AB195" s="23">
        <f>EXP(-LN(2)/2)*AB194+(1-EXP(-LN(2)/2))/(LN(2)/2)*V195*Y195*VLOOKUP('Données projet'!$B$9,Paramètres!$A$1:$I$89,3,0)*0.475*44/12</f>
        <v>1.0262143324719469E-21</v>
      </c>
      <c r="AC195" s="24">
        <f t="shared" si="163"/>
        <v>10.915811592878981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-1.2414602679200469E-13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224.31750842452965</v>
      </c>
      <c r="AO195" s="62">
        <f t="shared" si="144"/>
        <v>94.125825809616856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29.380169709912401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29.380169709912401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2.2737367544323206E-13</v>
      </c>
      <c r="O196" s="14">
        <f>N196*VLOOKUP('Données projet'!$B$9,Paramètres!$A$1:$I$89,3,0)*VLOOKUP('Données projet'!$B$9,Paramètres!$A$1:$I$89,5,0)</f>
        <v>1.3596945791505279E-13</v>
      </c>
      <c r="P196" s="14">
        <f t="shared" si="141"/>
        <v>1.9708830566360721E-12</v>
      </c>
      <c r="Q196" s="22">
        <f t="shared" si="162"/>
        <v>3.669434796176543E-12</v>
      </c>
      <c r="R196" s="62">
        <f t="shared" si="191"/>
        <v>293.33333333333701</v>
      </c>
      <c r="S196" s="62">
        <f ca="1">AVERAGE(OFFSET($R$3,0,0,'Données projet'!$E$9+1,1))-AVERAGE(OFFSET($H$3,0,0,'Données projet'!$E$9+1,1))</f>
        <v>234.60993819620847</v>
      </c>
      <c r="T196" s="62">
        <f t="shared" si="142"/>
        <v>346.26896655159095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10.345641377757151</v>
      </c>
      <c r="AA196" s="23">
        <f>EXP(-LN(2)/25)*AA195+(1-EXP(-LN(2)/25))/(LN(2)/25)*Calculateur!V196*Calculateur!X196*VLOOKUP('Données projet'!$B$9,Paramètres!$A$1:$I$89,3,0)*0.475*44/12</f>
        <v>0.3533079000148987</v>
      </c>
      <c r="AB196" s="23">
        <f>EXP(-LN(2)/2)*AB195+(1-EXP(-LN(2)/2))/(LN(2)/2)*V196*Y196*VLOOKUP('Données projet'!$B$9,Paramètres!$A$1:$I$89,3,0)*0.475*44/12</f>
        <v>7.2564311344173988E-22</v>
      </c>
      <c r="AC196" s="24">
        <f t="shared" si="163"/>
        <v>10.69894927777205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-1.2414602679200469E-13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224.31750842452965</v>
      </c>
      <c r="AO196" s="62">
        <f t="shared" si="144"/>
        <v>94.125825809616856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28.804042502035077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28.804042502035077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2.2737367544323206E-13</v>
      </c>
      <c r="O197" s="14">
        <f>N197*VLOOKUP('Données projet'!$B$9,Paramètres!$A$1:$I$89,3,0)*VLOOKUP('Données projet'!$B$9,Paramètres!$A$1:$I$89,5,0)</f>
        <v>1.3596945791505279E-13</v>
      </c>
      <c r="P197" s="14">
        <f t="shared" ref="P197:P203" si="203">EXP(-1.0587+0.8836*LN(O197)+0.284)</f>
        <v>1.9708830566360721E-12</v>
      </c>
      <c r="Q197" s="22">
        <f t="shared" si="162"/>
        <v>3.669434796176543E-12</v>
      </c>
      <c r="R197" s="62">
        <f t="shared" si="191"/>
        <v>293.33333333333701</v>
      </c>
      <c r="S197" s="62">
        <f ca="1">AVERAGE(OFFSET($R$3,0,0,'Données projet'!$E$9+1,1))-AVERAGE(OFFSET($H$3,0,0,'Données projet'!$E$9+1,1))</f>
        <v>234.60993819620847</v>
      </c>
      <c r="T197" s="62">
        <f t="shared" ref="T197:T203" si="204">$T$3</f>
        <v>346.26896655159095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10.142769660557491</v>
      </c>
      <c r="AA197" s="23">
        <f>EXP(-LN(2)/25)*AA196+(1-EXP(-LN(2)/25))/(LN(2)/25)*Calculateur!V197*Calculateur!X197*VLOOKUP('Données projet'!$B$9,Paramètres!$A$1:$I$89,3,0)*0.475*44/12</f>
        <v>0.34364667690933631</v>
      </c>
      <c r="AB197" s="23">
        <f>EXP(-LN(2)/2)*AB196+(1-EXP(-LN(2)/2))/(LN(2)/2)*V197*Y197*VLOOKUP('Données projet'!$B$9,Paramètres!$A$1:$I$89,3,0)*0.475*44/12</f>
        <v>5.1310716623597343E-22</v>
      </c>
      <c r="AC197" s="24">
        <f t="shared" si="163"/>
        <v>10.486416337466828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-1.2414602679200469E-13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224.31750842452965</v>
      </c>
      <c r="AO197" s="62">
        <f t="shared" ref="AO197:AO203" si="205">$AO$3</f>
        <v>94.125825809616856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28.239212797301327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28.239212797301327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2.2737367544323206E-13</v>
      </c>
      <c r="O198" s="14">
        <f>N198*VLOOKUP('Données projet'!$B$9,Paramètres!$A$1:$I$89,3,0)*VLOOKUP('Données projet'!$B$9,Paramètres!$A$1:$I$89,5,0)</f>
        <v>1.3596945791505279E-13</v>
      </c>
      <c r="P198" s="14">
        <f t="shared" si="203"/>
        <v>1.9708830566360721E-12</v>
      </c>
      <c r="Q198" s="22">
        <f t="shared" si="162"/>
        <v>3.669434796176543E-12</v>
      </c>
      <c r="R198" s="62">
        <f t="shared" si="191"/>
        <v>293.33333333333701</v>
      </c>
      <c r="S198" s="62">
        <f ca="1">AVERAGE(OFFSET($R$3,0,0,'Données projet'!$E$9+1,1))-AVERAGE(OFFSET($H$3,0,0,'Données projet'!$E$9+1,1))</f>
        <v>234.60993819620847</v>
      </c>
      <c r="T198" s="62">
        <f t="shared" si="204"/>
        <v>346.26896655159095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9.9438761339925872</v>
      </c>
      <c r="AA198" s="23">
        <f>EXP(-LN(2)/25)*AA197+(1-EXP(-LN(2)/25))/(LN(2)/25)*Calculateur!V198*Calculateur!X198*VLOOKUP('Données projet'!$B$9,Paramètres!$A$1:$I$89,3,0)*0.475*44/12</f>
        <v>0.3342496404576572</v>
      </c>
      <c r="AB198" s="23">
        <f>EXP(-LN(2)/2)*AB197+(1-EXP(-LN(2)/2))/(LN(2)/2)*V198*Y198*VLOOKUP('Données projet'!$B$9,Paramètres!$A$1:$I$89,3,0)*0.475*44/12</f>
        <v>3.6282155672086994E-22</v>
      </c>
      <c r="AC198" s="24">
        <f t="shared" si="163"/>
        <v>10.278125774450244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-1.2414602679200469E-13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224.31750842452965</v>
      </c>
      <c r="AO198" s="62">
        <f t="shared" si="205"/>
        <v>94.125825809616856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27.685459058565304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27.685459058565304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2.2737367544323206E-13</v>
      </c>
      <c r="O199" s="14">
        <f>N199*VLOOKUP('Données projet'!$B$9,Paramètres!$A$1:$I$89,3,0)*VLOOKUP('Données projet'!$B$9,Paramètres!$A$1:$I$89,5,0)</f>
        <v>1.3596945791505279E-13</v>
      </c>
      <c r="P199" s="14">
        <f t="shared" si="203"/>
        <v>1.9708830566360721E-12</v>
      </c>
      <c r="Q199" s="22">
        <f t="shared" si="162"/>
        <v>3.669434796176543E-12</v>
      </c>
      <c r="R199" s="62">
        <f t="shared" si="191"/>
        <v>293.33333333333701</v>
      </c>
      <c r="S199" s="62">
        <f ca="1">AVERAGE(OFFSET($R$3,0,0,'Données projet'!$E$9+1,1))-AVERAGE(OFFSET($H$3,0,0,'Données projet'!$E$9+1,1))</f>
        <v>234.60993819620847</v>
      </c>
      <c r="T199" s="62">
        <f t="shared" si="204"/>
        <v>346.26896655159095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9.7488827881705493</v>
      </c>
      <c r="AA199" s="23">
        <f>EXP(-LN(2)/25)*AA198+(1-EXP(-LN(2)/25))/(LN(2)/25)*Calculateur!V199*Calculateur!X199*VLOOKUP('Données projet'!$B$9,Paramètres!$A$1:$I$89,3,0)*0.475*44/12</f>
        <v>0.32510956646191791</v>
      </c>
      <c r="AB199" s="23">
        <f>EXP(-LN(2)/2)*AB198+(1-EXP(-LN(2)/2))/(LN(2)/2)*V199*Y199*VLOOKUP('Données projet'!$B$9,Paramètres!$A$1:$I$89,3,0)*0.475*44/12</f>
        <v>2.5655358311798672E-22</v>
      </c>
      <c r="AC199" s="24">
        <f t="shared" si="163"/>
        <v>10.073992354632468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-1.2414602679200469E-13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224.31750842452965</v>
      </c>
      <c r="AO199" s="62">
        <f t="shared" si="205"/>
        <v>94.125825809616856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27.142564092889465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27.142564092889465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2.2737367544323206E-13</v>
      </c>
      <c r="O200" s="14">
        <f>N200*VLOOKUP('Données projet'!$B$9,Paramètres!$A$1:$I$89,3,0)*VLOOKUP('Données projet'!$B$9,Paramètres!$A$1:$I$89,5,0)</f>
        <v>1.3596945791505279E-13</v>
      </c>
      <c r="P200" s="14">
        <f t="shared" si="203"/>
        <v>1.9708830566360721E-12</v>
      </c>
      <c r="Q200" s="22">
        <f t="shared" si="162"/>
        <v>3.669434796176543E-12</v>
      </c>
      <c r="R200" s="62">
        <f t="shared" si="191"/>
        <v>293.33333333333701</v>
      </c>
      <c r="S200" s="62">
        <f ca="1">AVERAGE(OFFSET($R$3,0,0,'Données projet'!$E$9+1,1))-AVERAGE(OFFSET($H$3,0,0,'Données projet'!$E$9+1,1))</f>
        <v>234.60993819620847</v>
      </c>
      <c r="T200" s="62">
        <f t="shared" si="204"/>
        <v>346.26896655159095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9.5577131429258841</v>
      </c>
      <c r="AA200" s="23">
        <f>EXP(-LN(2)/25)*AA199+(1-EXP(-LN(2)/25))/(LN(2)/25)*Calculateur!V200*Calculateur!X200*VLOOKUP('Données projet'!$B$9,Paramètres!$A$1:$I$89,3,0)*0.475*44/12</f>
        <v>0.31621942827024774</v>
      </c>
      <c r="AB200" s="23">
        <f>EXP(-LN(2)/2)*AB199+(1-EXP(-LN(2)/2))/(LN(2)/2)*V200*Y200*VLOOKUP('Données projet'!$B$9,Paramètres!$A$1:$I$89,3,0)*0.475*44/12</f>
        <v>1.8141077836043497E-22</v>
      </c>
      <c r="AC200" s="24">
        <f t="shared" si="163"/>
        <v>9.8739325711961321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-1.2414602679200469E-13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224.31750842452965</v>
      </c>
      <c r="AO200" s="62">
        <f t="shared" si="205"/>
        <v>94.125825809616856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26.610314966357297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26.610314966357297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2.2737367544323206E-13</v>
      </c>
      <c r="O201" s="14">
        <f>N201*VLOOKUP('Données projet'!$B$9,Paramètres!$A$1:$I$89,3,0)*VLOOKUP('Données projet'!$B$9,Paramètres!$A$1:$I$89,5,0)</f>
        <v>1.3596945791505279E-13</v>
      </c>
      <c r="P201" s="14">
        <f t="shared" si="203"/>
        <v>1.9708830566360721E-12</v>
      </c>
      <c r="Q201" s="22">
        <f t="shared" si="162"/>
        <v>3.669434796176543E-12</v>
      </c>
      <c r="R201" s="62">
        <f t="shared" si="191"/>
        <v>293.33333333333701</v>
      </c>
      <c r="S201" s="62">
        <f ca="1">AVERAGE(OFFSET($R$3,0,0,'Données projet'!$E$9+1,1))-AVERAGE(OFFSET($H$3,0,0,'Données projet'!$E$9+1,1))</f>
        <v>234.60993819620847</v>
      </c>
      <c r="T201" s="62">
        <f t="shared" si="204"/>
        <v>346.26896655159095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9.370292217822497</v>
      </c>
      <c r="AA201" s="23">
        <f>EXP(-LN(2)/25)*AA200+(1-EXP(-LN(2)/25))/(LN(2)/25)*Calculateur!V201*Calculateur!X201*VLOOKUP('Données projet'!$B$9,Paramètres!$A$1:$I$89,3,0)*0.475*44/12</f>
        <v>0.3075723913749408</v>
      </c>
      <c r="AB201" s="23">
        <f>EXP(-LN(2)/2)*AB200+(1-EXP(-LN(2)/2))/(LN(2)/2)*V201*Y201*VLOOKUP('Données projet'!$B$9,Paramètres!$A$1:$I$89,3,0)*0.475*44/12</f>
        <v>1.2827679155899336E-22</v>
      </c>
      <c r="AC201" s="24">
        <f t="shared" si="163"/>
        <v>9.677864609197437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-1.2414602679200469E-13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224.31750842452965</v>
      </c>
      <c r="AO201" s="62">
        <f t="shared" si="205"/>
        <v>94.125825809616856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26.088502920556511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26.088502920556511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2.2737367544323206E-13</v>
      </c>
      <c r="O202" s="14">
        <f>N202*VLOOKUP('Données projet'!$B$9,Paramètres!$A$1:$I$89,3,0)*VLOOKUP('Données projet'!$B$9,Paramètres!$A$1:$I$89,5,0)</f>
        <v>1.3596945791505279E-13</v>
      </c>
      <c r="P202" s="14">
        <f t="shared" si="203"/>
        <v>1.9708830566360721E-12</v>
      </c>
      <c r="Q202" s="22">
        <f t="shared" si="162"/>
        <v>3.669434796176543E-12</v>
      </c>
      <c r="R202" s="62">
        <f t="shared" si="191"/>
        <v>293.33333333333701</v>
      </c>
      <c r="S202" s="62">
        <f ca="1">AVERAGE(OFFSET($R$3,0,0,'Données projet'!$E$9+1,1))-AVERAGE(OFFSET($H$3,0,0,'Données projet'!$E$9+1,1))</f>
        <v>234.60993819620847</v>
      </c>
      <c r="T202" s="62">
        <f t="shared" si="204"/>
        <v>346.26896655159095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9.1865465027449105</v>
      </c>
      <c r="AA202" s="23">
        <f>EXP(-LN(2)/25)*AA201+(1-EXP(-LN(2)/25))/(LN(2)/25)*Calculateur!V202*Calculateur!X202*VLOOKUP('Données projet'!$B$9,Paramètres!$A$1:$I$89,3,0)*0.475*44/12</f>
        <v>0.29916180815826393</v>
      </c>
      <c r="AB202" s="23">
        <f>EXP(-LN(2)/2)*AB201+(1-EXP(-LN(2)/2))/(LN(2)/2)*V202*Y202*VLOOKUP('Données projet'!$B$9,Paramètres!$A$1:$I$89,3,0)*0.475*44/12</f>
        <v>9.0705389180217485E-23</v>
      </c>
      <c r="AC202" s="24">
        <f t="shared" si="163"/>
        <v>9.4857083109031741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-1.2414602679200469E-13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224.31750842452965</v>
      </c>
      <c r="AO202" s="62">
        <f t="shared" si="205"/>
        <v>94.125825809616856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25.576923290699959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25.576923290699959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2.2737367544323206E-13</v>
      </c>
      <c r="O203" s="14">
        <f>N203*VLOOKUP('Données projet'!$B$9,Paramètres!$A$1:$I$89,3,0)*VLOOKUP('Données projet'!$B$9,Paramètres!$A$1:$I$89,5,0)</f>
        <v>1.3596945791505279E-13</v>
      </c>
      <c r="P203" s="14">
        <f t="shared" si="203"/>
        <v>1.9708830566360721E-12</v>
      </c>
      <c r="Q203" s="22">
        <f t="shared" si="162"/>
        <v>3.669434796176543E-12</v>
      </c>
      <c r="R203" s="62">
        <f t="shared" si="191"/>
        <v>293.33333333333701</v>
      </c>
      <c r="S203" s="62">
        <f ca="1">AVERAGE(OFFSET($R$3,0,0,'Données projet'!$E$9+1,1))-AVERAGE(OFFSET($H$3,0,0,'Données projet'!$E$9+1,1))</f>
        <v>234.60993819620847</v>
      </c>
      <c r="T203" s="62">
        <f t="shared" si="204"/>
        <v>346.26896655159095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9.0064039290661757</v>
      </c>
      <c r="AA203" s="23">
        <f>EXP(-LN(2)/25)*AA202+(1-EXP(-LN(2)/25))/(LN(2)/25)*Calculateur!V203*Calculateur!X203*VLOOKUP('Données projet'!$B$9,Paramètres!$A$1:$I$89,3,0)*0.475*44/12</f>
        <v>0.29098121278194045</v>
      </c>
      <c r="AB203" s="23">
        <f>EXP(-LN(2)/2)*AB202+(1-EXP(-LN(2)/2))/(LN(2)/2)*V203*Y203*VLOOKUP('Données projet'!$B$9,Paramètres!$A$1:$I$89,3,0)*0.475*44/12</f>
        <v>6.4138395779496679E-23</v>
      </c>
      <c r="AC203" s="24">
        <f t="shared" si="163"/>
        <v>9.2973851418481157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-1.2414602679200469E-13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224.31750842452965</v>
      </c>
      <c r="AO203" s="62">
        <f t="shared" si="205"/>
        <v>94.125825809616856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25.075375425352131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25.075375425352131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1.3973210857138749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1.1457367676485573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12" zoomScale="90" zoomScaleNormal="90" workbookViewId="0">
      <selection activeCell="O45" sqref="O45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Pin maritime</v>
      </c>
      <c r="B6" s="155">
        <f>'Données projet'!D9</f>
        <v>50.249994000000001</v>
      </c>
      <c r="C6" s="156">
        <f ca="1">IF(OR('Données projet'!B9="",'Données projet'!C9="",'Données projet'!C9=0%),0,Calculateur!S3)</f>
        <v>234.60993819620847</v>
      </c>
      <c r="D6" s="156">
        <f>IF(OR('Données projet'!B9="",'Données projet'!C9="",'Données projet'!C9=0%),0,Calculateur!T3)</f>
        <v>346.26896655159095</v>
      </c>
      <c r="E6" s="156">
        <f ca="1">MIN(C6,D6)</f>
        <v>234.60993819620847</v>
      </c>
      <c r="F6" s="156">
        <f ca="1">E6*B6</f>
        <v>11789.147986699847</v>
      </c>
      <c r="G6" s="156">
        <f ca="1">F6*(100%-'Données projet'!$C$24)*(100%-'Données projet'!$C$25)*(100%-'Données projet'!$C$26)*(100%-'Données projet'!$C$27)</f>
        <v>7214.9585678603062</v>
      </c>
      <c r="H6" s="157">
        <f>IF(OR('Données projet'!B9="",'Données projet'!C9="",'Données projet'!C9=0%),0,AVERAGE(Calculateur!$AC$3:$AC$33)*B6)</f>
        <v>751.19123813017075</v>
      </c>
      <c r="I6" s="158">
        <f>H6*(100%-'Données projet'!$C$24)*(100%-'Données projet'!$C$25)*(100%-'Données projet'!$C$26)*(100%-'Données projet'!$C$27)</f>
        <v>459.72903773566452</v>
      </c>
      <c r="J6" s="159">
        <f>IF(OR('Données projet'!B9="",'Données projet'!C9="",'Données projet'!C9=0%),0,SUM(Calculateur!$V$3:$V$33)*VLOOKUP('Données projet'!$B$9,Paramètres!$A$1:$I$89,9,0)*B6)</f>
        <v>4586.7641773265996</v>
      </c>
      <c r="K6" s="160">
        <f>J6*(100%-'Données projet'!$C$24)*(100%-'Données projet'!$C$25)*(100%-'Données projet'!$C$26)*(100%-'Données projet'!$C$27)</f>
        <v>2807.0996765238792</v>
      </c>
      <c r="L6" s="161">
        <f ca="1">G6+I6+K6</f>
        <v>10481.787282119851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>Chêne-liège</v>
      </c>
      <c r="B7" s="163">
        <f>'Données projet'!D10</f>
        <v>0.75000600000000006</v>
      </c>
      <c r="C7" s="156">
        <f ca="1">IF(OR('Données projet'!B10="",'Données projet'!C10="",'Données projet'!C10=0%),0,Calculateur!AN3)</f>
        <v>224.31750842452965</v>
      </c>
      <c r="D7" s="156">
        <f>IF(OR('Données projet'!B10="",'Données projet'!C10="",'Données projet'!C10=0%),0,Calculateur!AO3)</f>
        <v>94.125825809616856</v>
      </c>
      <c r="E7" s="156">
        <f t="shared" ref="E7:E15" ca="1" si="0">MIN(C7,D7)</f>
        <v>94.125825809616856</v>
      </c>
      <c r="F7" s="156">
        <f t="shared" ref="F7:F15" ca="1" si="1">E7*B7</f>
        <v>70.594934112167508</v>
      </c>
      <c r="G7" s="156">
        <f ca="1">F7*(100%-'Données projet'!$C$24)*(100%-'Données projet'!$C$25)*(100%-'Données projet'!$C$26)*(100%-'Données projet'!$C$27)</f>
        <v>43.204099676646514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43.204099676646514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5"/>
      <c r="B16" s="232"/>
      <c r="C16" s="233"/>
      <c r="D16" s="25"/>
      <c r="E16" s="25"/>
      <c r="F16" s="174">
        <f t="shared" ref="F16:L16" ca="1" si="3">SUM(F6:F15)</f>
        <v>11859.742920812014</v>
      </c>
      <c r="G16" s="175">
        <f t="shared" ca="1" si="3"/>
        <v>7258.1626675369525</v>
      </c>
      <c r="H16" s="176">
        <f t="shared" si="3"/>
        <v>751.19123813017075</v>
      </c>
      <c r="I16" s="176">
        <f t="shared" si="3"/>
        <v>459.72903773566452</v>
      </c>
      <c r="J16" s="177">
        <f t="shared" si="3"/>
        <v>4586.7641773265996</v>
      </c>
      <c r="K16" s="177">
        <f t="shared" si="3"/>
        <v>2807.0996765238792</v>
      </c>
      <c r="L16" s="178">
        <f t="shared" ca="1" si="3"/>
        <v>10524.991381796497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>Chêne-liège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/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/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/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C54" sqref="C54:C73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39" t="s">
        <v>315</v>
      </c>
      <c r="I4" s="339"/>
      <c r="K4" s="336" t="s">
        <v>253</v>
      </c>
      <c r="L4" s="337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28" t="s">
        <v>310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50.249994000000001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>Chêne-liège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0.75000600000000006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/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/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/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0"/>
      <c r="G15" s="340" t="s">
        <v>318</v>
      </c>
      <c r="H15" s="203"/>
      <c r="I15" s="204"/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40"/>
      <c r="H16" s="203"/>
      <c r="I16" s="204"/>
      <c r="J16" s="215"/>
      <c r="K16" s="224"/>
      <c r="L16" s="336" t="s">
        <v>254</v>
      </c>
      <c r="M16" s="337"/>
      <c r="N16" s="2"/>
      <c r="O16" s="25"/>
      <c r="P16" s="25"/>
      <c r="Q16" s="264"/>
      <c r="R16" s="25"/>
      <c r="S16" s="185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9">
        <v>0</v>
      </c>
      <c r="B17" s="212" t="s">
        <v>132</v>
      </c>
      <c r="C17" s="211" t="s">
        <v>132</v>
      </c>
      <c r="D17" s="210" t="s">
        <v>132</v>
      </c>
      <c r="E17" s="206"/>
      <c r="F17" s="260"/>
      <c r="G17" s="340"/>
      <c r="J17" s="215"/>
      <c r="K17" s="224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5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40"/>
      <c r="J18" s="215"/>
      <c r="K18" s="224"/>
      <c r="L18" s="294" t="s">
        <v>255</v>
      </c>
      <c r="M18" s="296"/>
      <c r="N18" s="205"/>
      <c r="O18" s="25"/>
      <c r="P18" s="25"/>
      <c r="Q18" s="264"/>
      <c r="R18" s="25"/>
      <c r="S18" s="185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40"/>
      <c r="H19" s="231" t="s">
        <v>178</v>
      </c>
      <c r="I19" s="231" t="s">
        <v>287</v>
      </c>
      <c r="J19" s="259"/>
      <c r="K19" s="183"/>
      <c r="L19" s="336" t="s">
        <v>288</v>
      </c>
      <c r="M19" s="337"/>
      <c r="N19" s="191">
        <f>N17*N18</f>
        <v>0</v>
      </c>
      <c r="O19" s="25"/>
      <c r="P19" s="5"/>
      <c r="Q19" s="265"/>
      <c r="R19" s="5"/>
      <c r="S19" s="185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40"/>
      <c r="H20" s="203">
        <v>0</v>
      </c>
      <c r="I20" s="204"/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>
        <v>1</v>
      </c>
      <c r="I21" s="204"/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>
        <v>2</v>
      </c>
      <c r="I22" s="204"/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14</v>
      </c>
      <c r="B23" s="193">
        <f>'Données projet'!D36</f>
        <v>34.25</v>
      </c>
      <c r="C23" s="206"/>
      <c r="D23" s="194">
        <f>B23*C23</f>
        <v>0</v>
      </c>
      <c r="E23" s="206"/>
      <c r="F23" s="260"/>
      <c r="H23" s="203">
        <v>3</v>
      </c>
      <c r="I23" s="204"/>
      <c r="K23" s="224"/>
      <c r="L23" s="338" t="s">
        <v>260</v>
      </c>
      <c r="M23" s="338"/>
      <c r="N23" s="338"/>
      <c r="O23" s="25"/>
      <c r="P23" s="25"/>
      <c r="Q23" s="264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19</v>
      </c>
      <c r="B24" s="193">
        <f>'Données projet'!D37</f>
        <v>59.5</v>
      </c>
      <c r="C24" s="206"/>
      <c r="D24" s="194">
        <f t="shared" ref="D24:D42" si="2">B24*C24</f>
        <v>0</v>
      </c>
      <c r="E24" s="206"/>
      <c r="F24" s="263"/>
      <c r="H24" s="203">
        <v>4</v>
      </c>
      <c r="I24" s="204"/>
      <c r="K24" s="224"/>
      <c r="O24" s="25"/>
      <c r="P24" s="25"/>
      <c r="Q24" s="264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25</v>
      </c>
      <c r="B25" s="193">
        <f>'Données projet'!D38</f>
        <v>60.96</v>
      </c>
      <c r="C25" s="206"/>
      <c r="D25" s="194">
        <f t="shared" si="2"/>
        <v>0</v>
      </c>
      <c r="E25" s="206"/>
      <c r="F25" s="263"/>
      <c r="G25" s="1"/>
      <c r="H25" s="203">
        <v>5</v>
      </c>
      <c r="I25" s="204"/>
      <c r="K25" s="224"/>
      <c r="L25" s="270" t="s">
        <v>285</v>
      </c>
      <c r="M25" s="270"/>
      <c r="N25" s="270"/>
      <c r="O25" s="270"/>
      <c r="P25" s="205"/>
      <c r="Q25" s="264"/>
      <c r="R25" s="25"/>
      <c r="S25" s="198" t="s">
        <v>266</v>
      </c>
      <c r="T25" s="335">
        <f ca="1">T23-T24</f>
        <v>0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32</v>
      </c>
      <c r="B26" s="193">
        <f>'Données projet'!D39</f>
        <v>76.42</v>
      </c>
      <c r="C26" s="206"/>
      <c r="D26" s="194">
        <f t="shared" si="2"/>
        <v>0</v>
      </c>
      <c r="E26" s="206"/>
      <c r="F26" s="263"/>
      <c r="G26" s="258"/>
      <c r="H26" s="203"/>
      <c r="I26" s="204"/>
      <c r="K26" s="224"/>
      <c r="L26" s="322" t="s">
        <v>258</v>
      </c>
      <c r="M26" s="323"/>
      <c r="N26" s="323"/>
      <c r="O26" s="323"/>
      <c r="P26" s="324"/>
      <c r="Q26" s="264"/>
      <c r="R26" s="25"/>
      <c r="S26" s="198" t="s">
        <v>265</v>
      </c>
      <c r="T26" s="332" t="str">
        <f ca="1">IF(T25&lt;0,"Votre projet est additionnel","Votre projet n'est pas additionnel")</f>
        <v>Votre projet n'est pas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45</v>
      </c>
      <c r="B27" s="193">
        <f>'Données projet'!D40</f>
        <v>503.89</v>
      </c>
      <c r="C27" s="206"/>
      <c r="D27" s="194">
        <f t="shared" si="2"/>
        <v>0</v>
      </c>
      <c r="E27" s="206"/>
      <c r="F27" s="263"/>
      <c r="G27" s="258"/>
      <c r="H27" s="203"/>
      <c r="I27" s="204"/>
      <c r="K27" s="224"/>
      <c r="L27" s="325"/>
      <c r="M27" s="326"/>
      <c r="N27" s="326"/>
      <c r="O27" s="326"/>
      <c r="P27" s="327"/>
      <c r="Q27" s="264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>Chêne-liège</v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9">
        <v>0</v>
      </c>
      <c r="B48" s="212" t="s">
        <v>132</v>
      </c>
      <c r="C48" s="211" t="s">
        <v>132</v>
      </c>
      <c r="D48" s="210" t="s">
        <v>132</v>
      </c>
      <c r="E48" s="206"/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25</v>
      </c>
      <c r="B54" s="193">
        <f>'Données projet'!D62</f>
        <v>0</v>
      </c>
      <c r="C54" s="204"/>
      <c r="D54" s="191">
        <f>B54*C54</f>
        <v>0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30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35</v>
      </c>
      <c r="B56" s="193">
        <f>'Données projet'!D64</f>
        <v>13</v>
      </c>
      <c r="C56" s="204"/>
      <c r="D56" s="191">
        <f t="shared" si="4"/>
        <v>0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40</v>
      </c>
      <c r="B57" s="193">
        <f>'Données projet'!D65</f>
        <v>14</v>
      </c>
      <c r="C57" s="204"/>
      <c r="D57" s="191">
        <f t="shared" si="4"/>
        <v>0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45</v>
      </c>
      <c r="B58" s="193">
        <f>'Données projet'!D66</f>
        <v>14</v>
      </c>
      <c r="C58" s="204"/>
      <c r="D58" s="191">
        <f t="shared" si="4"/>
        <v>0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50</v>
      </c>
      <c r="B59" s="193">
        <f>'Données projet'!D67</f>
        <v>14</v>
      </c>
      <c r="C59" s="204"/>
      <c r="D59" s="191">
        <f t="shared" si="4"/>
        <v>0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55</v>
      </c>
      <c r="B60" s="193">
        <f>'Données projet'!D68</f>
        <v>14</v>
      </c>
      <c r="C60" s="204"/>
      <c r="D60" s="191">
        <f t="shared" si="4"/>
        <v>0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60</v>
      </c>
      <c r="B61" s="193">
        <f>'Données projet'!D69</f>
        <v>14</v>
      </c>
      <c r="C61" s="204"/>
      <c r="D61" s="191">
        <f t="shared" si="4"/>
        <v>0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65</v>
      </c>
      <c r="B62" s="193">
        <f>'Données projet'!D70</f>
        <v>14</v>
      </c>
      <c r="C62" s="204"/>
      <c r="D62" s="191">
        <f t="shared" si="4"/>
        <v>0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70</v>
      </c>
      <c r="B63" s="193">
        <f>'Données projet'!D71</f>
        <v>14</v>
      </c>
      <c r="C63" s="204"/>
      <c r="D63" s="191">
        <f t="shared" si="4"/>
        <v>0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75</v>
      </c>
      <c r="B64" s="193">
        <f>'Données projet'!D72</f>
        <v>14</v>
      </c>
      <c r="C64" s="204"/>
      <c r="D64" s="191">
        <f t="shared" si="4"/>
        <v>0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80</v>
      </c>
      <c r="B65" s="193">
        <f>'Données projet'!D73</f>
        <v>14</v>
      </c>
      <c r="C65" s="204"/>
      <c r="D65" s="191">
        <f t="shared" si="4"/>
        <v>0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85</v>
      </c>
      <c r="B66" s="193">
        <f>'Données projet'!D74</f>
        <v>14</v>
      </c>
      <c r="C66" s="204"/>
      <c r="D66" s="191">
        <f t="shared" si="4"/>
        <v>0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90</v>
      </c>
      <c r="B67" s="193">
        <f>'Données projet'!D75</f>
        <v>14</v>
      </c>
      <c r="C67" s="204"/>
      <c r="D67" s="191">
        <f t="shared" si="4"/>
        <v>0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95</v>
      </c>
      <c r="B68" s="193">
        <f>'Données projet'!D76</f>
        <v>14</v>
      </c>
      <c r="C68" s="204"/>
      <c r="D68" s="191">
        <f t="shared" si="4"/>
        <v>0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100</v>
      </c>
      <c r="B69" s="193">
        <f>'Données projet'!D77</f>
        <v>14</v>
      </c>
      <c r="C69" s="204"/>
      <c r="D69" s="191">
        <f t="shared" si="4"/>
        <v>0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105</v>
      </c>
      <c r="B70" s="193">
        <f>'Données projet'!D78</f>
        <v>14</v>
      </c>
      <c r="C70" s="204"/>
      <c r="D70" s="191">
        <f t="shared" si="4"/>
        <v>0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110</v>
      </c>
      <c r="B71" s="193">
        <f>'Données projet'!D79</f>
        <v>13</v>
      </c>
      <c r="C71" s="204"/>
      <c r="D71" s="191">
        <f t="shared" si="4"/>
        <v>0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115</v>
      </c>
      <c r="B72" s="193">
        <f>'Données projet'!D80</f>
        <v>13</v>
      </c>
      <c r="C72" s="204"/>
      <c r="D72" s="191">
        <f t="shared" si="4"/>
        <v>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120</v>
      </c>
      <c r="B73" s="193">
        <f>'Données projet'!D81</f>
        <v>221</v>
      </c>
      <c r="C73" s="204"/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9">
        <v>0</v>
      </c>
      <c r="B79" s="212" t="s">
        <v>132</v>
      </c>
      <c r="C79" s="211" t="s">
        <v>132</v>
      </c>
      <c r="D79" s="210" t="s">
        <v>132</v>
      </c>
      <c r="E79" s="206"/>
      <c r="F79" s="261"/>
      <c r="G79" s="222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0</v>
      </c>
      <c r="B85" s="193">
        <f>'Données projet'!D88</f>
        <v>0</v>
      </c>
      <c r="C85" s="204">
        <f>225*'Données projet'!E88+13.8*('Données projet'!F88+'Données projet'!G88)+10*'Données projet'!H88</f>
        <v>0</v>
      </c>
      <c r="D85" s="191">
        <f>B85*C85</f>
        <v>0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0</v>
      </c>
      <c r="B86" s="193">
        <f>'Données projet'!D89</f>
        <v>0</v>
      </c>
      <c r="C86" s="204">
        <f>225*'Données projet'!E89+13.8*('Données projet'!F89+'Données projet'!G89)+10*'Données projet'!H89</f>
        <v>0</v>
      </c>
      <c r="D86" s="191">
        <f t="shared" ref="D86:D104" si="6">B86*C86</f>
        <v>0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0</v>
      </c>
      <c r="B87" s="193">
        <f>'Données projet'!D90</f>
        <v>0</v>
      </c>
      <c r="C87" s="204">
        <f>225*'Données projet'!E90+13.8*('Données projet'!F90+'Données projet'!G90)+10*'Données projet'!H90</f>
        <v>0</v>
      </c>
      <c r="D87" s="191">
        <f t="shared" si="6"/>
        <v>0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0</v>
      </c>
      <c r="B88" s="193">
        <f>'Données projet'!D91</f>
        <v>0</v>
      </c>
      <c r="C88" s="204">
        <f>225*'Données projet'!E91+13.8*('Données projet'!F91+'Données projet'!G91)+10*'Données projet'!H91</f>
        <v>0</v>
      </c>
      <c r="D88" s="191">
        <f t="shared" si="6"/>
        <v>0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0</v>
      </c>
      <c r="B89" s="193">
        <f>'Données projet'!D92</f>
        <v>0</v>
      </c>
      <c r="C89" s="204">
        <f>225*'Données projet'!E92+13.8*('Données projet'!F92+'Données projet'!G92)+10*'Données projet'!H92</f>
        <v>0</v>
      </c>
      <c r="D89" s="191">
        <f t="shared" si="6"/>
        <v>0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0</v>
      </c>
      <c r="B90" s="193">
        <f>'Données projet'!D93</f>
        <v>0</v>
      </c>
      <c r="C90" s="204">
        <f>225*'Données projet'!E93+13.8*('Données projet'!F93+'Données projet'!G93)+10*'Données projet'!H93</f>
        <v>0</v>
      </c>
      <c r="D90" s="191">
        <f t="shared" si="6"/>
        <v>0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0</v>
      </c>
      <c r="B91" s="193">
        <f>'Données projet'!D94</f>
        <v>0</v>
      </c>
      <c r="C91" s="204">
        <f>225*'Données projet'!E94+13.8*('Données projet'!F94+'Données projet'!G94)+10*'Données projet'!H94</f>
        <v>0</v>
      </c>
      <c r="D91" s="191">
        <f t="shared" si="6"/>
        <v>0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0</v>
      </c>
      <c r="B92" s="193">
        <f>'Données projet'!D95</f>
        <v>0</v>
      </c>
      <c r="C92" s="204">
        <f>225*'Données projet'!E95+13.8*('Données projet'!F95+'Données projet'!G95)+10*'Données projet'!H95</f>
        <v>0</v>
      </c>
      <c r="D92" s="191">
        <f t="shared" si="6"/>
        <v>0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0</v>
      </c>
      <c r="B93" s="193">
        <f>'Données projet'!D96</f>
        <v>0</v>
      </c>
      <c r="C93" s="204">
        <f>225*'Données projet'!E96+13.8*('Données projet'!F96+'Données projet'!G96)+10*'Données projet'!H96</f>
        <v>0</v>
      </c>
      <c r="D93" s="191">
        <f t="shared" si="6"/>
        <v>0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0</v>
      </c>
      <c r="B94" s="193">
        <f>'Données projet'!D97</f>
        <v>0</v>
      </c>
      <c r="C94" s="204">
        <f>225*'Données projet'!E97+13.8*('Données projet'!F97+'Données projet'!G97)+10*'Données projet'!H97</f>
        <v>0</v>
      </c>
      <c r="D94" s="191">
        <f t="shared" si="6"/>
        <v>0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0</v>
      </c>
      <c r="B95" s="193">
        <f>'Données projet'!D98</f>
        <v>0</v>
      </c>
      <c r="C95" s="204">
        <f>225*'Données projet'!E98+13.8*('Données projet'!F98+'Données projet'!G98)+10*'Données projet'!H98</f>
        <v>0</v>
      </c>
      <c r="D95" s="191">
        <f t="shared" si="6"/>
        <v>0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0</v>
      </c>
      <c r="B96" s="193">
        <f>'Données projet'!D99</f>
        <v>0</v>
      </c>
      <c r="C96" s="204">
        <f>225*'Données projet'!E99+13.8*('Données projet'!F99+'Données projet'!G99)+10*'Données projet'!H99</f>
        <v>0</v>
      </c>
      <c r="D96" s="191">
        <f t="shared" si="6"/>
        <v>0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0</v>
      </c>
      <c r="B97" s="193">
        <f>'Données projet'!D100</f>
        <v>0</v>
      </c>
      <c r="C97" s="204">
        <f>225*'Données projet'!E100+13.8*('Données projet'!F100+'Données projet'!G100)+10*'Données projet'!H100</f>
        <v>0</v>
      </c>
      <c r="D97" s="191">
        <f t="shared" si="6"/>
        <v>0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0</v>
      </c>
      <c r="B98" s="193">
        <f>'Données projet'!D101</f>
        <v>0</v>
      </c>
      <c r="C98" s="204">
        <f>225*'Données projet'!E101+13.8*('Données projet'!F101+'Données projet'!G101)+10*'Données projet'!H101</f>
        <v>0</v>
      </c>
      <c r="D98" s="191">
        <f t="shared" si="6"/>
        <v>0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0</v>
      </c>
      <c r="B99" s="193">
        <f>'Données projet'!D102</f>
        <v>0</v>
      </c>
      <c r="C99" s="204">
        <f>225*'Données projet'!E102+13.8*('Données projet'!F102+'Données projet'!G102)+10*'Données projet'!H102</f>
        <v>0</v>
      </c>
      <c r="D99" s="191">
        <f t="shared" si="6"/>
        <v>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0</v>
      </c>
      <c r="B100" s="193">
        <f>'Données projet'!D103</f>
        <v>0</v>
      </c>
      <c r="C100" s="204">
        <f>225*'Données projet'!E103+13.8*('Données projet'!F103+'Données projet'!G103)+10*'Données projet'!H103</f>
        <v>0</v>
      </c>
      <c r="D100" s="191">
        <f t="shared" si="6"/>
        <v>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0</v>
      </c>
      <c r="B101" s="193">
        <f>'Données projet'!D104</f>
        <v>0</v>
      </c>
      <c r="C101" s="204">
        <f>225*'Données projet'!E104+13.8*('Données projet'!F104+'Données projet'!G104)+10*'Données projet'!H104</f>
        <v>0</v>
      </c>
      <c r="D101" s="191">
        <f t="shared" si="6"/>
        <v>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>
        <f>225*'Données projet'!E105+13.8*('Données projet'!F105+'Données projet'!G105)+10*'Données projet'!H105</f>
        <v>0</v>
      </c>
      <c r="D102" s="191">
        <f t="shared" si="6"/>
        <v>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>
        <f>225*'Données projet'!E106+13.8*('Données projet'!F106+'Données projet'!G106)+10*'Données projet'!H106</f>
        <v>0</v>
      </c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>
        <f>225*'Données projet'!E107+13.8*('Données projet'!F107+'Données projet'!G107)+10*'Données projet'!H107</f>
        <v>0</v>
      </c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9">
        <v>0</v>
      </c>
      <c r="B110" s="212" t="s">
        <v>132</v>
      </c>
      <c r="C110" s="211" t="s">
        <v>132</v>
      </c>
      <c r="D110" s="210" t="s">
        <v>132</v>
      </c>
      <c r="E110" s="206"/>
      <c r="F110" s="261"/>
      <c r="G110" s="222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0</v>
      </c>
      <c r="B116" s="193">
        <f>'Données projet'!D114</f>
        <v>0</v>
      </c>
      <c r="C116" s="204">
        <f>225*'Données projet'!E114+13.8*('Données projet'!F114+'Données projet'!G114)+10*'Données projet'!H114</f>
        <v>0</v>
      </c>
      <c r="D116" s="191">
        <f>B116*C116</f>
        <v>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0</v>
      </c>
      <c r="B117" s="193">
        <f>'Données projet'!D115</f>
        <v>0</v>
      </c>
      <c r="C117" s="204">
        <f>225*'Données projet'!E115+13.8*('Données projet'!F115+'Données projet'!G115)+10*'Données projet'!H115</f>
        <v>0</v>
      </c>
      <c r="D117" s="191">
        <f t="shared" ref="D117:D135" si="8">B117*C117</f>
        <v>0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0</v>
      </c>
      <c r="B118" s="193">
        <f>'Données projet'!D116</f>
        <v>0</v>
      </c>
      <c r="C118" s="204">
        <f>225*'Données projet'!E116+13.8*('Données projet'!F116+'Données projet'!G116)+10*'Données projet'!H116</f>
        <v>0</v>
      </c>
      <c r="D118" s="191">
        <f t="shared" si="8"/>
        <v>0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0</v>
      </c>
      <c r="B119" s="193">
        <f>'Données projet'!D117</f>
        <v>0</v>
      </c>
      <c r="C119" s="204">
        <f>225*'Données projet'!E117+13.8*('Données projet'!F117+'Données projet'!G117)+10*'Données projet'!H117</f>
        <v>0</v>
      </c>
      <c r="D119" s="191">
        <f t="shared" si="8"/>
        <v>0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0</v>
      </c>
      <c r="B120" s="193">
        <f>'Données projet'!D118</f>
        <v>0</v>
      </c>
      <c r="C120" s="204">
        <f>225*'Données projet'!E118+13.8*('Données projet'!F118+'Données projet'!G118)+10*'Données projet'!H118</f>
        <v>0</v>
      </c>
      <c r="D120" s="191">
        <f t="shared" si="8"/>
        <v>0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0</v>
      </c>
      <c r="B121" s="193">
        <f>'Données projet'!D119</f>
        <v>0</v>
      </c>
      <c r="C121" s="204">
        <f>225*'Données projet'!E119+13.8*('Données projet'!F119+'Données projet'!G119)+10*'Données projet'!H119</f>
        <v>0</v>
      </c>
      <c r="D121" s="191">
        <f t="shared" si="8"/>
        <v>0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0</v>
      </c>
      <c r="B122" s="193">
        <f>'Données projet'!D120</f>
        <v>0</v>
      </c>
      <c r="C122" s="204">
        <f>225*'Données projet'!E120+13.8*('Données projet'!F120+'Données projet'!G120)+10*'Données projet'!H120</f>
        <v>0</v>
      </c>
      <c r="D122" s="191">
        <f t="shared" si="8"/>
        <v>0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0</v>
      </c>
      <c r="B123" s="193">
        <f>'Données projet'!D121</f>
        <v>0</v>
      </c>
      <c r="C123" s="204">
        <f>225*'Données projet'!E121+13.8*('Données projet'!F121+'Données projet'!G121)+10*'Données projet'!H121</f>
        <v>0</v>
      </c>
      <c r="D123" s="191">
        <f t="shared" si="8"/>
        <v>0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0</v>
      </c>
      <c r="B124" s="193">
        <f>'Données projet'!D122</f>
        <v>0</v>
      </c>
      <c r="C124" s="204">
        <f>225*'Données projet'!E122+13.8*('Données projet'!F122+'Données projet'!G122)+10*'Données projet'!H122</f>
        <v>0</v>
      </c>
      <c r="D124" s="191">
        <f t="shared" si="8"/>
        <v>0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0</v>
      </c>
      <c r="B125" s="193">
        <f>'Données projet'!D123</f>
        <v>0</v>
      </c>
      <c r="C125" s="204">
        <f>225*'Données projet'!E123+13.8*('Données projet'!F123+'Données projet'!G123)+10*'Données projet'!H123</f>
        <v>0</v>
      </c>
      <c r="D125" s="191">
        <f t="shared" si="8"/>
        <v>0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4">
        <f>225*'Données projet'!E124+13.8*('Données projet'!F124+'Données projet'!G124)+10*'Données projet'!H124</f>
        <v>0</v>
      </c>
      <c r="D126" s="191">
        <f t="shared" si="8"/>
        <v>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4">
        <f>225*'Données projet'!E125+13.8*('Données projet'!F125+'Données projet'!G125)+10*'Données projet'!H125</f>
        <v>0</v>
      </c>
      <c r="D127" s="191">
        <f t="shared" si="8"/>
        <v>0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4">
        <f>225*'Données projet'!E126+13.8*('Données projet'!F126+'Données projet'!G126)+10*'Données projet'!H126</f>
        <v>0</v>
      </c>
      <c r="D128" s="191">
        <f t="shared" si="8"/>
        <v>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4">
        <f>225*'Données projet'!E127+13.8*('Données projet'!F127+'Données projet'!G127)+10*'Données projet'!H127</f>
        <v>0</v>
      </c>
      <c r="D129" s="191">
        <f t="shared" si="8"/>
        <v>0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>
        <f>225*'Données projet'!E128+13.8*('Données projet'!F128+'Données projet'!G128)+10*'Données projet'!H128</f>
        <v>0</v>
      </c>
      <c r="D130" s="191">
        <f t="shared" si="8"/>
        <v>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>
        <f>225*'Données projet'!E129+13.8*('Données projet'!F129+'Données projet'!G129)+10*'Données projet'!H129</f>
        <v>0</v>
      </c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>
        <f>225*'Données projet'!E130+13.8*('Données projet'!F130+'Données projet'!G130)+10*'Données projet'!H130</f>
        <v>0</v>
      </c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>
        <f>225*'Données projet'!E131+13.8*('Données projet'!F131+'Données projet'!G131)+10*'Données projet'!H131</f>
        <v>0</v>
      </c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>
        <f>225*'Données projet'!E132+13.8*('Données projet'!F132+'Données projet'!G132)+10*'Données projet'!H132</f>
        <v>0</v>
      </c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>
        <f>225*'Données projet'!E133+13.8*('Données projet'!F133+'Données projet'!G133)+10*'Données projet'!H133</f>
        <v>0</v>
      </c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9">
        <v>0</v>
      </c>
      <c r="B141" s="212" t="s">
        <v>132</v>
      </c>
      <c r="C141" s="211" t="s">
        <v>132</v>
      </c>
      <c r="D141" s="210" t="s">
        <v>132</v>
      </c>
      <c r="E141" s="206"/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0</v>
      </c>
      <c r="B147" s="187">
        <f>'Données projet'!D140</f>
        <v>0</v>
      </c>
      <c r="C147" s="204">
        <f>225*'Données projet'!E140+13.8*('Données projet'!F140+'Données projet'!G140)+10*'Données projet'!H140</f>
        <v>0</v>
      </c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0</v>
      </c>
      <c r="B148" s="187">
        <f>'Données projet'!D141</f>
        <v>0</v>
      </c>
      <c r="C148" s="204">
        <f>225*'Données projet'!E141+13.8*('Données projet'!F141+'Données projet'!G141)+10*'Données projet'!H141</f>
        <v>0</v>
      </c>
      <c r="D148" s="194">
        <f t="shared" ref="D148:D166" si="10">B148*C148</f>
        <v>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0</v>
      </c>
      <c r="B149" s="187">
        <f>'Données projet'!D142</f>
        <v>0</v>
      </c>
      <c r="C149" s="204">
        <f>225*'Données projet'!E142+13.8*('Données projet'!F142+'Données projet'!G142)+10*'Données projet'!H142</f>
        <v>0</v>
      </c>
      <c r="D149" s="194">
        <f t="shared" si="10"/>
        <v>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0</v>
      </c>
      <c r="B150" s="187">
        <f>'Données projet'!D143</f>
        <v>0</v>
      </c>
      <c r="C150" s="204">
        <f>225*'Données projet'!E143+13.8*('Données projet'!F143+'Données projet'!G143)+10*'Données projet'!H143</f>
        <v>0</v>
      </c>
      <c r="D150" s="194">
        <f t="shared" si="10"/>
        <v>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0</v>
      </c>
      <c r="B151" s="187">
        <f>'Données projet'!D144</f>
        <v>0</v>
      </c>
      <c r="C151" s="204">
        <f>225*'Données projet'!E144+13.8*('Données projet'!F144+'Données projet'!G144)+10*'Données projet'!H144</f>
        <v>0</v>
      </c>
      <c r="D151" s="194">
        <f t="shared" si="10"/>
        <v>0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0</v>
      </c>
      <c r="B152" s="187">
        <f>'Données projet'!D145</f>
        <v>0</v>
      </c>
      <c r="C152" s="204">
        <f>225*'Données projet'!E145+13.8*('Données projet'!F145+'Données projet'!G145)+10*'Données projet'!H145</f>
        <v>0</v>
      </c>
      <c r="D152" s="194">
        <f t="shared" si="10"/>
        <v>0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0</v>
      </c>
      <c r="B153" s="187">
        <f>'Données projet'!D146</f>
        <v>0</v>
      </c>
      <c r="C153" s="204">
        <f>225*'Données projet'!E146+13.8*('Données projet'!F146+'Données projet'!G146)+10*'Données projet'!H146</f>
        <v>0</v>
      </c>
      <c r="D153" s="194">
        <f t="shared" si="10"/>
        <v>0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7">
        <f>'Données projet'!D147</f>
        <v>0</v>
      </c>
      <c r="C154" s="204">
        <f>225*'Données projet'!E147+13.8*('Données projet'!F147+'Données projet'!G147)+10*'Données projet'!H147</f>
        <v>0</v>
      </c>
      <c r="D154" s="194">
        <f t="shared" si="10"/>
        <v>0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4">
        <f>225*'Données projet'!E148+13.8*('Données projet'!F148+'Données projet'!G148)+10*'Données projet'!H148</f>
        <v>0</v>
      </c>
      <c r="D155" s="194">
        <f t="shared" si="10"/>
        <v>0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4">
        <f>225*'Données projet'!E149+13.8*('Données projet'!F149+'Données projet'!G149)+10*'Données projet'!H149</f>
        <v>0</v>
      </c>
      <c r="D156" s="194">
        <f t="shared" si="10"/>
        <v>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4">
        <f>225*'Données projet'!E150+13.8*('Données projet'!F150+'Données projet'!G150)+10*'Données projet'!H150</f>
        <v>0</v>
      </c>
      <c r="D157" s="194">
        <f t="shared" si="10"/>
        <v>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>
        <f>225*'Données projet'!E151+13.8*('Données projet'!F151+'Données projet'!G151)+10*'Données projet'!H151</f>
        <v>0</v>
      </c>
      <c r="D158" s="194">
        <f t="shared" si="10"/>
        <v>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>
        <f>225*'Données projet'!E152+13.8*('Données projet'!F152+'Données projet'!G152)+10*'Données projet'!H152</f>
        <v>0</v>
      </c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>
        <f>225*'Données projet'!E153+13.8*('Données projet'!F153+'Données projet'!G153)+10*'Données projet'!H153</f>
        <v>0</v>
      </c>
      <c r="D160" s="194">
        <f t="shared" si="10"/>
        <v>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>
        <f>225*'Données projet'!E154+13.8*('Données projet'!F154+'Données projet'!G154)+10*'Données projet'!H154</f>
        <v>0</v>
      </c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>
        <f>225*'Données projet'!E155+13.8*('Données projet'!F155+'Données projet'!G155)+10*'Données projet'!H155</f>
        <v>0</v>
      </c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>
        <f>225*'Données projet'!E156+13.8*('Données projet'!F156+'Données projet'!G156)+10*'Données projet'!H156</f>
        <v>0</v>
      </c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>
        <f>225*'Données projet'!E157+13.8*('Données projet'!F157+'Données projet'!G157)+10*'Données projet'!H157</f>
        <v>0</v>
      </c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>
        <f>225*'Données projet'!E158+13.8*('Données projet'!F158+'Données projet'!G158)+10*'Données projet'!H158</f>
        <v>0</v>
      </c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>
        <f>225*'Données projet'!E159+13.8*('Données projet'!F159+'Données projet'!G159)+10*'Données projet'!H159</f>
        <v>0</v>
      </c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>
        <f>225*'Données projet'!E166+13.8*('Données projet'!F166+'Données projet'!G168)+10*'Données projet'!H166</f>
        <v>0</v>
      </c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>
        <f>225*'Données projet'!E167+13.8*('Données projet'!F167+'Données projet'!G169)+10*'Données projet'!H167</f>
        <v>0</v>
      </c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>
        <f>225*'Données projet'!E168+13.8*('Données projet'!F168+'Données projet'!G170)+10*'Données projet'!H168</f>
        <v>0</v>
      </c>
      <c r="D180" s="191">
        <f t="shared" si="11"/>
        <v>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>
        <f>225*'Données projet'!E169+13.8*('Données projet'!F169+'Données projet'!G171)+10*'Données projet'!H169</f>
        <v>0</v>
      </c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>
        <f>225*'Données projet'!E170+13.8*('Données projet'!F170+'Données projet'!G172)+10*'Données projet'!H170</f>
        <v>0</v>
      </c>
      <c r="D182" s="191">
        <f t="shared" si="11"/>
        <v>0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>
        <f>225*'Données projet'!E171+13.8*('Données projet'!F171+'Données projet'!G173)+10*'Données projet'!H171</f>
        <v>0</v>
      </c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>
        <f>225*'Données projet'!E172+13.8*('Données projet'!F172+'Données projet'!G174)+10*'Données projet'!H172</f>
        <v>0</v>
      </c>
      <c r="D184" s="191">
        <f t="shared" si="11"/>
        <v>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>
        <f>225*'Données projet'!E173+13.8*('Données projet'!F173+'Données projet'!G175)+10*'Données projet'!H173</f>
        <v>0</v>
      </c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>
        <f>225*'Données projet'!E174+13.8*('Données projet'!F174+'Données projet'!G176)+10*'Données projet'!H174</f>
        <v>0</v>
      </c>
      <c r="D186" s="191">
        <f t="shared" si="11"/>
        <v>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>
        <f>225*'Données projet'!E175+13.8*('Données projet'!F175+'Données projet'!G177)+10*'Données projet'!H175</f>
        <v>0</v>
      </c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>
        <f>225*'Données projet'!E176+13.8*('Données projet'!F176+'Données projet'!G178)+10*'Données projet'!H176</f>
        <v>0</v>
      </c>
      <c r="D188" s="191">
        <f t="shared" si="11"/>
        <v>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>
        <f>225*'Données projet'!E177+13.8*('Données projet'!F177+'Données projet'!G179)+10*'Données projet'!H177</f>
        <v>0</v>
      </c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>
        <f>225*'Données projet'!E178+13.8*('Données projet'!F178+'Données projet'!G180)+10*'Données projet'!H178</f>
        <v>0</v>
      </c>
      <c r="D190" s="191">
        <f t="shared" si="11"/>
        <v>0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>
        <f>225*'Données projet'!E179+13.8*('Données projet'!F179+'Données projet'!G181)+10*'Données projet'!H179</f>
        <v>0</v>
      </c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>
        <f>225*'Données projet'!E180+13.8*('Données projet'!F180+'Données projet'!G182)+10*'Données projet'!H180</f>
        <v>0</v>
      </c>
      <c r="D192" s="191">
        <f t="shared" si="11"/>
        <v>0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>
        <f>225*'Données projet'!E181+13.8*('Données projet'!F181+'Données projet'!G183)+10*'Données projet'!H181</f>
        <v>0</v>
      </c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>
        <f>225*'Données projet'!E182+13.8*('Données projet'!F182+'Données projet'!G184)+10*'Données projet'!H182</f>
        <v>0</v>
      </c>
      <c r="D194" s="191">
        <f t="shared" si="11"/>
        <v>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>
        <f>225*'Données projet'!E183+13.8*('Données projet'!F183+'Données projet'!G185)+10*'Données projet'!H183</f>
        <v>0</v>
      </c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>
        <f>225*'Données projet'!E184+13.8*('Données projet'!F184+'Données projet'!G186)+10*'Données projet'!H184</f>
        <v>0</v>
      </c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>
        <f>225*'Données projet'!E185+13.8*('Données projet'!F185+'Données projet'!G187)+10*'Données projet'!H185</f>
        <v>0</v>
      </c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>
        <f>225*'Données projet'!E192+13.8*('Données projet'!F192+'Données projet'!G192)+10*'Données projet'!H192</f>
        <v>0</v>
      </c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>
        <f>225*'Données projet'!E193+13.8*('Données projet'!F193+'Données projet'!G193)+10*'Données projet'!H193</f>
        <v>0</v>
      </c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>
        <f>225*'Données projet'!E194+13.8*('Données projet'!F194+'Données projet'!G194)+10*'Données projet'!H194</f>
        <v>0</v>
      </c>
      <c r="D211" s="191">
        <f t="shared" si="12"/>
        <v>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>
        <f>225*'Données projet'!E195+13.8*('Données projet'!F195+'Données projet'!G195)+10*'Données projet'!H195</f>
        <v>0</v>
      </c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>
        <f>225*'Données projet'!E196+13.8*('Données projet'!F196+'Données projet'!G196)+10*'Données projet'!H196</f>
        <v>0</v>
      </c>
      <c r="D213" s="191">
        <f t="shared" si="12"/>
        <v>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>
        <f>225*'Données projet'!E197+13.8*('Données projet'!F197+'Données projet'!G197)+10*'Données projet'!H197</f>
        <v>0</v>
      </c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>
        <f>225*'Données projet'!E198+13.8*('Données projet'!F198+'Données projet'!G198)+10*'Données projet'!H198</f>
        <v>0</v>
      </c>
      <c r="D215" s="191">
        <f t="shared" si="12"/>
        <v>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>
        <f>225*'Données projet'!E199+13.8*('Données projet'!F199+'Données projet'!G199)+10*'Données projet'!H199</f>
        <v>0</v>
      </c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>
        <f>225*'Données projet'!E200+13.8*('Données projet'!F200+'Données projet'!G200)+10*'Données projet'!H200</f>
        <v>0</v>
      </c>
      <c r="D217" s="191">
        <f t="shared" si="12"/>
        <v>0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>
        <f>225*'Données projet'!E201+13.8*('Données projet'!F201+'Données projet'!G201)+10*'Données projet'!H201</f>
        <v>0</v>
      </c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>
        <f>225*'Données projet'!E202+13.8*('Données projet'!F202+'Données projet'!G202)+10*'Données projet'!H202</f>
        <v>0</v>
      </c>
      <c r="D219" s="191">
        <f t="shared" si="12"/>
        <v>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>
        <f>225*'Données projet'!E203+13.8*('Données projet'!F203+'Données projet'!G203)+10*'Données projet'!H203</f>
        <v>0</v>
      </c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>
        <f>225*'Données projet'!E204+13.8*('Données projet'!F204+'Données projet'!G204)+10*'Données projet'!H204</f>
        <v>0</v>
      </c>
      <c r="D221" s="191">
        <f t="shared" si="12"/>
        <v>0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>
        <f>225*'Données projet'!E205+13.8*('Données projet'!F205+'Données projet'!G205)+10*'Données projet'!H205</f>
        <v>0</v>
      </c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>
        <f>225*'Données projet'!E206+13.8*('Données projet'!F206+'Données projet'!G206)+10*'Données projet'!H206</f>
        <v>0</v>
      </c>
      <c r="D223" s="191">
        <f t="shared" si="12"/>
        <v>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>
        <f>225*'Données projet'!E207+13.8*('Données projet'!F207+'Données projet'!G207)+10*'Données projet'!H207</f>
        <v>0</v>
      </c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>
        <f>225*'Données projet'!E208+13.8*('Données projet'!F208+'Données projet'!G208)+10*'Données projet'!H208</f>
        <v>0</v>
      </c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>
        <f>225*'Données projet'!E209+13.8*('Données projet'!F209+'Données projet'!G209)+10*'Données projet'!H209</f>
        <v>0</v>
      </c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>
        <f>225*'Données projet'!E210+13.8*('Données projet'!F210+'Données projet'!G210)+10*'Données projet'!H210</f>
        <v>0</v>
      </c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>
        <f>225*'Données projet'!E211+13.8*('Données projet'!F211+'Données projet'!G211)+10*'Données projet'!H211</f>
        <v>0</v>
      </c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>
        <f>225*'Données projet'!E218+13.8*('Données projet'!F218+'Données projet'!G218)+10*'Données projet'!H218</f>
        <v>0</v>
      </c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>
        <f>225*'Données projet'!E219+13.8*('Données projet'!F219+'Données projet'!G219)+10*'Données projet'!H219</f>
        <v>0</v>
      </c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>
        <f>225*'Données projet'!E220+13.8*('Données projet'!F220+'Données projet'!G220)+10*'Données projet'!H220</f>
        <v>0</v>
      </c>
      <c r="D242" s="191">
        <f t="shared" si="13"/>
        <v>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>
        <f>225*'Données projet'!E221+13.8*('Données projet'!F221+'Données projet'!G221)+10*'Données projet'!H221</f>
        <v>0</v>
      </c>
      <c r="D243" s="191">
        <f t="shared" si="13"/>
        <v>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>
        <f>225*'Données projet'!E222+13.8*('Données projet'!F222+'Données projet'!G222)+10*'Données projet'!H222</f>
        <v>0</v>
      </c>
      <c r="D244" s="191">
        <f t="shared" si="13"/>
        <v>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>
        <f>225*'Données projet'!E223+13.8*('Données projet'!F223+'Données projet'!G223)+10*'Données projet'!H223</f>
        <v>0</v>
      </c>
      <c r="D245" s="191">
        <f t="shared" si="13"/>
        <v>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>
        <f>225*'Données projet'!E224+13.8*('Données projet'!F224+'Données projet'!G224)+10*'Données projet'!H224</f>
        <v>0</v>
      </c>
      <c r="D246" s="191">
        <f t="shared" si="13"/>
        <v>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>
        <f>225*'Données projet'!E225+13.8*('Données projet'!F225+'Données projet'!G225)+10*'Données projet'!H225</f>
        <v>0</v>
      </c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>
        <f>225*'Données projet'!E226+13.8*('Données projet'!F226+'Données projet'!G226)+10*'Données projet'!H226</f>
        <v>0</v>
      </c>
      <c r="D248" s="191">
        <f t="shared" si="13"/>
        <v>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>
        <f>225*'Données projet'!E227+13.8*('Données projet'!F227+'Données projet'!G227)+10*'Données projet'!H227</f>
        <v>0</v>
      </c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>
        <f>225*'Données projet'!E228+13.8*('Données projet'!F228+'Données projet'!G228)+10*'Données projet'!H228</f>
        <v>0</v>
      </c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>
        <f>225*'Données projet'!E229+13.8*('Données projet'!F229+'Données projet'!G229)+10*'Données projet'!H229</f>
        <v>0</v>
      </c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>
        <f>225*'Données projet'!E230+13.8*('Données projet'!F230+'Données projet'!G230)+10*'Données projet'!H230</f>
        <v>0</v>
      </c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>
        <f>225*'Données projet'!E231+13.8*('Données projet'!F231+'Données projet'!G231)+10*'Données projet'!H231</f>
        <v>0</v>
      </c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>
        <f>225*'Données projet'!E232+13.8*('Données projet'!F232+'Données projet'!G232)+10*'Données projet'!H232</f>
        <v>0</v>
      </c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>
        <f>225*'Données projet'!E233+13.8*('Données projet'!F233+'Données projet'!G233)+10*'Données projet'!H233</f>
        <v>0</v>
      </c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>
        <f>225*'Données projet'!E234+13.8*('Données projet'!F234+'Données projet'!G234)+10*'Données projet'!H234</f>
        <v>0</v>
      </c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>
        <f>225*'Données projet'!E235+13.8*('Données projet'!F235+'Données projet'!G235)+10*'Données projet'!H235</f>
        <v>0</v>
      </c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>
        <f>225*'Données projet'!E236+13.8*('Données projet'!F236+'Données projet'!G236)+10*'Données projet'!H236</f>
        <v>0</v>
      </c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>
        <f>225*'Données projet'!E237+13.8*('Données projet'!F237+'Données projet'!G237)+10*'Données projet'!H237</f>
        <v>0</v>
      </c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>
        <f>225*'Données projet'!E244+13.8*('Données projet'!F244+'Données projet'!G244)+10*'Données projet'!H244</f>
        <v>0</v>
      </c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>
        <f>225*'Données projet'!E245+13.8*('Données projet'!F245+'Données projet'!G245)+10*'Données projet'!H245</f>
        <v>0</v>
      </c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>
        <f>225*'Données projet'!E246+13.8*('Données projet'!F246+'Données projet'!G246)+10*'Données projet'!H246</f>
        <v>0</v>
      </c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>
        <f>225*'Données projet'!E247+13.8*('Données projet'!F247+'Données projet'!G247)+10*'Données projet'!H247</f>
        <v>0</v>
      </c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>
        <f>225*'Données projet'!E248+13.8*('Données projet'!F248+'Données projet'!G248)+10*'Données projet'!H248</f>
        <v>0</v>
      </c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>
        <f>225*'Données projet'!E249+13.8*('Données projet'!F249+'Données projet'!G249)+10*'Données projet'!H249</f>
        <v>0</v>
      </c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>
        <f>225*'Données projet'!E250+13.8*('Données projet'!F250+'Données projet'!G250)+10*'Données projet'!H250</f>
        <v>0</v>
      </c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>
        <f>225*'Données projet'!E251+13.8*('Données projet'!F251+'Données projet'!G251)+10*'Données projet'!H251</f>
        <v>0</v>
      </c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>
        <f>225*'Données projet'!E252+13.8*('Données projet'!F252+'Données projet'!G252)+10*'Données projet'!H252</f>
        <v>0</v>
      </c>
      <c r="D279" s="191">
        <f t="shared" si="14"/>
        <v>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>
        <f>225*'Données projet'!E253+13.8*('Données projet'!F253+'Données projet'!G253)+10*'Données projet'!H253</f>
        <v>0</v>
      </c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>
        <f>225*'Données projet'!E254+13.8*('Données projet'!F254+'Données projet'!G254)+10*'Données projet'!H254</f>
        <v>0</v>
      </c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>
        <f>225*'Données projet'!E255+13.8*('Données projet'!F255+'Données projet'!G255)+10*'Données projet'!H255</f>
        <v>0</v>
      </c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>
        <f>225*'Données projet'!E256+13.8*('Données projet'!F256+'Données projet'!G256)+10*'Données projet'!H256</f>
        <v>0</v>
      </c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>
        <f>225*'Données projet'!E257+13.8*('Données projet'!F257+'Données projet'!G257)+10*'Données projet'!H257</f>
        <v>0</v>
      </c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>
        <f>225*'Données projet'!E258+13.8*('Données projet'!F258+'Données projet'!G258)+10*'Données projet'!H258</f>
        <v>0</v>
      </c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>
        <f>225*'Données projet'!E259+13.8*('Données projet'!F259+'Données projet'!G259)+10*'Données projet'!H259</f>
        <v>0</v>
      </c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>
        <f>225*'Données projet'!E260+13.8*('Données projet'!F260+'Données projet'!G260)+10*'Données projet'!H260</f>
        <v>0</v>
      </c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>
        <f>225*'Données projet'!E261+13.8*('Données projet'!F261+'Données projet'!G261)+10*'Données projet'!H261</f>
        <v>0</v>
      </c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>
        <f>225*'Données projet'!E262+13.8*('Données projet'!F262+'Données projet'!G262)+10*'Données projet'!H262</f>
        <v>0</v>
      </c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>
        <f>225*'Données projet'!E263+13.8*('Données projet'!F263+'Données projet'!G263)+10*'Données projet'!H263</f>
        <v>0</v>
      </c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>
        <f>225*'Données projet'!E270+13.8*('Données projet'!F270+'Données projet'!G270)+10*'Données projet'!H270</f>
        <v>0</v>
      </c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>
        <f>225*'Données projet'!E271+13.8*('Données projet'!F271+'Données projet'!G271)+10*'Données projet'!H271</f>
        <v>0</v>
      </c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>
        <f>225*'Données projet'!E272+13.8*('Données projet'!F272+'Données projet'!G272)+10*'Données projet'!H272</f>
        <v>0</v>
      </c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>
        <f>225*'Données projet'!E273+13.8*('Données projet'!F273+'Données projet'!G273)+10*'Données projet'!H273</f>
        <v>0</v>
      </c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>
        <f>225*'Données projet'!E274+13.8*('Données projet'!F274+'Données projet'!G274)+10*'Données projet'!H274</f>
        <v>0</v>
      </c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>
        <f>225*'Données projet'!E275+13.8*('Données projet'!F275+'Données projet'!G275)+10*'Données projet'!H275</f>
        <v>0</v>
      </c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>
        <f>225*'Données projet'!E276+13.8*('Données projet'!F276+'Données projet'!G276)+10*'Données projet'!H276</f>
        <v>0</v>
      </c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>
        <f>225*'Données projet'!E277+13.8*('Données projet'!F277+'Données projet'!G277)+10*'Données projet'!H277</f>
        <v>0</v>
      </c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>
        <f>225*'Données projet'!E278+13.8*('Données projet'!F278+'Données projet'!G278)+10*'Données projet'!H278</f>
        <v>0</v>
      </c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>
        <f>225*'Données projet'!E279+13.8*('Données projet'!F279+'Données projet'!G279)+10*'Données projet'!H279</f>
        <v>0</v>
      </c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>
        <f>225*'Données projet'!E280+13.8*('Données projet'!F280+'Données projet'!G280)+10*'Données projet'!H280</f>
        <v>0</v>
      </c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>
        <f>225*'Données projet'!E281+13.8*('Données projet'!F281+'Données projet'!G281)+10*'Données projet'!H281</f>
        <v>0</v>
      </c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>
        <f>225*'Données projet'!E282+13.8*('Données projet'!F282+'Données projet'!G282)+10*'Données projet'!H282</f>
        <v>0</v>
      </c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>
        <f>225*'Données projet'!E283+13.8*('Données projet'!F283+'Données projet'!G283)+10*'Données projet'!H283</f>
        <v>0</v>
      </c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>
        <f>225*'Données projet'!E284+13.8*('Données projet'!F284+'Données projet'!G284)+10*'Données projet'!H284</f>
        <v>0</v>
      </c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>
        <f>225*'Données projet'!E285+13.8*('Données projet'!F285+'Données projet'!G285)+10*'Données projet'!H285</f>
        <v>0</v>
      </c>
      <c r="D317" s="194">
        <f t="shared" si="15"/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>
        <f>225*'Données projet'!E286+13.8*('Données projet'!F286+'Données projet'!G286)+10*'Données projet'!H286</f>
        <v>0</v>
      </c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>
        <f>225*'Données projet'!E287+13.8*('Données projet'!F287+'Données projet'!G287)+10*'Données projet'!H287</f>
        <v>0</v>
      </c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>
        <f>225*'Données projet'!E288+13.8*('Données projet'!F288+'Données projet'!G288)+10*'Données projet'!H288</f>
        <v>0</v>
      </c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4">
        <f>225*'Données projet'!E289+13.8*('Données projet'!F289+'Données projet'!G289)+10*'Données projet'!H289</f>
        <v>0</v>
      </c>
      <c r="D321" s="194">
        <f t="shared" si="15"/>
        <v>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2024-09-20T13:43:11Z</dcterms:modified>
</cp:coreProperties>
</file>