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Jean de Russon\Saint-Charles-la-Forêt\Préparation dossier\Dossier définitif\"/>
    </mc:Choice>
  </mc:AlternateContent>
  <xr:revisionPtr revIDLastSave="0" documentId="13_ncr:1_{148EE510-27A6-4DF1-B01E-484A151AE63E}" xr6:coauthVersionLast="47" xr6:coauthVersionMax="47" xr10:uidLastSave="{00000000-0000-0000-0000-000000000000}"/>
  <bookViews>
    <workbookView xWindow="6540" yWindow="1860" windowWidth="16548" windowHeight="1044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6" l="1"/>
  <c r="E37" i="6"/>
  <c r="E38" i="6"/>
  <c r="E39" i="6"/>
  <c r="E40" i="6"/>
  <c r="E41" i="6"/>
  <c r="E42" i="6"/>
  <c r="E67" i="6"/>
  <c r="E68" i="6"/>
  <c r="E69" i="6"/>
  <c r="E70" i="6"/>
  <c r="E71" i="6"/>
  <c r="E72" i="6"/>
  <c r="E73" i="6"/>
  <c r="B48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49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E89" i="6" s="1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E66" i="6" s="1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BR4" i="2"/>
  <c r="GL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HG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FR145" i="2"/>
  <c r="EB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HH157" i="2"/>
  <c r="HG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AA175" i="2"/>
  <c r="EW175" i="2"/>
  <c r="FS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EA197" i="2"/>
  <c r="ED197" i="2" s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FS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AH163" i="2" a="1"/>
  <c r="AH163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85" i="2" a="1"/>
  <c r="BC185" i="2" s="1"/>
  <c r="BC7" i="2" a="1"/>
  <c r="BC7" i="2" s="1"/>
  <c r="BC151" i="2" a="1"/>
  <c r="BC15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DN187" i="2" a="1"/>
  <c r="DN187" i="2" s="1"/>
  <c r="HJ202" i="2"/>
  <c r="EY202" i="2"/>
  <c r="AX200" i="2"/>
  <c r="AH151" i="2" l="1" a="1"/>
  <c r="AH151" i="2" s="1"/>
  <c r="BC143" i="2" a="1"/>
  <c r="BC143" i="2" s="1"/>
  <c r="BC34" i="2" a="1"/>
  <c r="BC34" i="2" s="1"/>
  <c r="BC126" i="2" a="1"/>
  <c r="BC126" i="2" s="1"/>
  <c r="BC164" i="2" a="1"/>
  <c r="BC164" i="2" s="1"/>
  <c r="FY115" i="2" a="1"/>
  <c r="FY115" i="2" s="1"/>
  <c r="FY133" i="2" a="1"/>
  <c r="FY133" i="2" s="1"/>
  <c r="FY188" i="2" a="1"/>
  <c r="FY188" i="2" s="1"/>
  <c r="FY80" i="2" a="1"/>
  <c r="FY80" i="2" s="1"/>
  <c r="FY116" i="2" a="1"/>
  <c r="FY116" i="2" s="1"/>
  <c r="BC83" i="2" a="1"/>
  <c r="BC83" i="2" s="1"/>
  <c r="FD187" i="2" a="1"/>
  <c r="FD187" i="2" s="1"/>
  <c r="FD14" i="2" a="1"/>
  <c r="FD14" i="2" s="1"/>
  <c r="FY82" i="2" a="1"/>
  <c r="FY82" i="2" s="1"/>
  <c r="AH19" i="2" a="1"/>
  <c r="AH19" i="2" s="1"/>
  <c r="BC181" i="2" a="1"/>
  <c r="BC181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FY34" i="2" a="1"/>
  <c r="FY34" i="2" s="1"/>
  <c r="FY109" i="2" a="1"/>
  <c r="FY109" i="2" s="1"/>
  <c r="FY164" i="2" a="1"/>
  <c r="FY164" i="2" s="1"/>
  <c r="FY79" i="2" a="1"/>
  <c r="FY79" i="2" s="1"/>
  <c r="FY58" i="2" a="1"/>
  <c r="FY58" i="2" s="1"/>
  <c r="BC82" i="2" a="1"/>
  <c r="BC82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HH203" i="2"/>
  <c r="BC31" i="2" a="1"/>
  <c r="BC31" i="2" s="1"/>
  <c r="FY121" i="2" a="1"/>
  <c r="FY121" i="2" s="1"/>
  <c r="BC47" i="2" a="1"/>
  <c r="BC47" i="2" s="1"/>
  <c r="FY24" i="2" a="1"/>
  <c r="FY24" i="2" s="1"/>
  <c r="FY78" i="2" a="1"/>
  <c r="FY78" i="2" s="1"/>
  <c r="FY191" i="2" a="1"/>
  <c r="FY191" i="2" s="1"/>
  <c r="FY35" i="2" a="1"/>
  <c r="FY35" i="2" s="1"/>
  <c r="FR203" i="2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FD82" i="2" a="1"/>
  <c r="FD82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FY173" i="2" a="1"/>
  <c r="FY173" i="2" s="1"/>
  <c r="FY140" i="2" a="1"/>
  <c r="FY140" i="2" s="1"/>
  <c r="FY62" i="2" a="1"/>
  <c r="FY62" i="2" s="1"/>
  <c r="FY32" i="2" a="1"/>
  <c r="FY32" i="2" s="1"/>
  <c r="BC192" i="2" a="1"/>
  <c r="BC192" i="2" s="1"/>
  <c r="FY92" i="2" a="1"/>
  <c r="FY92" i="2" s="1"/>
  <c r="FY22" i="2" a="1"/>
  <c r="FY22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126" i="2" a="1"/>
  <c r="FY126" i="2" s="1"/>
  <c r="FY86" i="2" a="1"/>
  <c r="FY86" i="2" s="1"/>
  <c r="FY159" i="2" a="1"/>
  <c r="FY159" i="2" s="1"/>
  <c r="BX107" i="2" a="1"/>
  <c r="BX107" i="2" s="1"/>
  <c r="FY102" i="2" a="1"/>
  <c r="FY102" i="2" s="1"/>
  <c r="FY30" i="2" a="1"/>
  <c r="FY30" i="2" s="1"/>
  <c r="FY190" i="2" a="1"/>
  <c r="FY190" i="2" s="1"/>
  <c r="FY69" i="2" a="1"/>
  <c r="FY69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AN132" i="2" l="1"/>
  <c r="AN36" i="2"/>
  <c r="AN169" i="2"/>
  <c r="AN46" i="2"/>
  <c r="AN175" i="2"/>
  <c r="AN186" i="2"/>
  <c r="AN119" i="2"/>
  <c r="AN30" i="2"/>
  <c r="AN88" i="2"/>
  <c r="AN141" i="2"/>
  <c r="AN137" i="2"/>
  <c r="AN145" i="2"/>
  <c r="AN53" i="2"/>
  <c r="AN61" i="2"/>
  <c r="AN66" i="2"/>
  <c r="AN176" i="2"/>
  <c r="AN76" i="2"/>
  <c r="AN183" i="2"/>
  <c r="AN158" i="2"/>
  <c r="AN71" i="2"/>
  <c r="AN131" i="2"/>
  <c r="AN14" i="2"/>
  <c r="AN170" i="2"/>
  <c r="AN32" i="2"/>
  <c r="AN39" i="2"/>
  <c r="AN60" i="2"/>
  <c r="AN122" i="2"/>
  <c r="AN200" i="2"/>
  <c r="AN112" i="2"/>
  <c r="AN146" i="2"/>
  <c r="AN59" i="2"/>
  <c r="AN40" i="2"/>
  <c r="AN65" i="2"/>
  <c r="AN11" i="2"/>
  <c r="AN101" i="2"/>
  <c r="AN89" i="2"/>
  <c r="AN34" i="2"/>
  <c r="AN178" i="2"/>
  <c r="AN58" i="2"/>
  <c r="AN78" i="2"/>
  <c r="AN22" i="2"/>
  <c r="AN73" i="2"/>
  <c r="AN179" i="2"/>
  <c r="AN70" i="2"/>
  <c r="AN148" i="2"/>
  <c r="AN21" i="2"/>
  <c r="AN5" i="2"/>
  <c r="AN192" i="2"/>
  <c r="AN25" i="2"/>
  <c r="AN54" i="2"/>
  <c r="AN136" i="2"/>
  <c r="AN106" i="2"/>
  <c r="AN86" i="2"/>
  <c r="AN114" i="2"/>
  <c r="AN143" i="2"/>
  <c r="AN111" i="2"/>
  <c r="AN4" i="2"/>
  <c r="AN69" i="2"/>
  <c r="AN121" i="2"/>
  <c r="AN203" i="2"/>
  <c r="AN20" i="2"/>
  <c r="AN6" i="2"/>
  <c r="AN93" i="2"/>
  <c r="AN67" i="2"/>
  <c r="AN196" i="2"/>
  <c r="AN80" i="2"/>
  <c r="AN9" i="2"/>
  <c r="AN108" i="2"/>
  <c r="AN33" i="2"/>
  <c r="AN10" i="2"/>
  <c r="AN74" i="2"/>
  <c r="AN45" i="2"/>
  <c r="AN18" i="2"/>
  <c r="AN164" i="2"/>
  <c r="AN12" i="2"/>
  <c r="AN120" i="2"/>
  <c r="AN117" i="2"/>
  <c r="AN193" i="2"/>
  <c r="AN135" i="2"/>
  <c r="AN94" i="2"/>
  <c r="AN123" i="2"/>
  <c r="AN182" i="2"/>
  <c r="AN63" i="2"/>
  <c r="AN128" i="2"/>
  <c r="AN126" i="2"/>
  <c r="AN96" i="2"/>
  <c r="AN72" i="2"/>
  <c r="AN177" i="2"/>
  <c r="AN184" i="2"/>
  <c r="AN197" i="2"/>
  <c r="AN103" i="2"/>
  <c r="AN35" i="2"/>
  <c r="AN64" i="2"/>
  <c r="AN52" i="2"/>
  <c r="AN118" i="2"/>
  <c r="AN116" i="2"/>
  <c r="AN48" i="2"/>
  <c r="AN44" i="2"/>
  <c r="AN124" i="2"/>
  <c r="AN168" i="2"/>
  <c r="AN50" i="2"/>
  <c r="AN51" i="2"/>
  <c r="AN7" i="2"/>
  <c r="AN140" i="2"/>
  <c r="AN142" i="2"/>
  <c r="AN154" i="2"/>
  <c r="AN187" i="2"/>
  <c r="AN77" i="2"/>
  <c r="AN113" i="2"/>
  <c r="AN115" i="2"/>
  <c r="AN167" i="2"/>
  <c r="AN150" i="2"/>
  <c r="AN31" i="2"/>
  <c r="AN144" i="2"/>
  <c r="AN153" i="2"/>
  <c r="AN98" i="2"/>
  <c r="AN105" i="2"/>
  <c r="AN95" i="2"/>
  <c r="AN47" i="2"/>
  <c r="AN190" i="2"/>
  <c r="AN125" i="2"/>
  <c r="AN188" i="2"/>
  <c r="AN90" i="2"/>
  <c r="AN55" i="2"/>
  <c r="AN109" i="2"/>
  <c r="AN159" i="2"/>
  <c r="AN127" i="2"/>
  <c r="AN104" i="2"/>
  <c r="AN16" i="2"/>
  <c r="AN152" i="2"/>
  <c r="AN79" i="2"/>
  <c r="AN3" i="2"/>
  <c r="C7" i="4" s="1"/>
  <c r="E7" i="4" s="1"/>
  <c r="F7" i="4" s="1"/>
  <c r="G7" i="4" s="1"/>
  <c r="L7" i="4" s="1"/>
  <c r="AN149" i="2"/>
  <c r="AN27" i="2"/>
  <c r="AN28" i="2"/>
  <c r="AN107" i="2"/>
  <c r="AN23" i="2"/>
  <c r="AN166" i="2"/>
  <c r="AN26" i="2"/>
  <c r="AN162" i="2"/>
  <c r="AN42" i="2"/>
  <c r="AN8" i="2"/>
  <c r="AN81" i="2"/>
  <c r="AN99" i="2"/>
  <c r="AN82" i="2"/>
  <c r="AN83" i="2"/>
  <c r="AN57" i="2"/>
  <c r="AN194" i="2"/>
  <c r="AN191" i="2"/>
  <c r="AN100" i="2"/>
  <c r="AN37" i="2"/>
  <c r="AN160" i="2"/>
  <c r="AN17" i="2"/>
  <c r="AN92" i="2"/>
  <c r="AN163" i="2"/>
  <c r="AN139" i="2"/>
  <c r="AN161" i="2"/>
  <c r="AN24" i="2"/>
  <c r="AN49" i="2"/>
  <c r="AN13" i="2"/>
  <c r="AN171" i="2"/>
  <c r="AN97" i="2"/>
  <c r="AN15" i="2"/>
  <c r="AN102" i="2"/>
  <c r="AN174" i="2"/>
  <c r="AN173" i="2"/>
  <c r="AN87" i="2"/>
  <c r="AN29" i="2"/>
  <c r="AN151" i="2"/>
  <c r="AN172" i="2"/>
  <c r="AN156" i="2"/>
  <c r="AN133" i="2"/>
  <c r="AN181" i="2"/>
  <c r="AN75" i="2"/>
  <c r="AN129" i="2"/>
  <c r="AN130" i="2"/>
  <c r="AN110" i="2"/>
  <c r="AN157" i="2"/>
  <c r="AN68" i="2"/>
  <c r="AN155" i="2"/>
  <c r="AN43" i="2"/>
  <c r="AN195" i="2"/>
  <c r="AN180" i="2"/>
  <c r="AN62" i="2"/>
  <c r="AN185" i="2"/>
  <c r="AN202" i="2"/>
  <c r="AN41" i="2"/>
  <c r="AN147" i="2"/>
  <c r="AN138" i="2"/>
  <c r="AN201" i="2"/>
  <c r="AN199" i="2"/>
  <c r="AN84" i="2"/>
  <c r="AN189" i="2"/>
  <c r="AN134" i="2"/>
  <c r="AN19" i="2"/>
  <c r="AN38" i="2"/>
  <c r="AN165" i="2"/>
  <c r="AN56" i="2"/>
  <c r="AN91" i="2"/>
  <c r="AN198" i="2"/>
  <c r="AN85" i="2"/>
  <c r="FE173" i="2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<sst xmlns="http://schemas.openxmlformats.org/spreadsheetml/2006/main" count="1173" uniqueCount="324">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</sst>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525.04382649327385</c:v>
                </c:pt>
                <c:pt idx="122">
                  <c:v>525.04382649327385</c:v>
                </c:pt>
                <c:pt idx="123">
                  <c:v>525.04382649327385</c:v>
                </c:pt>
                <c:pt idx="124">
                  <c:v>525.04382649327385</c:v>
                </c:pt>
                <c:pt idx="125">
                  <c:v>525.04382649327385</c:v>
                </c:pt>
                <c:pt idx="126">
                  <c:v>525.04382649327385</c:v>
                </c:pt>
                <c:pt idx="127">
                  <c:v>525.04382649327385</c:v>
                </c:pt>
                <c:pt idx="128">
                  <c:v>525.04382649327385</c:v>
                </c:pt>
                <c:pt idx="129">
                  <c:v>525.04382649327385</c:v>
                </c:pt>
                <c:pt idx="130">
                  <c:v>525.04382649327385</c:v>
                </c:pt>
                <c:pt idx="131">
                  <c:v>525.04382649327385</c:v>
                </c:pt>
                <c:pt idx="132">
                  <c:v>525.04382649327385</c:v>
                </c:pt>
                <c:pt idx="133">
                  <c:v>525.04382649327385</c:v>
                </c:pt>
                <c:pt idx="134">
                  <c:v>525.04382649327385</c:v>
                </c:pt>
                <c:pt idx="135">
                  <c:v>525.04382649327385</c:v>
                </c:pt>
                <c:pt idx="136">
                  <c:v>525.04382649327385</c:v>
                </c:pt>
                <c:pt idx="137">
                  <c:v>525.04382649327385</c:v>
                </c:pt>
                <c:pt idx="138">
                  <c:v>525.04382649327385</c:v>
                </c:pt>
                <c:pt idx="139">
                  <c:v>525.04382649327385</c:v>
                </c:pt>
                <c:pt idx="140">
                  <c:v>525.04382649327385</c:v>
                </c:pt>
                <c:pt idx="141">
                  <c:v>525.04382649327385</c:v>
                </c:pt>
                <c:pt idx="142">
                  <c:v>525.04382649327385</c:v>
                </c:pt>
                <c:pt idx="143">
                  <c:v>525.04382649327385</c:v>
                </c:pt>
                <c:pt idx="144">
                  <c:v>525.04382649327385</c:v>
                </c:pt>
                <c:pt idx="145">
                  <c:v>525.04382649327385</c:v>
                </c:pt>
                <c:pt idx="146">
                  <c:v>525.04382649327385</c:v>
                </c:pt>
                <c:pt idx="147">
                  <c:v>525.04382649327385</c:v>
                </c:pt>
                <c:pt idx="148">
                  <c:v>525.04382649327385</c:v>
                </c:pt>
                <c:pt idx="149">
                  <c:v>525.04382649327385</c:v>
                </c:pt>
                <c:pt idx="150">
                  <c:v>525.04382649327385</c:v>
                </c:pt>
                <c:pt idx="151">
                  <c:v>525.04382649327385</c:v>
                </c:pt>
                <c:pt idx="152">
                  <c:v>525.04382649327385</c:v>
                </c:pt>
                <c:pt idx="153">
                  <c:v>525.04382649327385</c:v>
                </c:pt>
                <c:pt idx="154">
                  <c:v>525.04382649327385</c:v>
                </c:pt>
                <c:pt idx="155">
                  <c:v>525.04382649327385</c:v>
                </c:pt>
                <c:pt idx="156">
                  <c:v>525.04382649327385</c:v>
                </c:pt>
                <c:pt idx="157">
                  <c:v>525.04382649327385</c:v>
                </c:pt>
                <c:pt idx="158">
                  <c:v>525.04382649327385</c:v>
                </c:pt>
                <c:pt idx="159">
                  <c:v>525.04382649327385</c:v>
                </c:pt>
                <c:pt idx="160">
                  <c:v>525.04382649327385</c:v>
                </c:pt>
                <c:pt idx="161">
                  <c:v>525.04382649327385</c:v>
                </c:pt>
                <c:pt idx="162">
                  <c:v>525.04382649327385</c:v>
                </c:pt>
                <c:pt idx="163">
                  <c:v>525.04382649327385</c:v>
                </c:pt>
                <c:pt idx="164">
                  <c:v>525.04382649327385</c:v>
                </c:pt>
                <c:pt idx="165">
                  <c:v>525.04382649327385</c:v>
                </c:pt>
                <c:pt idx="166">
                  <c:v>525.04382649327385</c:v>
                </c:pt>
                <c:pt idx="167">
                  <c:v>525.04382649327385</c:v>
                </c:pt>
                <c:pt idx="168">
                  <c:v>525.04382649327385</c:v>
                </c:pt>
                <c:pt idx="169">
                  <c:v>525.04382649327385</c:v>
                </c:pt>
                <c:pt idx="170">
                  <c:v>525.04382649327385</c:v>
                </c:pt>
                <c:pt idx="171">
                  <c:v>525.04382649327385</c:v>
                </c:pt>
                <c:pt idx="172">
                  <c:v>525.04382649327385</c:v>
                </c:pt>
                <c:pt idx="173">
                  <c:v>525.04382649327385</c:v>
                </c:pt>
                <c:pt idx="174">
                  <c:v>525.04382649327385</c:v>
                </c:pt>
                <c:pt idx="175">
                  <c:v>525.04382649327385</c:v>
                </c:pt>
                <c:pt idx="176">
                  <c:v>525.04382649327385</c:v>
                </c:pt>
                <c:pt idx="177">
                  <c:v>525.04382649327385</c:v>
                </c:pt>
                <c:pt idx="178">
                  <c:v>525.04382649327385</c:v>
                </c:pt>
                <c:pt idx="179">
                  <c:v>525.04382649327385</c:v>
                </c:pt>
                <c:pt idx="180">
                  <c:v>525.04382649327385</c:v>
                </c:pt>
                <c:pt idx="181">
                  <c:v>525.04382649327385</c:v>
                </c:pt>
                <c:pt idx="182">
                  <c:v>525.04382649327385</c:v>
                </c:pt>
                <c:pt idx="183">
                  <c:v>525.04382649327385</c:v>
                </c:pt>
                <c:pt idx="184">
                  <c:v>525.04382649327385</c:v>
                </c:pt>
                <c:pt idx="185">
                  <c:v>525.04382649327385</c:v>
                </c:pt>
                <c:pt idx="186">
                  <c:v>525.04382649327385</c:v>
                </c:pt>
                <c:pt idx="187">
                  <c:v>525.04382649327385</c:v>
                </c:pt>
                <c:pt idx="188">
                  <c:v>525.04382649327385</c:v>
                </c:pt>
                <c:pt idx="189">
                  <c:v>525.04382649327385</c:v>
                </c:pt>
                <c:pt idx="190">
                  <c:v>525.04382649327385</c:v>
                </c:pt>
                <c:pt idx="191">
                  <c:v>525.04382649327385</c:v>
                </c:pt>
                <c:pt idx="192">
                  <c:v>525.04382649327385</c:v>
                </c:pt>
                <c:pt idx="193">
                  <c:v>525.04382649327385</c:v>
                </c:pt>
                <c:pt idx="194">
                  <c:v>525.04382649327385</c:v>
                </c:pt>
                <c:pt idx="195">
                  <c:v>525.04382649327385</c:v>
                </c:pt>
                <c:pt idx="196">
                  <c:v>525.04382649327385</c:v>
                </c:pt>
                <c:pt idx="197">
                  <c:v>525.04382649327385</c:v>
                </c:pt>
                <c:pt idx="198">
                  <c:v>525.04382649327385</c:v>
                </c:pt>
                <c:pt idx="199">
                  <c:v>525.04382649327385</c:v>
                </c:pt>
                <c:pt idx="200">
                  <c:v>525.04382649327385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586.89455079472953</c:v>
                </c:pt>
                <c:pt idx="122">
                  <c:v>586.89455079472953</c:v>
                </c:pt>
                <c:pt idx="123">
                  <c:v>586.89455079472953</c:v>
                </c:pt>
                <c:pt idx="124">
                  <c:v>586.89455079472953</c:v>
                </c:pt>
                <c:pt idx="125">
                  <c:v>586.89455079472953</c:v>
                </c:pt>
                <c:pt idx="126">
                  <c:v>586.89455079472953</c:v>
                </c:pt>
                <c:pt idx="127">
                  <c:v>586.89455079472953</c:v>
                </c:pt>
                <c:pt idx="128">
                  <c:v>586.89455079472953</c:v>
                </c:pt>
                <c:pt idx="129">
                  <c:v>586.89455079472953</c:v>
                </c:pt>
                <c:pt idx="130">
                  <c:v>586.89455079472953</c:v>
                </c:pt>
                <c:pt idx="131">
                  <c:v>586.89455079472953</c:v>
                </c:pt>
                <c:pt idx="132">
                  <c:v>586.89455079472953</c:v>
                </c:pt>
                <c:pt idx="133">
                  <c:v>586.89455079472953</c:v>
                </c:pt>
                <c:pt idx="134">
                  <c:v>586.89455079472953</c:v>
                </c:pt>
                <c:pt idx="135">
                  <c:v>586.89455079472953</c:v>
                </c:pt>
                <c:pt idx="136">
                  <c:v>586.89455079472953</c:v>
                </c:pt>
                <c:pt idx="137">
                  <c:v>586.89455079472953</c:v>
                </c:pt>
                <c:pt idx="138">
                  <c:v>586.89455079472953</c:v>
                </c:pt>
                <c:pt idx="139">
                  <c:v>586.89455079472953</c:v>
                </c:pt>
                <c:pt idx="140">
                  <c:v>586.89455079472953</c:v>
                </c:pt>
                <c:pt idx="141">
                  <c:v>586.89455079472953</c:v>
                </c:pt>
                <c:pt idx="142">
                  <c:v>586.89455079472953</c:v>
                </c:pt>
                <c:pt idx="143">
                  <c:v>586.89455079472953</c:v>
                </c:pt>
                <c:pt idx="144">
                  <c:v>586.89455079472953</c:v>
                </c:pt>
                <c:pt idx="145">
                  <c:v>586.89455079472953</c:v>
                </c:pt>
                <c:pt idx="146">
                  <c:v>586.89455079472953</c:v>
                </c:pt>
                <c:pt idx="147">
                  <c:v>586.89455079472953</c:v>
                </c:pt>
                <c:pt idx="148">
                  <c:v>586.89455079472953</c:v>
                </c:pt>
                <c:pt idx="149">
                  <c:v>586.89455079472953</c:v>
                </c:pt>
                <c:pt idx="150">
                  <c:v>586.89455079472953</c:v>
                </c:pt>
                <c:pt idx="151">
                  <c:v>586.89455079472953</c:v>
                </c:pt>
                <c:pt idx="152">
                  <c:v>586.89455079472953</c:v>
                </c:pt>
                <c:pt idx="153">
                  <c:v>586.89455079472953</c:v>
                </c:pt>
                <c:pt idx="154">
                  <c:v>586.89455079472953</c:v>
                </c:pt>
                <c:pt idx="155">
                  <c:v>586.89455079472953</c:v>
                </c:pt>
                <c:pt idx="156">
                  <c:v>586.89455079472953</c:v>
                </c:pt>
                <c:pt idx="157">
                  <c:v>586.89455079472953</c:v>
                </c:pt>
                <c:pt idx="158">
                  <c:v>586.89455079472953</c:v>
                </c:pt>
                <c:pt idx="159">
                  <c:v>586.89455079472953</c:v>
                </c:pt>
                <c:pt idx="160">
                  <c:v>586.89455079472953</c:v>
                </c:pt>
                <c:pt idx="161">
                  <c:v>586.89455079472953</c:v>
                </c:pt>
                <c:pt idx="162">
                  <c:v>586.89455079472953</c:v>
                </c:pt>
                <c:pt idx="163">
                  <c:v>586.89455079472953</c:v>
                </c:pt>
                <c:pt idx="164">
                  <c:v>586.89455079472953</c:v>
                </c:pt>
                <c:pt idx="165">
                  <c:v>586.89455079472953</c:v>
                </c:pt>
                <c:pt idx="166">
                  <c:v>586.89455079472953</c:v>
                </c:pt>
                <c:pt idx="167">
                  <c:v>586.89455079472953</c:v>
                </c:pt>
                <c:pt idx="168">
                  <c:v>586.89455079472953</c:v>
                </c:pt>
                <c:pt idx="169">
                  <c:v>586.89455079472953</c:v>
                </c:pt>
                <c:pt idx="170">
                  <c:v>586.89455079472953</c:v>
                </c:pt>
                <c:pt idx="171">
                  <c:v>586.89455079472953</c:v>
                </c:pt>
                <c:pt idx="172">
                  <c:v>586.89455079472953</c:v>
                </c:pt>
                <c:pt idx="173">
                  <c:v>586.89455079472953</c:v>
                </c:pt>
                <c:pt idx="174">
                  <c:v>586.89455079472953</c:v>
                </c:pt>
                <c:pt idx="175">
                  <c:v>586.89455079472953</c:v>
                </c:pt>
                <c:pt idx="176">
                  <c:v>586.89455079472953</c:v>
                </c:pt>
                <c:pt idx="177">
                  <c:v>586.89455079472953</c:v>
                </c:pt>
                <c:pt idx="178">
                  <c:v>586.89455079472953</c:v>
                </c:pt>
                <c:pt idx="179">
                  <c:v>586.89455079472953</c:v>
                </c:pt>
                <c:pt idx="180">
                  <c:v>586.89455079472953</c:v>
                </c:pt>
                <c:pt idx="181">
                  <c:v>586.89455079472953</c:v>
                </c:pt>
                <c:pt idx="182">
                  <c:v>586.89455079472953</c:v>
                </c:pt>
                <c:pt idx="183">
                  <c:v>586.89455079472953</c:v>
                </c:pt>
                <c:pt idx="184">
                  <c:v>586.89455079472953</c:v>
                </c:pt>
                <c:pt idx="185">
                  <c:v>586.89455079472953</c:v>
                </c:pt>
                <c:pt idx="186">
                  <c:v>586.89455079472953</c:v>
                </c:pt>
                <c:pt idx="187">
                  <c:v>586.89455079472953</c:v>
                </c:pt>
                <c:pt idx="188">
                  <c:v>586.89455079472953</c:v>
                </c:pt>
                <c:pt idx="189">
                  <c:v>586.89455079472953</c:v>
                </c:pt>
                <c:pt idx="190">
                  <c:v>586.89455079472953</c:v>
                </c:pt>
                <c:pt idx="191">
                  <c:v>586.89455079472953</c:v>
                </c:pt>
                <c:pt idx="192">
                  <c:v>586.89455079472953</c:v>
                </c:pt>
                <c:pt idx="193">
                  <c:v>586.89455079472953</c:v>
                </c:pt>
                <c:pt idx="194">
                  <c:v>586.89455079472953</c:v>
                </c:pt>
                <c:pt idx="195">
                  <c:v>586.89455079472953</c:v>
                </c:pt>
                <c:pt idx="196">
                  <c:v>586.89455079472953</c:v>
                </c:pt>
                <c:pt idx="197">
                  <c:v>586.89455079472953</c:v>
                </c:pt>
                <c:pt idx="198">
                  <c:v>586.89455079472953</c:v>
                </c:pt>
                <c:pt idx="199">
                  <c:v>586.89455079472953</c:v>
                </c:pt>
                <c:pt idx="200">
                  <c:v>586.89455079472953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1.4848731020342081</c:v>
                </c:pt>
                <c:pt idx="2">
                  <c:v>1.7994412926152377</c:v>
                </c:pt>
                <c:pt idx="3">
                  <c:v>2.1809087522904558</c:v>
                </c:pt>
                <c:pt idx="4">
                  <c:v>2.6435550308142868</c:v>
                </c:pt>
                <c:pt idx="5">
                  <c:v>3.2047180767799408</c:v>
                </c:pt>
                <c:pt idx="6">
                  <c:v>3.8854513761078988</c:v>
                </c:pt>
                <c:pt idx="7">
                  <c:v>4.711322702055063</c:v>
                </c:pt>
                <c:pt idx="8">
                  <c:v>5.7133850763482643</c:v>
                </c:pt>
                <c:pt idx="9">
                  <c:v>6.9293571694305394</c:v>
                </c:pt>
                <c:pt idx="10">
                  <c:v>8.4050584352477262</c:v>
                </c:pt>
                <c:pt idx="11">
                  <c:v>10.196154095559937</c:v>
                </c:pt>
                <c:pt idx="12">
                  <c:v>12.370277041732173</c:v>
                </c:pt>
                <c:pt idx="13">
                  <c:v>15.009608272762607</c:v>
                </c:pt>
                <c:pt idx="14">
                  <c:v>18.214015202647616</c:v>
                </c:pt>
                <c:pt idx="15">
                  <c:v>22.104868737161553</c:v>
                </c:pt>
                <c:pt idx="16">
                  <c:v>26.829686279210947</c:v>
                </c:pt>
                <c:pt idx="17">
                  <c:v>32.567779795792312</c:v>
                </c:pt>
                <c:pt idx="18">
                  <c:v>39.537127014195512</c:v>
                </c:pt>
                <c:pt idx="19">
                  <c:v>48.002731228493211</c:v>
                </c:pt>
                <c:pt idx="20">
                  <c:v>58.28679293917321</c:v>
                </c:pt>
                <c:pt idx="21">
                  <c:v>70.781086872759886</c:v>
                </c:pt>
                <c:pt idx="22">
                  <c:v>85.962023580728768</c:v>
                </c:pt>
                <c:pt idx="23">
                  <c:v>104.40897914457423</c:v>
                </c:pt>
                <c:pt idx="24">
                  <c:v>126.82660359490315</c:v>
                </c:pt>
                <c:pt idx="25">
                  <c:v>154.0719734572057</c:v>
                </c:pt>
                <c:pt idx="26">
                  <c:v>145.86027198452103</c:v>
                </c:pt>
                <c:pt idx="27">
                  <c:v>152.67228191523733</c:v>
                </c:pt>
                <c:pt idx="28">
                  <c:v>159.47705809779879</c:v>
                </c:pt>
                <c:pt idx="29">
                  <c:v>166.2749532810291</c:v>
                </c:pt>
                <c:pt idx="30">
                  <c:v>173.06628896031688</c:v>
                </c:pt>
                <c:pt idx="31">
                  <c:v>179.85135929219064</c:v>
                </c:pt>
                <c:pt idx="32">
                  <c:v>186.63043438612894</c:v>
                </c:pt>
                <c:pt idx="33">
                  <c:v>193.40376309219209</c:v>
                </c:pt>
                <c:pt idx="34">
                  <c:v>159.06134085507787</c:v>
                </c:pt>
                <c:pt idx="35">
                  <c:v>168.05020710580905</c:v>
                </c:pt>
                <c:pt idx="36">
                  <c:v>177.02773786791826</c:v>
                </c:pt>
                <c:pt idx="37">
                  <c:v>185.99458974371052</c:v>
                </c:pt>
                <c:pt idx="38">
                  <c:v>194.95135076455381</c:v>
                </c:pt>
                <c:pt idx="39">
                  <c:v>203.89855044318566</c:v>
                </c:pt>
                <c:pt idx="40">
                  <c:v>212.83666796637644</c:v>
                </c:pt>
                <c:pt idx="41">
                  <c:v>221.76613893728009</c:v>
                </c:pt>
                <c:pt idx="42">
                  <c:v>146.25287453156298</c:v>
                </c:pt>
                <c:pt idx="43">
                  <c:v>157.51693940030586</c:v>
                </c:pt>
                <c:pt idx="44">
                  <c:v>168.76189262711571</c:v>
                </c:pt>
                <c:pt idx="45">
                  <c:v>179.98918825610136</c:v>
                </c:pt>
                <c:pt idx="46">
                  <c:v>191.20008386836318</c:v>
                </c:pt>
                <c:pt idx="47">
                  <c:v>202.39567734471336</c:v>
                </c:pt>
                <c:pt idx="48">
                  <c:v>213.57693505223472</c:v>
                </c:pt>
                <c:pt idx="49">
                  <c:v>224.74471380907838</c:v>
                </c:pt>
                <c:pt idx="50">
                  <c:v>235.89977824827369</c:v>
                </c:pt>
                <c:pt idx="51">
                  <c:v>247.04281472086529</c:v>
                </c:pt>
                <c:pt idx="52">
                  <c:v>258.17444255634149</c:v>
                </c:pt>
                <c:pt idx="53">
                  <c:v>139.80202496868716</c:v>
                </c:pt>
                <c:pt idx="54">
                  <c:v>158.83630884907683</c:v>
                </c:pt>
                <c:pt idx="55">
                  <c:v>177.81647954849529</c:v>
                </c:pt>
                <c:pt idx="56">
                  <c:v>196.74912969396584</c:v>
                </c:pt>
                <c:pt idx="57">
                  <c:v>215.63947701451934</c:v>
                </c:pt>
                <c:pt idx="58">
                  <c:v>234.49174917122002</c:v>
                </c:pt>
                <c:pt idx="59">
                  <c:v>253.30943789805815</c:v>
                </c:pt>
                <c:pt idx="60">
                  <c:v>272.0954734596906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1.4948938023825125</c:v>
                </c:pt>
                <c:pt idx="2">
                  <c:v>1.9269579373094583</c:v>
                </c:pt>
                <c:pt idx="3">
                  <c:v>2.4844125028954722</c:v>
                </c:pt>
                <c:pt idx="4">
                  <c:v>3.2037879785422221</c:v>
                </c:pt>
                <c:pt idx="5">
                  <c:v>4.1322958351069063</c:v>
                </c:pt>
                <c:pt idx="6">
                  <c:v>5.330961965417722</c:v>
                </c:pt>
                <c:pt idx="7">
                  <c:v>6.8786821916536089</c:v>
                </c:pt>
                <c:pt idx="8">
                  <c:v>8.8774719569643725</c:v>
                </c:pt>
                <c:pt idx="9">
                  <c:v>11.459262815092636</c:v>
                </c:pt>
                <c:pt idx="10">
                  <c:v>14.794702712539115</c:v>
                </c:pt>
                <c:pt idx="11">
                  <c:v>19.1045524079038</c:v>
                </c:pt>
                <c:pt idx="12">
                  <c:v>24.674445899780395</c:v>
                </c:pt>
                <c:pt idx="13">
                  <c:v>31.874010387766962</c:v>
                </c:pt>
                <c:pt idx="14">
                  <c:v>41.181636581202334</c:v>
                </c:pt>
                <c:pt idx="15">
                  <c:v>53.216573230861478</c:v>
                </c:pt>
                <c:pt idx="16">
                  <c:v>68.780516727302498</c:v>
                </c:pt>
                <c:pt idx="17">
                  <c:v>88.911511419564192</c:v>
                </c:pt>
                <c:pt idx="18">
                  <c:v>114.95381301866831</c:v>
                </c:pt>
                <c:pt idx="19">
                  <c:v>148.64845327234278</c:v>
                </c:pt>
                <c:pt idx="20">
                  <c:v>192.25065332331272</c:v>
                </c:pt>
                <c:pt idx="21">
                  <c:v>153.90233005028921</c:v>
                </c:pt>
                <c:pt idx="22">
                  <c:v>186.51081276883826</c:v>
                </c:pt>
                <c:pt idx="23">
                  <c:v>218.98589856656307</c:v>
                </c:pt>
                <c:pt idx="24">
                  <c:v>251.35018250509077</c:v>
                </c:pt>
                <c:pt idx="25">
                  <c:v>283.61994287439455</c:v>
                </c:pt>
                <c:pt idx="26">
                  <c:v>239.36814609151156</c:v>
                </c:pt>
                <c:pt idx="27">
                  <c:v>274.89669858819849</c:v>
                </c:pt>
                <c:pt idx="28">
                  <c:v>310.32201375635157</c:v>
                </c:pt>
                <c:pt idx="29">
                  <c:v>345.65752741904265</c:v>
                </c:pt>
                <c:pt idx="30">
                  <c:v>380.91370150872643</c:v>
                </c:pt>
                <c:pt idx="31">
                  <c:v>336.59539404232521</c:v>
                </c:pt>
                <c:pt idx="32">
                  <c:v>371.4941833703777</c:v>
                </c:pt>
                <c:pt idx="33">
                  <c:v>406.32148880719052</c:v>
                </c:pt>
                <c:pt idx="34">
                  <c:v>441.08429055375774</c:v>
                </c:pt>
                <c:pt idx="35">
                  <c:v>475.78837940265356</c:v>
                </c:pt>
                <c:pt idx="36">
                  <c:v>428.87729921461749</c:v>
                </c:pt>
                <c:pt idx="37">
                  <c:v>460.78807982104064</c:v>
                </c:pt>
                <c:pt idx="38">
                  <c:v>492.65171161322957</c:v>
                </c:pt>
                <c:pt idx="39">
                  <c:v>524.47166827471267</c:v>
                </c:pt>
                <c:pt idx="40">
                  <c:v>556.25096808745991</c:v>
                </c:pt>
                <c:pt idx="41">
                  <c:v>506.32074034451671</c:v>
                </c:pt>
                <c:pt idx="42">
                  <c:v>534.9444976178803</c:v>
                </c:pt>
                <c:pt idx="43">
                  <c:v>563.53606377120934</c:v>
                </c:pt>
                <c:pt idx="44">
                  <c:v>592.09729944083642</c:v>
                </c:pt>
                <c:pt idx="45">
                  <c:v>620.62987134965499</c:v>
                </c:pt>
                <c:pt idx="46">
                  <c:v>581.83357169395538</c:v>
                </c:pt>
                <c:pt idx="47">
                  <c:v>607.39273139699276</c:v>
                </c:pt>
                <c:pt idx="48">
                  <c:v>632.92957124167344</c:v>
                </c:pt>
                <c:pt idx="49">
                  <c:v>658.44511728602208</c:v>
                </c:pt>
                <c:pt idx="50">
                  <c:v>683.9403096843057</c:v>
                </c:pt>
                <c:pt idx="51">
                  <c:v>651.55610138697932</c:v>
                </c:pt>
                <c:pt idx="52">
                  <c:v>674.07956329907574</c:v>
                </c:pt>
                <c:pt idx="53">
                  <c:v>696.58756909064925</c:v>
                </c:pt>
                <c:pt idx="54">
                  <c:v>719.08068786949445</c:v>
                </c:pt>
                <c:pt idx="55">
                  <c:v>741.55945028038957</c:v>
                </c:pt>
                <c:pt idx="56">
                  <c:v>713.69110254766326</c:v>
                </c:pt>
                <c:pt idx="57">
                  <c:v>733.20122457015805</c:v>
                </c:pt>
                <c:pt idx="58">
                  <c:v>752.70077387013305</c:v>
                </c:pt>
                <c:pt idx="59">
                  <c:v>772.19006261413824</c:v>
                </c:pt>
                <c:pt idx="60">
                  <c:v>791.66938594429928</c:v>
                </c:pt>
                <c:pt idx="61">
                  <c:v>766.2515388815159</c:v>
                </c:pt>
                <c:pt idx="62">
                  <c:v>782.5802570716578</c:v>
                </c:pt>
                <c:pt idx="63">
                  <c:v>798.90208178312059</c:v>
                </c:pt>
                <c:pt idx="64">
                  <c:v>815.21717355559383</c:v>
                </c:pt>
                <c:pt idx="65">
                  <c:v>831.52568598545849</c:v>
                </c:pt>
                <c:pt idx="66">
                  <c:v>807.98744227959924</c:v>
                </c:pt>
                <c:pt idx="67">
                  <c:v>821.51896146213005</c:v>
                </c:pt>
                <c:pt idx="68">
                  <c:v>835.04599283417645</c:v>
                </c:pt>
                <c:pt idx="69">
                  <c:v>848.5686192774391</c:v>
                </c:pt>
                <c:pt idx="70">
                  <c:v>862.08692081896686</c:v>
                </c:pt>
                <c:pt idx="71">
                  <c:v>840.78901144374925</c:v>
                </c:pt>
                <c:pt idx="72">
                  <c:v>851.90229781195706</c:v>
                </c:pt>
                <c:pt idx="73">
                  <c:v>863.01267559176995</c:v>
                </c:pt>
                <c:pt idx="74">
                  <c:v>874.12018747859702</c:v>
                </c:pt>
                <c:pt idx="75">
                  <c:v>885.22487499512147</c:v>
                </c:pt>
                <c:pt idx="76">
                  <c:v>865.78982059929149</c:v>
                </c:pt>
                <c:pt idx="77">
                  <c:v>874.12018747859702</c:v>
                </c:pt>
                <c:pt idx="78">
                  <c:v>882.44896567269132</c:v>
                </c:pt>
                <c:pt idx="79">
                  <c:v>890.7761722812661</c:v>
                </c:pt>
                <c:pt idx="80">
                  <c:v>899.10182405842761</c:v>
                </c:pt>
                <c:pt idx="81">
                  <c:v>875.04568541574281</c:v>
                </c:pt>
                <c:pt idx="82">
                  <c:v>875.04568541574281</c:v>
                </c:pt>
                <c:pt idx="83">
                  <c:v>875.04568541574281</c:v>
                </c:pt>
                <c:pt idx="84">
                  <c:v>875.04568541574281</c:v>
                </c:pt>
                <c:pt idx="85">
                  <c:v>875.04568541574281</c:v>
                </c:pt>
                <c:pt idx="86">
                  <c:v>875.04568541574281</c:v>
                </c:pt>
                <c:pt idx="87">
                  <c:v>875.04568541574281</c:v>
                </c:pt>
                <c:pt idx="88">
                  <c:v>875.04568541574281</c:v>
                </c:pt>
                <c:pt idx="89">
                  <c:v>875.04568541574281</c:v>
                </c:pt>
                <c:pt idx="90">
                  <c:v>875.04568541574281</c:v>
                </c:pt>
                <c:pt idx="91">
                  <c:v>875.04568541574281</c:v>
                </c:pt>
                <c:pt idx="92">
                  <c:v>875.04568541574281</c:v>
                </c:pt>
                <c:pt idx="93">
                  <c:v>875.04568541574281</c:v>
                </c:pt>
                <c:pt idx="94">
                  <c:v>875.04568541574281</c:v>
                </c:pt>
                <c:pt idx="95">
                  <c:v>875.04568541574281</c:v>
                </c:pt>
                <c:pt idx="96">
                  <c:v>875.04568541574281</c:v>
                </c:pt>
                <c:pt idx="97">
                  <c:v>875.04568541574281</c:v>
                </c:pt>
                <c:pt idx="98">
                  <c:v>875.04568541574281</c:v>
                </c:pt>
                <c:pt idx="99">
                  <c:v>875.04568541574281</c:v>
                </c:pt>
                <c:pt idx="100">
                  <c:v>875.04568541574281</c:v>
                </c:pt>
                <c:pt idx="101">
                  <c:v>875.04568541574281</c:v>
                </c:pt>
                <c:pt idx="102">
                  <c:v>875.04568541574281</c:v>
                </c:pt>
                <c:pt idx="103">
                  <c:v>875.04568541574281</c:v>
                </c:pt>
                <c:pt idx="104">
                  <c:v>875.04568541574281</c:v>
                </c:pt>
                <c:pt idx="105">
                  <c:v>875.04568541574281</c:v>
                </c:pt>
                <c:pt idx="106">
                  <c:v>875.04568541574281</c:v>
                </c:pt>
                <c:pt idx="107">
                  <c:v>875.04568541574281</c:v>
                </c:pt>
                <c:pt idx="108">
                  <c:v>875.04568541574281</c:v>
                </c:pt>
                <c:pt idx="109">
                  <c:v>875.04568541574281</c:v>
                </c:pt>
                <c:pt idx="110">
                  <c:v>875.04568541574281</c:v>
                </c:pt>
                <c:pt idx="111">
                  <c:v>875.04568541574281</c:v>
                </c:pt>
                <c:pt idx="112">
                  <c:v>875.04568541574281</c:v>
                </c:pt>
                <c:pt idx="113">
                  <c:v>875.04568541574281</c:v>
                </c:pt>
                <c:pt idx="114">
                  <c:v>875.04568541574281</c:v>
                </c:pt>
                <c:pt idx="115">
                  <c:v>875.04568541574281</c:v>
                </c:pt>
                <c:pt idx="116">
                  <c:v>875.04568541574281</c:v>
                </c:pt>
                <c:pt idx="117">
                  <c:v>875.04568541574281</c:v>
                </c:pt>
                <c:pt idx="118">
                  <c:v>875.04568541574281</c:v>
                </c:pt>
                <c:pt idx="119">
                  <c:v>875.04568541574281</c:v>
                </c:pt>
                <c:pt idx="120">
                  <c:v>875.04568541574281</c:v>
                </c:pt>
                <c:pt idx="121">
                  <c:v>875.04568541574281</c:v>
                </c:pt>
                <c:pt idx="122">
                  <c:v>875.04568541574281</c:v>
                </c:pt>
                <c:pt idx="123">
                  <c:v>875.04568541574281</c:v>
                </c:pt>
                <c:pt idx="124">
                  <c:v>875.04568541574281</c:v>
                </c:pt>
                <c:pt idx="125">
                  <c:v>875.04568541574281</c:v>
                </c:pt>
                <c:pt idx="126">
                  <c:v>875.04568541574281</c:v>
                </c:pt>
                <c:pt idx="127">
                  <c:v>875.04568541574281</c:v>
                </c:pt>
                <c:pt idx="128">
                  <c:v>875.04568541574281</c:v>
                </c:pt>
                <c:pt idx="129">
                  <c:v>875.04568541574281</c:v>
                </c:pt>
                <c:pt idx="130">
                  <c:v>875.04568541574281</c:v>
                </c:pt>
                <c:pt idx="131">
                  <c:v>875.04568541574281</c:v>
                </c:pt>
                <c:pt idx="132">
                  <c:v>875.04568541574281</c:v>
                </c:pt>
                <c:pt idx="133">
                  <c:v>875.04568541574281</c:v>
                </c:pt>
                <c:pt idx="134">
                  <c:v>875.04568541574281</c:v>
                </c:pt>
                <c:pt idx="135">
                  <c:v>875.04568541574281</c:v>
                </c:pt>
                <c:pt idx="136">
                  <c:v>875.04568541574281</c:v>
                </c:pt>
                <c:pt idx="137">
                  <c:v>875.04568541574281</c:v>
                </c:pt>
                <c:pt idx="138">
                  <c:v>875.04568541574281</c:v>
                </c:pt>
                <c:pt idx="139">
                  <c:v>875.04568541574281</c:v>
                </c:pt>
                <c:pt idx="140">
                  <c:v>875.04568541574281</c:v>
                </c:pt>
                <c:pt idx="141">
                  <c:v>875.04568541574281</c:v>
                </c:pt>
                <c:pt idx="142">
                  <c:v>875.04568541574281</c:v>
                </c:pt>
                <c:pt idx="143">
                  <c:v>875.04568541574281</c:v>
                </c:pt>
                <c:pt idx="144">
                  <c:v>875.04568541574281</c:v>
                </c:pt>
                <c:pt idx="145">
                  <c:v>875.04568541574281</c:v>
                </c:pt>
                <c:pt idx="146">
                  <c:v>875.04568541574281</c:v>
                </c:pt>
                <c:pt idx="147">
                  <c:v>875.04568541574281</c:v>
                </c:pt>
                <c:pt idx="148">
                  <c:v>875.04568541574281</c:v>
                </c:pt>
                <c:pt idx="149">
                  <c:v>875.04568541574281</c:v>
                </c:pt>
                <c:pt idx="150">
                  <c:v>875.04568541574281</c:v>
                </c:pt>
                <c:pt idx="151">
                  <c:v>875.04568541574281</c:v>
                </c:pt>
                <c:pt idx="152">
                  <c:v>875.04568541574281</c:v>
                </c:pt>
                <c:pt idx="153">
                  <c:v>875.04568541574281</c:v>
                </c:pt>
                <c:pt idx="154">
                  <c:v>875.04568541574281</c:v>
                </c:pt>
                <c:pt idx="155">
                  <c:v>875.04568541574281</c:v>
                </c:pt>
                <c:pt idx="156">
                  <c:v>875.04568541574281</c:v>
                </c:pt>
                <c:pt idx="157">
                  <c:v>875.04568541574281</c:v>
                </c:pt>
                <c:pt idx="158">
                  <c:v>875.04568541574281</c:v>
                </c:pt>
                <c:pt idx="159">
                  <c:v>875.04568541574281</c:v>
                </c:pt>
                <c:pt idx="160">
                  <c:v>875.04568541574281</c:v>
                </c:pt>
                <c:pt idx="161">
                  <c:v>875.04568541574281</c:v>
                </c:pt>
                <c:pt idx="162">
                  <c:v>875.04568541574281</c:v>
                </c:pt>
                <c:pt idx="163">
                  <c:v>875.04568541574281</c:v>
                </c:pt>
                <c:pt idx="164">
                  <c:v>875.04568541574281</c:v>
                </c:pt>
                <c:pt idx="165">
                  <c:v>875.04568541574281</c:v>
                </c:pt>
                <c:pt idx="166">
                  <c:v>875.04568541574281</c:v>
                </c:pt>
                <c:pt idx="167">
                  <c:v>875.04568541574281</c:v>
                </c:pt>
                <c:pt idx="168">
                  <c:v>875.04568541574281</c:v>
                </c:pt>
                <c:pt idx="169">
                  <c:v>875.04568541574281</c:v>
                </c:pt>
                <c:pt idx="170">
                  <c:v>875.04568541574281</c:v>
                </c:pt>
                <c:pt idx="171">
                  <c:v>875.04568541574281</c:v>
                </c:pt>
                <c:pt idx="172">
                  <c:v>875.04568541574281</c:v>
                </c:pt>
                <c:pt idx="173">
                  <c:v>875.04568541574281</c:v>
                </c:pt>
                <c:pt idx="174">
                  <c:v>875.04568541574281</c:v>
                </c:pt>
                <c:pt idx="175">
                  <c:v>875.04568541574281</c:v>
                </c:pt>
                <c:pt idx="176">
                  <c:v>875.04568541574281</c:v>
                </c:pt>
                <c:pt idx="177">
                  <c:v>875.04568541574281</c:v>
                </c:pt>
                <c:pt idx="178">
                  <c:v>875.04568541574281</c:v>
                </c:pt>
                <c:pt idx="179">
                  <c:v>875.04568541574281</c:v>
                </c:pt>
                <c:pt idx="180">
                  <c:v>875.04568541574281</c:v>
                </c:pt>
                <c:pt idx="181">
                  <c:v>875.04568541574281</c:v>
                </c:pt>
                <c:pt idx="182">
                  <c:v>875.04568541574281</c:v>
                </c:pt>
                <c:pt idx="183">
                  <c:v>875.04568541574281</c:v>
                </c:pt>
                <c:pt idx="184">
                  <c:v>875.04568541574281</c:v>
                </c:pt>
                <c:pt idx="185">
                  <c:v>875.04568541574281</c:v>
                </c:pt>
                <c:pt idx="186">
                  <c:v>875.04568541574281</c:v>
                </c:pt>
                <c:pt idx="187">
                  <c:v>875.04568541574281</c:v>
                </c:pt>
                <c:pt idx="188">
                  <c:v>875.04568541574281</c:v>
                </c:pt>
                <c:pt idx="189">
                  <c:v>875.04568541574281</c:v>
                </c:pt>
                <c:pt idx="190">
                  <c:v>875.04568541574281</c:v>
                </c:pt>
                <c:pt idx="191">
                  <c:v>875.04568541574281</c:v>
                </c:pt>
                <c:pt idx="192">
                  <c:v>875.04568541574281</c:v>
                </c:pt>
                <c:pt idx="193">
                  <c:v>875.04568541574281</c:v>
                </c:pt>
                <c:pt idx="194">
                  <c:v>875.04568541574281</c:v>
                </c:pt>
                <c:pt idx="195">
                  <c:v>875.04568541574281</c:v>
                </c:pt>
                <c:pt idx="196">
                  <c:v>875.04568541574281</c:v>
                </c:pt>
                <c:pt idx="197">
                  <c:v>875.04568541574281</c:v>
                </c:pt>
                <c:pt idx="198">
                  <c:v>875.04568541574281</c:v>
                </c:pt>
                <c:pt idx="199">
                  <c:v>875.04568541574281</c:v>
                </c:pt>
                <c:pt idx="200">
                  <c:v>875.04568541574281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E119" sqref="E1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5.77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0.6</v>
      </c>
      <c r="D9" s="33">
        <f t="shared" ref="D9:D18" si="0">C9*$C$5</f>
        <v>3.4619999999999997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0.33</v>
      </c>
      <c r="D10" s="33">
        <f t="shared" si="0"/>
        <v>1.9040999999999999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0.04</v>
      </c>
      <c r="D11" s="33">
        <f t="shared" si="0"/>
        <v>0.23079999999999998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156</v>
      </c>
      <c r="C12" s="32">
        <v>0.03</v>
      </c>
      <c r="D12" s="33">
        <f t="shared" si="0"/>
        <v>0.17309999999999998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5.77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f>62+8</f>
        <v>70</v>
      </c>
      <c r="C36" s="60">
        <v>1</v>
      </c>
      <c r="D36" s="60">
        <v>8</v>
      </c>
      <c r="E36" s="51"/>
      <c r="F36" s="51"/>
      <c r="G36" s="51"/>
      <c r="H36" s="51">
        <v>1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f>76+D37</f>
        <v>97</v>
      </c>
      <c r="C37" s="60">
        <v>2</v>
      </c>
      <c r="D37" s="60">
        <v>21</v>
      </c>
      <c r="E37" s="51"/>
      <c r="F37" s="51"/>
      <c r="G37" s="51"/>
      <c r="H37" s="51">
        <v>1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f>95+D38</f>
        <v>116</v>
      </c>
      <c r="C38" s="60">
        <v>3</v>
      </c>
      <c r="D38" s="60">
        <v>21</v>
      </c>
      <c r="E38" s="51">
        <v>0.4</v>
      </c>
      <c r="F38" s="51">
        <v>0.08</v>
      </c>
      <c r="G38" s="51">
        <v>0.12</v>
      </c>
      <c r="H38" s="51">
        <v>0.4</v>
      </c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f>116+D39</f>
        <v>137</v>
      </c>
      <c r="C39" s="60">
        <v>4</v>
      </c>
      <c r="D39" s="60">
        <v>21</v>
      </c>
      <c r="E39" s="51">
        <v>0.4</v>
      </c>
      <c r="F39" s="51">
        <v>0.08</v>
      </c>
      <c r="G39" s="51">
        <v>0.12</v>
      </c>
      <c r="H39" s="51">
        <v>0.4</v>
      </c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45</v>
      </c>
      <c r="B40" s="60">
        <f>137+D40</f>
        <v>158</v>
      </c>
      <c r="C40" s="60">
        <v>5</v>
      </c>
      <c r="D40" s="60">
        <v>21</v>
      </c>
      <c r="E40" s="51">
        <v>0.6</v>
      </c>
      <c r="F40" s="51">
        <v>0.04</v>
      </c>
      <c r="G40" s="51">
        <v>0.06</v>
      </c>
      <c r="H40" s="51">
        <v>0.3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50</v>
      </c>
      <c r="B41" s="60">
        <f>157+D41</f>
        <v>178</v>
      </c>
      <c r="C41" s="60">
        <v>6</v>
      </c>
      <c r="D41" s="60">
        <v>21</v>
      </c>
      <c r="E41" s="51">
        <v>0.6</v>
      </c>
      <c r="F41" s="51">
        <v>0.04</v>
      </c>
      <c r="G41" s="51">
        <v>0.06</v>
      </c>
      <c r="H41" s="51">
        <v>0.3</v>
      </c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55</v>
      </c>
      <c r="B42" s="60">
        <f>176+D42</f>
        <v>197</v>
      </c>
      <c r="C42" s="60">
        <v>7</v>
      </c>
      <c r="D42" s="60">
        <v>21</v>
      </c>
      <c r="E42" s="51">
        <v>0.8</v>
      </c>
      <c r="F42" s="51">
        <v>0.04</v>
      </c>
      <c r="G42" s="51">
        <v>0.06</v>
      </c>
      <c r="H42" s="51">
        <v>0.1</v>
      </c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60</v>
      </c>
      <c r="B43" s="60">
        <f>193+D43</f>
        <v>214</v>
      </c>
      <c r="C43" s="60">
        <v>8</v>
      </c>
      <c r="D43" s="60">
        <v>21</v>
      </c>
      <c r="E43" s="51">
        <v>0.8</v>
      </c>
      <c r="F43" s="51">
        <v>0.04</v>
      </c>
      <c r="G43" s="51">
        <v>0.06</v>
      </c>
      <c r="H43" s="51">
        <v>0.1</v>
      </c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65</v>
      </c>
      <c r="B44" s="60">
        <f>208+D44</f>
        <v>229</v>
      </c>
      <c r="C44" s="60">
        <v>9</v>
      </c>
      <c r="D44" s="60">
        <v>21</v>
      </c>
      <c r="E44" s="51">
        <v>0.8</v>
      </c>
      <c r="F44" s="51">
        <v>0.04</v>
      </c>
      <c r="G44" s="51">
        <v>0.06</v>
      </c>
      <c r="H44" s="51">
        <v>0.1</v>
      </c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70</v>
      </c>
      <c r="B45" s="60">
        <f>221+D45</f>
        <v>242</v>
      </c>
      <c r="C45" s="60">
        <v>10</v>
      </c>
      <c r="D45" s="60">
        <v>21</v>
      </c>
      <c r="E45" s="51">
        <v>0.8</v>
      </c>
      <c r="F45" s="51">
        <v>0.04</v>
      </c>
      <c r="G45" s="51">
        <v>0.06</v>
      </c>
      <c r="H45" s="51">
        <v>0.1</v>
      </c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75</v>
      </c>
      <c r="B46" s="60">
        <f>231+D46</f>
        <v>252</v>
      </c>
      <c r="C46" s="60">
        <v>11</v>
      </c>
      <c r="D46" s="60">
        <v>21</v>
      </c>
      <c r="E46" s="51">
        <v>0.8</v>
      </c>
      <c r="F46" s="51">
        <v>0.04</v>
      </c>
      <c r="G46" s="51">
        <v>0.06</v>
      </c>
      <c r="H46" s="51">
        <v>0.1</v>
      </c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80</v>
      </c>
      <c r="B47" s="60">
        <f>240+D47</f>
        <v>261</v>
      </c>
      <c r="C47" s="60">
        <v>12</v>
      </c>
      <c r="D47" s="60">
        <v>21</v>
      </c>
      <c r="E47" s="51">
        <v>0.8</v>
      </c>
      <c r="F47" s="51">
        <v>0.04</v>
      </c>
      <c r="G47" s="51">
        <v>0.06</v>
      </c>
      <c r="H47" s="51">
        <v>0.1</v>
      </c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85</v>
      </c>
      <c r="B48" s="60">
        <f>248+D48</f>
        <v>269</v>
      </c>
      <c r="C48" s="60">
        <v>13</v>
      </c>
      <c r="D48" s="60">
        <v>21</v>
      </c>
      <c r="E48" s="51">
        <v>0.8</v>
      </c>
      <c r="F48" s="51">
        <v>0.04</v>
      </c>
      <c r="G48" s="51">
        <v>0.06</v>
      </c>
      <c r="H48" s="51">
        <v>0.1</v>
      </c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90</v>
      </c>
      <c r="B49" s="60">
        <f>254+D49</f>
        <v>275</v>
      </c>
      <c r="C49" s="60">
        <v>14</v>
      </c>
      <c r="D49" s="60">
        <v>21</v>
      </c>
      <c r="E49" s="51">
        <v>0.8</v>
      </c>
      <c r="F49" s="51">
        <v>0.04</v>
      </c>
      <c r="G49" s="51">
        <v>0.06</v>
      </c>
      <c r="H49" s="51">
        <v>0.1</v>
      </c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95</v>
      </c>
      <c r="B50" s="50">
        <v>279</v>
      </c>
      <c r="C50" s="50">
        <v>15</v>
      </c>
      <c r="D50" s="50">
        <v>21</v>
      </c>
      <c r="E50" s="51">
        <v>0.8</v>
      </c>
      <c r="F50" s="51">
        <v>0.04</v>
      </c>
      <c r="G50" s="51">
        <v>0.06</v>
      </c>
      <c r="H50" s="51">
        <v>0.1</v>
      </c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100</v>
      </c>
      <c r="B51" s="50">
        <v>282</v>
      </c>
      <c r="C51" s="50">
        <v>16</v>
      </c>
      <c r="D51" s="50">
        <v>21</v>
      </c>
      <c r="E51" s="51">
        <v>0.8</v>
      </c>
      <c r="F51" s="51">
        <v>0.04</v>
      </c>
      <c r="G51" s="51">
        <v>0.06</v>
      </c>
      <c r="H51" s="51">
        <v>0.1</v>
      </c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105</v>
      </c>
      <c r="B52" s="50">
        <v>284</v>
      </c>
      <c r="C52" s="50">
        <v>17</v>
      </c>
      <c r="D52" s="50">
        <v>20</v>
      </c>
      <c r="E52" s="51">
        <v>0.8</v>
      </c>
      <c r="F52" s="51">
        <v>0.04</v>
      </c>
      <c r="G52" s="51">
        <v>0.06</v>
      </c>
      <c r="H52" s="51">
        <v>0.1</v>
      </c>
      <c r="I52" s="49">
        <f t="shared" si="1"/>
        <v>4.5999999999999996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110</v>
      </c>
      <c r="B53" s="50">
        <v>285</v>
      </c>
      <c r="C53" s="50">
        <v>18</v>
      </c>
      <c r="D53" s="50">
        <v>19</v>
      </c>
      <c r="E53" s="51">
        <v>0.8</v>
      </c>
      <c r="F53" s="51">
        <v>0.04</v>
      </c>
      <c r="G53" s="51">
        <v>0.06</v>
      </c>
      <c r="H53" s="51">
        <v>0.1</v>
      </c>
      <c r="I53" s="49">
        <f t="shared" si="1"/>
        <v>4.2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115</v>
      </c>
      <c r="B54" s="50">
        <v>285</v>
      </c>
      <c r="C54" s="50">
        <v>19</v>
      </c>
      <c r="D54" s="50">
        <v>18</v>
      </c>
      <c r="E54" s="51">
        <v>0.8</v>
      </c>
      <c r="F54" s="51">
        <v>0.04</v>
      </c>
      <c r="G54" s="51">
        <v>0.06</v>
      </c>
      <c r="H54" s="51">
        <v>0.1</v>
      </c>
      <c r="I54" s="49">
        <f t="shared" si="1"/>
        <v>3.8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120</v>
      </c>
      <c r="B55" s="50">
        <v>285</v>
      </c>
      <c r="C55" s="50">
        <v>20</v>
      </c>
      <c r="D55" s="50">
        <v>17</v>
      </c>
      <c r="E55" s="51">
        <v>0.8</v>
      </c>
      <c r="F55" s="51">
        <v>0.04</v>
      </c>
      <c r="G55" s="51">
        <v>0.06</v>
      </c>
      <c r="H55" s="51">
        <v>0.1</v>
      </c>
      <c r="I55" s="49">
        <f t="shared" si="1"/>
        <v>3.6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f>62+8</f>
        <v>70</v>
      </c>
      <c r="C62" s="60">
        <v>1</v>
      </c>
      <c r="D62" s="60">
        <v>8</v>
      </c>
      <c r="E62" s="51"/>
      <c r="F62" s="51"/>
      <c r="G62" s="51"/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76+D63</f>
        <v>97</v>
      </c>
      <c r="C63" s="60">
        <v>2</v>
      </c>
      <c r="D63" s="60">
        <v>21</v>
      </c>
      <c r="E63" s="51"/>
      <c r="F63" s="51"/>
      <c r="G63" s="51"/>
      <c r="H63" s="51">
        <v>1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f>95+D64</f>
        <v>116</v>
      </c>
      <c r="C64" s="60">
        <v>3</v>
      </c>
      <c r="D64" s="60">
        <v>21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f>116+D65</f>
        <v>137</v>
      </c>
      <c r="C65" s="60">
        <v>4</v>
      </c>
      <c r="D65" s="60">
        <v>21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f>137+D66</f>
        <v>158</v>
      </c>
      <c r="C66" s="60">
        <v>5</v>
      </c>
      <c r="D66" s="60">
        <v>21</v>
      </c>
      <c r="E66" s="51">
        <v>0.6</v>
      </c>
      <c r="F66" s="51">
        <v>0.04</v>
      </c>
      <c r="G66" s="51">
        <v>0.06</v>
      </c>
      <c r="H66" s="51">
        <v>0.3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f>157+D67</f>
        <v>178</v>
      </c>
      <c r="C67" s="60">
        <v>6</v>
      </c>
      <c r="D67" s="60">
        <v>21</v>
      </c>
      <c r="E67" s="51">
        <v>0.6</v>
      </c>
      <c r="F67" s="51">
        <v>0.04</v>
      </c>
      <c r="G67" s="51">
        <v>0.06</v>
      </c>
      <c r="H67" s="51">
        <v>0.3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f>176+D68</f>
        <v>197</v>
      </c>
      <c r="C68" s="60">
        <v>7</v>
      </c>
      <c r="D68" s="60">
        <v>21</v>
      </c>
      <c r="E68" s="51">
        <v>0.8</v>
      </c>
      <c r="F68" s="51">
        <v>0.04</v>
      </c>
      <c r="G68" s="51">
        <v>0.06</v>
      </c>
      <c r="H68" s="51">
        <v>0.1</v>
      </c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f>193+D69</f>
        <v>214</v>
      </c>
      <c r="C69" s="50">
        <v>8</v>
      </c>
      <c r="D69" s="50">
        <v>21</v>
      </c>
      <c r="E69" s="51">
        <v>0.8</v>
      </c>
      <c r="F69" s="51">
        <v>0.04</v>
      </c>
      <c r="G69" s="51">
        <v>0.06</v>
      </c>
      <c r="H69" s="51">
        <v>0.1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65</v>
      </c>
      <c r="B70" s="50">
        <f>208+D70</f>
        <v>229</v>
      </c>
      <c r="C70" s="50">
        <v>9</v>
      </c>
      <c r="D70" s="50">
        <v>21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70</v>
      </c>
      <c r="B71" s="50">
        <f>221+D71</f>
        <v>242</v>
      </c>
      <c r="C71" s="50">
        <v>10</v>
      </c>
      <c r="D71" s="50">
        <v>21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75</v>
      </c>
      <c r="B72" s="50">
        <f>231+D72</f>
        <v>252</v>
      </c>
      <c r="C72" s="50">
        <v>11</v>
      </c>
      <c r="D72" s="50">
        <v>21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80</v>
      </c>
      <c r="B73" s="50">
        <f>240+D73</f>
        <v>261</v>
      </c>
      <c r="C73" s="50">
        <v>12</v>
      </c>
      <c r="D73" s="50">
        <v>21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85</v>
      </c>
      <c r="B74" s="50">
        <f>248+D74</f>
        <v>269</v>
      </c>
      <c r="C74" s="50">
        <v>13</v>
      </c>
      <c r="D74" s="50">
        <v>21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f>254+D75</f>
        <v>275</v>
      </c>
      <c r="C75" s="50">
        <v>14</v>
      </c>
      <c r="D75" s="50">
        <v>21</v>
      </c>
      <c r="E75" s="51">
        <v>0.8</v>
      </c>
      <c r="F75" s="51">
        <v>0.04</v>
      </c>
      <c r="G75" s="51">
        <v>0.06</v>
      </c>
      <c r="H75" s="51">
        <v>0.1</v>
      </c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95</v>
      </c>
      <c r="B76" s="50">
        <v>279</v>
      </c>
      <c r="C76" s="50">
        <v>15</v>
      </c>
      <c r="D76" s="50">
        <v>21</v>
      </c>
      <c r="E76" s="51">
        <v>0.8</v>
      </c>
      <c r="F76" s="51">
        <v>0.04</v>
      </c>
      <c r="G76" s="51">
        <v>0.06</v>
      </c>
      <c r="H76" s="51">
        <v>0.1</v>
      </c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100</v>
      </c>
      <c r="B77" s="50">
        <v>282</v>
      </c>
      <c r="C77" s="50">
        <v>16</v>
      </c>
      <c r="D77" s="50">
        <v>21</v>
      </c>
      <c r="E77" s="51">
        <v>0.8</v>
      </c>
      <c r="F77" s="51">
        <v>0.04</v>
      </c>
      <c r="G77" s="51">
        <v>0.06</v>
      </c>
      <c r="H77" s="51">
        <v>0.1</v>
      </c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105</v>
      </c>
      <c r="B78" s="50">
        <v>284</v>
      </c>
      <c r="C78" s="50">
        <v>17</v>
      </c>
      <c r="D78" s="50">
        <v>20</v>
      </c>
      <c r="E78" s="51">
        <v>0.8</v>
      </c>
      <c r="F78" s="51">
        <v>0.04</v>
      </c>
      <c r="G78" s="51">
        <v>0.06</v>
      </c>
      <c r="H78" s="51">
        <v>0.1</v>
      </c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110</v>
      </c>
      <c r="B79" s="50">
        <v>285</v>
      </c>
      <c r="C79" s="50">
        <v>18</v>
      </c>
      <c r="D79" s="50">
        <v>19</v>
      </c>
      <c r="E79" s="51">
        <v>0.8</v>
      </c>
      <c r="F79" s="51">
        <v>0.04</v>
      </c>
      <c r="G79" s="51">
        <v>0.06</v>
      </c>
      <c r="H79" s="51">
        <v>0.1</v>
      </c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115</v>
      </c>
      <c r="B80" s="50">
        <v>285</v>
      </c>
      <c r="C80" s="50">
        <v>19</v>
      </c>
      <c r="D80" s="50">
        <v>18</v>
      </c>
      <c r="E80" s="51">
        <v>0.8</v>
      </c>
      <c r="F80" s="51">
        <v>0.04</v>
      </c>
      <c r="G80" s="51">
        <v>0.06</v>
      </c>
      <c r="H80" s="51">
        <v>0.1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120</v>
      </c>
      <c r="B81" s="50">
        <v>285</v>
      </c>
      <c r="C81" s="50">
        <v>20</v>
      </c>
      <c r="D81" s="50">
        <v>17</v>
      </c>
      <c r="E81" s="51">
        <v>0.8</v>
      </c>
      <c r="F81" s="51">
        <v>0.04</v>
      </c>
      <c r="G81" s="51">
        <v>0.06</v>
      </c>
      <c r="H81" s="51">
        <v>0.1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25</v>
      </c>
      <c r="B88" s="60">
        <v>147.5</v>
      </c>
      <c r="C88" s="60">
        <v>1</v>
      </c>
      <c r="D88" s="60">
        <v>14.75</v>
      </c>
      <c r="E88" s="51"/>
      <c r="F88" s="51">
        <v>0.4</v>
      </c>
      <c r="G88" s="51">
        <v>0.6</v>
      </c>
      <c r="H88" s="87"/>
      <c r="I88" s="53">
        <f>IFERROR(B88/A88,"")</f>
        <v>5.9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33</v>
      </c>
      <c r="B89" s="60">
        <v>186.25</v>
      </c>
      <c r="C89" s="60">
        <v>2</v>
      </c>
      <c r="D89" s="60">
        <v>42.69</v>
      </c>
      <c r="E89" s="51"/>
      <c r="F89" s="51">
        <v>0.4</v>
      </c>
      <c r="G89" s="51">
        <v>0.6</v>
      </c>
      <c r="H89" s="87"/>
      <c r="I89" s="53">
        <f t="shared" ref="I89:I107" si="3">IF(A89&lt;&gt;0,(B89-(B88-D88))/(A89-A88),"")</f>
        <v>6.6875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41</v>
      </c>
      <c r="B90" s="60">
        <v>214.31</v>
      </c>
      <c r="C90" s="60">
        <v>3</v>
      </c>
      <c r="D90" s="60">
        <v>85.55</v>
      </c>
      <c r="E90" s="87">
        <v>0.4</v>
      </c>
      <c r="F90" s="87">
        <v>0.25</v>
      </c>
      <c r="G90" s="87">
        <v>0.35</v>
      </c>
      <c r="H90" s="87"/>
      <c r="I90" s="53">
        <f t="shared" si="3"/>
        <v>8.84375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52</v>
      </c>
      <c r="B91" s="60">
        <v>250.45</v>
      </c>
      <c r="C91" s="60">
        <v>4</v>
      </c>
      <c r="D91" s="60">
        <v>135.63999999999999</v>
      </c>
      <c r="E91" s="87">
        <v>0.5</v>
      </c>
      <c r="F91" s="87">
        <v>0.2</v>
      </c>
      <c r="G91" s="87">
        <v>0.3</v>
      </c>
      <c r="H91" s="87"/>
      <c r="I91" s="53">
        <f t="shared" si="3"/>
        <v>11.062727272727273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264.3</v>
      </c>
      <c r="C92" s="60">
        <v>5</v>
      </c>
      <c r="D92" s="60">
        <v>264.36</v>
      </c>
      <c r="E92" s="87">
        <v>0.5</v>
      </c>
      <c r="F92" s="87">
        <v>0.2</v>
      </c>
      <c r="G92" s="87">
        <v>0.3</v>
      </c>
      <c r="H92" s="87"/>
      <c r="I92" s="53">
        <f t="shared" si="3"/>
        <v>18.686250000000001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Séquoia toujours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122+D114</f>
        <v>196</v>
      </c>
      <c r="C114" s="50">
        <v>1</v>
      </c>
      <c r="D114" s="60">
        <v>74</v>
      </c>
      <c r="E114" s="51"/>
      <c r="F114" s="51">
        <v>0.6</v>
      </c>
      <c r="G114" s="51">
        <v>0.4</v>
      </c>
      <c r="H114" s="51"/>
      <c r="I114" s="53">
        <f>IFERROR(B114/A114,"")</f>
        <v>9.8000000000000007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f>208+D115</f>
        <v>292</v>
      </c>
      <c r="C115" s="50">
        <v>2</v>
      </c>
      <c r="D115" s="60">
        <v>84</v>
      </c>
      <c r="E115" s="51">
        <v>0.3</v>
      </c>
      <c r="F115" s="51">
        <v>0.42</v>
      </c>
      <c r="G115" s="51">
        <v>0.28000000000000003</v>
      </c>
      <c r="H115" s="51"/>
      <c r="I115" s="53">
        <f t="shared" ref="I115:I133" si="4">IF(A115&lt;&gt;0,(B115-(B114-D114))/(A115-A114),"")</f>
        <v>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f>311+D116</f>
        <v>395</v>
      </c>
      <c r="C116" s="50">
        <v>3</v>
      </c>
      <c r="D116" s="60">
        <v>84</v>
      </c>
      <c r="E116" s="51">
        <v>0.5</v>
      </c>
      <c r="F116" s="51">
        <v>0.3</v>
      </c>
      <c r="G116" s="51">
        <v>0.2</v>
      </c>
      <c r="H116" s="51"/>
      <c r="I116" s="53">
        <f t="shared" si="4"/>
        <v>37.4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f>412+D117</f>
        <v>496</v>
      </c>
      <c r="C117" s="50">
        <v>4</v>
      </c>
      <c r="D117" s="60">
        <v>84</v>
      </c>
      <c r="E117" s="51">
        <v>0.5</v>
      </c>
      <c r="F117" s="51">
        <v>0.3</v>
      </c>
      <c r="G117" s="51">
        <v>0.2</v>
      </c>
      <c r="H117" s="51"/>
      <c r="I117" s="53">
        <f t="shared" si="4"/>
        <v>37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f>498+D118</f>
        <v>582</v>
      </c>
      <c r="C118" s="50">
        <v>5</v>
      </c>
      <c r="D118" s="60">
        <v>84</v>
      </c>
      <c r="E118" s="51">
        <v>0.5</v>
      </c>
      <c r="F118" s="51">
        <v>0.3</v>
      </c>
      <c r="G118" s="51">
        <v>0.2</v>
      </c>
      <c r="H118" s="51"/>
      <c r="I118" s="53">
        <f t="shared" si="4"/>
        <v>34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f>582+D119</f>
        <v>651</v>
      </c>
      <c r="C119" s="50">
        <v>6</v>
      </c>
      <c r="D119" s="60">
        <v>69</v>
      </c>
      <c r="E119" s="51">
        <v>0.5</v>
      </c>
      <c r="F119" s="51">
        <v>0.3</v>
      </c>
      <c r="G119" s="51">
        <v>0.2</v>
      </c>
      <c r="H119" s="51"/>
      <c r="I119" s="53">
        <f t="shared" si="4"/>
        <v>30.6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f>660+D120</f>
        <v>719</v>
      </c>
      <c r="C120" s="60">
        <v>7</v>
      </c>
      <c r="D120" s="60">
        <v>59</v>
      </c>
      <c r="E120" s="87">
        <v>0.6</v>
      </c>
      <c r="F120" s="87">
        <v>0.25</v>
      </c>
      <c r="G120" s="87">
        <v>0.15</v>
      </c>
      <c r="H120" s="87"/>
      <c r="I120" s="53">
        <f t="shared" si="4"/>
        <v>27.4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f>730+D121</f>
        <v>781</v>
      </c>
      <c r="C121" s="60">
        <v>8</v>
      </c>
      <c r="D121" s="60">
        <v>51</v>
      </c>
      <c r="E121" s="87">
        <v>0.6</v>
      </c>
      <c r="F121" s="87">
        <v>0.25</v>
      </c>
      <c r="G121" s="87">
        <v>0.15</v>
      </c>
      <c r="H121" s="87"/>
      <c r="I121" s="53">
        <f t="shared" si="4"/>
        <v>24.2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f>790+D122</f>
        <v>835</v>
      </c>
      <c r="C122" s="60">
        <v>9</v>
      </c>
      <c r="D122" s="60">
        <v>45</v>
      </c>
      <c r="E122" s="87">
        <v>0.6</v>
      </c>
      <c r="F122" s="87">
        <v>0.25</v>
      </c>
      <c r="G122" s="87">
        <v>0.15</v>
      </c>
      <c r="H122" s="87"/>
      <c r="I122" s="53">
        <f t="shared" si="4"/>
        <v>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f>838+D123</f>
        <v>878</v>
      </c>
      <c r="C123" s="60">
        <v>10</v>
      </c>
      <c r="D123" s="60">
        <v>40</v>
      </c>
      <c r="E123" s="87">
        <v>0.7</v>
      </c>
      <c r="F123" s="87">
        <v>0.25</v>
      </c>
      <c r="G123" s="87">
        <v>0.15</v>
      </c>
      <c r="H123" s="87"/>
      <c r="I123" s="53">
        <f t="shared" si="4"/>
        <v>17.600000000000001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f>876+D124</f>
        <v>911</v>
      </c>
      <c r="C124" s="60">
        <v>11</v>
      </c>
      <c r="D124" s="60">
        <v>35</v>
      </c>
      <c r="E124" s="87">
        <v>0.7</v>
      </c>
      <c r="F124" s="87">
        <v>0.25</v>
      </c>
      <c r="G124" s="87">
        <v>0.15</v>
      </c>
      <c r="H124" s="87"/>
      <c r="I124" s="53">
        <f t="shared" si="4"/>
        <v>14.6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f>906+D125</f>
        <v>936</v>
      </c>
      <c r="C125" s="60">
        <v>12</v>
      </c>
      <c r="D125" s="60">
        <v>30</v>
      </c>
      <c r="E125" s="87">
        <v>0.7</v>
      </c>
      <c r="F125" s="87">
        <v>0.25</v>
      </c>
      <c r="G125" s="87">
        <v>0.15</v>
      </c>
      <c r="H125" s="87"/>
      <c r="I125" s="53">
        <f t="shared" si="4"/>
        <v>12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f>925+D126</f>
        <v>951</v>
      </c>
      <c r="C126" s="60">
        <v>13</v>
      </c>
      <c r="D126" s="60">
        <v>26</v>
      </c>
      <c r="E126" s="65">
        <v>0.7</v>
      </c>
      <c r="F126" s="65">
        <v>0.25</v>
      </c>
      <c r="G126" s="65">
        <v>0.15</v>
      </c>
      <c r="H126" s="65"/>
      <c r="I126" s="53">
        <f t="shared" si="4"/>
        <v>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Séquoia toujours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258.68215148478868</v>
      </c>
      <c r="T3" s="59">
        <f>IF('Données projet'!E9&gt;30,$R$33-$H$33,LOOKUP('Données projet'!$E$9,$A$3:$A$203,R3:R203)-LOOKUP('Données projet'!$E$9,$A$3:$A$203,$H$3:$H$203))</f>
        <v>153.16792125610209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298.68533387773886</v>
      </c>
      <c r="AO3" s="59">
        <f>IF('Données projet'!E10&gt;30,$AM$33-$H$33,LOOKUP('Données projet'!$E$10,$A$3:$A$203,AM3:AM203)-LOOKUP('Données projet'!$E$10,$A$3:$A$203,$H$3:$H$203))</f>
        <v>176.04868734496114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83.62456509032836</v>
      </c>
      <c r="BJ3" s="59">
        <f>IF('Données projet'!E11&gt;30,$BH$33-$H$33,LOOKUP('Données projet'!$E$11,$A$3:$A$203,BH3:BH203)-LOOKUP('Données projet'!$E$11,$A$3:$A$203,$H$3:$H$203))</f>
        <v>131.53128089847871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415.83983761562189</v>
      </c>
      <c r="CE3" s="59">
        <f>IF('Données projet'!E12&gt;30,$CC$33-$H$33,LOOKUP('Données projet'!$E$12,$A$3:$A$203,CC3:CC203)-LOOKUP('Données projet'!$E$12,$A$3:$A$203,$H$3:$H$203))</f>
        <v>339.37869344688829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296.05486389783243</v>
      </c>
      <c r="S4" s="59">
        <f ca="1">AVERAGE(OFFSET($R$3,0,0,'Données projet'!$E$9+1,1))-AVERAGE(OFFSET($H$3,0,0,'Données projet'!$E$9+1,1))</f>
        <v>258.68215148478868</v>
      </c>
      <c r="T4" s="59">
        <f>$T$3</f>
        <v>153.16792125610209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296.37071799712567</v>
      </c>
      <c r="AN4" s="59">
        <f ca="1">AVERAGE(OFFSET($AM$3,0,0,'Données projet'!$E$10+1,1))-AVERAGE(OFFSET($H$3,0,0,'Données projet'!$E$10+1,1))</f>
        <v>298.68533387773886</v>
      </c>
      <c r="AO4" s="59">
        <f>$AO$3</f>
        <v>176.04868734496114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5.9</v>
      </c>
      <c r="BD4" s="12">
        <f>IF('Données projet'!$A$88&gt;35,BD3+BC4-BL3,IF(A4&lt;'Données projet'!$A$88,$BA$205^A4,IF(A4='Données projet'!$A$88,'Données projet'!$B$88,BD3+BC4-BL3)))</f>
        <v>1.2211012640520602</v>
      </c>
      <c r="BE4" s="13">
        <f>BD4*VLOOKUP('Données projet'!$B$11,Paramètres!$A$1:$I$89,3,0)*VLOOKUP('Données projet'!$B$11,Paramètres!$A$1:$I$89,5,0)</f>
        <v>0.57147539157636418</v>
      </c>
      <c r="BF4" s="13">
        <f>EXP(-1.0587+0.8836*LN(BE4)+0.284)</f>
        <v>0.28108332729495156</v>
      </c>
      <c r="BG4" s="20">
        <f t="shared" ref="BG4:BG67" si="7">(BE4+BF4)*0.475*44/12</f>
        <v>1.4848731020342081</v>
      </c>
      <c r="BH4" s="59">
        <f t="shared" ref="BH4:BH67" si="8">BG4+(AY4+AZ4)*44/12</f>
        <v>294.81820643536753</v>
      </c>
      <c r="BI4" s="59">
        <f ca="1">AVERAGE(OFFSET($BH$3,0,0,'Données projet'!$E$11+1,1))-AVERAGE(OFFSET($H$3,0,0,'Données projet'!$E$11+1,1))</f>
        <v>83.62456509032836</v>
      </c>
      <c r="BJ4" s="59">
        <f>$BJ$3</f>
        <v>131.53128089847871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9.8000000000000007</v>
      </c>
      <c r="BY4" s="12">
        <f>IF('Données projet'!$A$114&gt;35,BY3+BX4-CG3,IF(A4&lt;'Données projet'!$A$114,$BV$205^A4,IF(A4='Données projet'!$A$114,'Données projet'!$B$114,BY3+BX4-CG3)))</f>
        <v>1.3020054543174677</v>
      </c>
      <c r="BZ4" s="13">
        <f>BY4*VLOOKUP('Données projet'!$B$12,Paramètres!$A$1:$I$89,3,0)*VLOOKUP('Données projet'!$B$12,Paramètres!$A$1:$I$89,5,0)</f>
        <v>0.57548641080832075</v>
      </c>
      <c r="CA4" s="13">
        <f>EXP(-1.0587+0.8836*LN(BZ4)+0.284)</f>
        <v>0.28282582022470076</v>
      </c>
      <c r="CB4" s="20">
        <f t="shared" ref="CB4:CB67" si="10">(BZ4+CA4)*0.475*44/12</f>
        <v>1.4948938023825125</v>
      </c>
      <c r="CC4" s="59">
        <f t="shared" ref="CC4:CC67" si="11">CB4+(BT4+BU4)*44/12</f>
        <v>294.82822713571585</v>
      </c>
      <c r="CD4" s="59">
        <f ca="1">AVERAGE(OFFSET($CC$3,0,0,'Données projet'!$E$12+1,1))-AVERAGE(OFFSET($H$3,0,0,'Données projet'!$E$12+1,1))</f>
        <v>415.83983761562189</v>
      </c>
      <c r="CE4" s="59">
        <f>$CE$3</f>
        <v>339.37869344688829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296.53916254699658</v>
      </c>
      <c r="S5" s="59">
        <f ca="1">AVERAGE(OFFSET($R$3,0,0,'Données projet'!$E$9+1,1))-AVERAGE(OFFSET($H$3,0,0,'Données projet'!$E$9+1,1))</f>
        <v>258.68215148478868</v>
      </c>
      <c r="T5" s="59">
        <f t="shared" ref="T5:T68" si="34">$T$3</f>
        <v>153.16792125610209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296.91142399582588</v>
      </c>
      <c r="AN5" s="59">
        <f ca="1">AVERAGE(OFFSET($AM$3,0,0,'Données projet'!$E$10+1,1))-AVERAGE(OFFSET($H$3,0,0,'Données projet'!$E$10+1,1))</f>
        <v>298.68533387773886</v>
      </c>
      <c r="AO5" s="59">
        <f t="shared" ref="AO5:AO68" si="36">$AO$3</f>
        <v>176.04868734496114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5.9</v>
      </c>
      <c r="BD5" s="12">
        <f>IF('Données projet'!$A$88&gt;35,BD4+BC5-BL4,IF(A5&lt;'Données projet'!$A$88,$BA$205^A5,IF(A5='Données projet'!$A$88,'Données projet'!$B$88,BD4+BC5-BL4)))</f>
        <v>1.4910882970695392</v>
      </c>
      <c r="BE5" s="13">
        <f>BD5*VLOOKUP('Données projet'!$B$11,Paramètres!$A$1:$I$89,3,0)*VLOOKUP('Données projet'!$B$11,Paramètres!$A$1:$I$89,5,0)</f>
        <v>0.69782932302854428</v>
      </c>
      <c r="BF5" s="13">
        <f t="shared" ref="BF5:BF68" si="37">EXP(-1.0587+0.8836*LN(BE5)+0.284)</f>
        <v>0.33534271100891272</v>
      </c>
      <c r="BG5" s="20">
        <f t="shared" si="7"/>
        <v>1.7994412926152377</v>
      </c>
      <c r="BH5" s="59">
        <f t="shared" si="8"/>
        <v>295.13277462594857</v>
      </c>
      <c r="BI5" s="59">
        <f ca="1">AVERAGE(OFFSET($BH$3,0,0,'Données projet'!$E$11+1,1))-AVERAGE(OFFSET($H$3,0,0,'Données projet'!$E$11+1,1))</f>
        <v>83.62456509032836</v>
      </c>
      <c r="BJ5" s="59">
        <f t="shared" ref="BJ5:BJ68" si="38">$BJ$3</f>
        <v>131.53128089847871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9.8000000000000007</v>
      </c>
      <c r="BY5" s="12">
        <f>IF('Données projet'!$A$114&gt;35,BY4+BX5-CG4,IF(A5&lt;'Données projet'!$A$114,$BV$205^A5,IF(A5='Données projet'!$A$114,'Données projet'!$B$114,BY4+BX5-CG4)))</f>
        <v>1.6952182030724354</v>
      </c>
      <c r="BZ5" s="13">
        <f>BY5*VLOOKUP('Données projet'!$B$12,Paramètres!$A$1:$I$89,3,0)*VLOOKUP('Données projet'!$B$12,Paramètres!$A$1:$I$89,5,0)</f>
        <v>0.74928644575801662</v>
      </c>
      <c r="CA5" s="13">
        <f t="shared" ref="CA5:CA68" si="39">EXP(-1.0587+0.8836*LN(BZ5)+0.284)</f>
        <v>0.35710088666846673</v>
      </c>
      <c r="CB5" s="20">
        <f t="shared" si="10"/>
        <v>1.9269579373094583</v>
      </c>
      <c r="CC5" s="59">
        <f t="shared" si="11"/>
        <v>295.26029127064277</v>
      </c>
      <c r="CD5" s="59">
        <f ca="1">AVERAGE(OFFSET($CC$3,0,0,'Données projet'!$E$12+1,1))-AVERAGE(OFFSET($H$3,0,0,'Données projet'!$E$12+1,1))</f>
        <v>415.83983761562189</v>
      </c>
      <c r="CE5" s="59">
        <f t="shared" ref="CE5:CE68" si="40">$CE$3</f>
        <v>339.37869344688829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297.10995832109523</v>
      </c>
      <c r="S6" s="59">
        <f ca="1">AVERAGE(OFFSET($R$3,0,0,'Données projet'!$E$9+1,1))-AVERAGE(OFFSET($H$3,0,0,'Données projet'!$E$9+1,1))</f>
        <v>258.68215148478868</v>
      </c>
      <c r="T6" s="59">
        <f t="shared" si="34"/>
        <v>153.16792125610209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297.5487355063305</v>
      </c>
      <c r="AN6" s="59">
        <f ca="1">AVERAGE(OFFSET($AM$3,0,0,'Données projet'!$E$10+1,1))-AVERAGE(OFFSET($H$3,0,0,'Données projet'!$E$10+1,1))</f>
        <v>298.68533387773886</v>
      </c>
      <c r="AO6" s="59">
        <f t="shared" si="36"/>
        <v>176.04868734496114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5.9</v>
      </c>
      <c r="BD6" s="12">
        <f>IF('Données projet'!$A$88&gt;35,BD5+BC6-BL5,IF(A6&lt;'Données projet'!$A$88,$BA$205^A6,IF(A6='Données projet'!$A$88,'Données projet'!$B$88,BD5+BC6-BL5)))</f>
        <v>1.8207698043648481</v>
      </c>
      <c r="BE6" s="13">
        <f>BD6*VLOOKUP('Données projet'!$B$11,Paramètres!$A$1:$I$89,3,0)*VLOOKUP('Données projet'!$B$11,Paramètres!$A$1:$I$89,5,0)</f>
        <v>0.85212026844274891</v>
      </c>
      <c r="BF6" s="13">
        <f t="shared" si="37"/>
        <v>0.40007614435559918</v>
      </c>
      <c r="BG6" s="20">
        <f t="shared" si="7"/>
        <v>2.1809087522904558</v>
      </c>
      <c r="BH6" s="59">
        <f t="shared" si="8"/>
        <v>295.51424208562378</v>
      </c>
      <c r="BI6" s="59">
        <f ca="1">AVERAGE(OFFSET($BH$3,0,0,'Données projet'!$E$11+1,1))-AVERAGE(OFFSET($H$3,0,0,'Données projet'!$E$11+1,1))</f>
        <v>83.62456509032836</v>
      </c>
      <c r="BJ6" s="59">
        <f t="shared" si="38"/>
        <v>131.53128089847871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9.8000000000000007</v>
      </c>
      <c r="BY6" s="12">
        <f>IF('Données projet'!$A$114&gt;35,BY5+BX6-CG5,IF(A6&lt;'Données projet'!$A$114,$BV$205^A6,IF(A6='Données projet'!$A$114,'Données projet'!$B$114,BY5+BX6-CG5)))</f>
        <v>2.2071833466585677</v>
      </c>
      <c r="BZ6" s="13">
        <f>BY6*VLOOKUP('Données projet'!$B$12,Paramètres!$A$1:$I$89,3,0)*VLOOKUP('Données projet'!$B$12,Paramètres!$A$1:$I$89,5,0)</f>
        <v>0.97557503922308708</v>
      </c>
      <c r="CA6" s="13">
        <f t="shared" si="39"/>
        <v>0.45088190023842811</v>
      </c>
      <c r="CB6" s="20">
        <f t="shared" si="10"/>
        <v>2.4844125028954722</v>
      </c>
      <c r="CC6" s="59">
        <f t="shared" si="11"/>
        <v>295.81774583622877</v>
      </c>
      <c r="CD6" s="59">
        <f ca="1">AVERAGE(OFFSET($CC$3,0,0,'Données projet'!$E$12+1,1))-AVERAGE(OFFSET($H$3,0,0,'Données projet'!$E$12+1,1))</f>
        <v>415.83983761562189</v>
      </c>
      <c r="CE6" s="59">
        <f t="shared" si="40"/>
        <v>339.37869344688829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297.78275310926512</v>
      </c>
      <c r="S7" s="59">
        <f ca="1">AVERAGE(OFFSET($R$3,0,0,'Données projet'!$E$9+1,1))-AVERAGE(OFFSET($H$3,0,0,'Données projet'!$E$9+1,1))</f>
        <v>258.68215148478868</v>
      </c>
      <c r="T7" s="59">
        <f t="shared" si="34"/>
        <v>153.16792125610209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298.29997171996524</v>
      </c>
      <c r="AN7" s="59">
        <f ca="1">AVERAGE(OFFSET($AM$3,0,0,'Données projet'!$E$10+1,1))-AVERAGE(OFFSET($H$3,0,0,'Données projet'!$E$10+1,1))</f>
        <v>298.68533387773886</v>
      </c>
      <c r="AO7" s="59">
        <f t="shared" si="36"/>
        <v>176.04868734496114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5.9</v>
      </c>
      <c r="BD7" s="12">
        <f>IF('Données projet'!$A$88&gt;35,BD6+BC7-BL6,IF(A7&lt;'Données projet'!$A$88,$BA$205^A7,IF(A7='Données projet'!$A$88,'Données projet'!$B$88,BD6+BC7-BL6)))</f>
        <v>2.2233443096577381</v>
      </c>
      <c r="BE7" s="13">
        <f>BD7*VLOOKUP('Données projet'!$B$11,Paramètres!$A$1:$I$89,3,0)*VLOOKUP('Données projet'!$B$11,Paramètres!$A$1:$I$89,5,0)</f>
        <v>1.0405251369198214</v>
      </c>
      <c r="BF7" s="13">
        <f t="shared" si="37"/>
        <v>0.47730550278216161</v>
      </c>
      <c r="BG7" s="20">
        <f t="shared" si="7"/>
        <v>2.6435550308142868</v>
      </c>
      <c r="BH7" s="59">
        <f t="shared" si="8"/>
        <v>295.97688836414761</v>
      </c>
      <c r="BI7" s="59">
        <f ca="1">AVERAGE(OFFSET($BH$3,0,0,'Données projet'!$E$11+1,1))-AVERAGE(OFFSET($H$3,0,0,'Données projet'!$E$11+1,1))</f>
        <v>83.62456509032836</v>
      </c>
      <c r="BJ7" s="59">
        <f t="shared" si="38"/>
        <v>131.53128089847871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9.8000000000000007</v>
      </c>
      <c r="BY7" s="12">
        <f>IF('Données projet'!$A$114&gt;35,BY6+BX7-CG6,IF(A7&lt;'Données projet'!$A$114,$BV$205^A7,IF(A7='Données projet'!$A$114,'Données projet'!$B$114,BY6+BX7-CG6)))</f>
        <v>2.873764756028137</v>
      </c>
      <c r="BZ7" s="13">
        <f>BY7*VLOOKUP('Données projet'!$B$12,Paramètres!$A$1:$I$89,3,0)*VLOOKUP('Données projet'!$B$12,Paramètres!$A$1:$I$89,5,0)</f>
        <v>1.2702040221644366</v>
      </c>
      <c r="CA7" s="13">
        <f t="shared" si="39"/>
        <v>0.56929146790765284</v>
      </c>
      <c r="CB7" s="20">
        <f t="shared" si="10"/>
        <v>3.2037879785422221</v>
      </c>
      <c r="CC7" s="59">
        <f t="shared" si="11"/>
        <v>296.53712131187552</v>
      </c>
      <c r="CD7" s="59">
        <f ca="1">AVERAGE(OFFSET($CC$3,0,0,'Données projet'!$E$12+1,1))-AVERAGE(OFFSET($H$3,0,0,'Données projet'!$E$12+1,1))</f>
        <v>415.83983761562189</v>
      </c>
      <c r="CE7" s="59">
        <f t="shared" si="40"/>
        <v>339.37869344688829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298.57583597534989</v>
      </c>
      <c r="S8" s="59">
        <f ca="1">AVERAGE(OFFSET($R$3,0,0,'Données projet'!$E$9+1,1))-AVERAGE(OFFSET($H$3,0,0,'Données projet'!$E$9+1,1))</f>
        <v>258.68215148478868</v>
      </c>
      <c r="T8" s="59">
        <f t="shared" si="34"/>
        <v>153.16792125610209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299.18556669920468</v>
      </c>
      <c r="AN8" s="59">
        <f ca="1">AVERAGE(OFFSET($AM$3,0,0,'Données projet'!$E$10+1,1))-AVERAGE(OFFSET($H$3,0,0,'Données projet'!$E$10+1,1))</f>
        <v>298.68533387773886</v>
      </c>
      <c r="AO8" s="59">
        <f t="shared" si="36"/>
        <v>176.04868734496114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5.9</v>
      </c>
      <c r="BD8" s="12">
        <f>IF('Données projet'!$A$88&gt;35,BD7+BC8-BL7,IF(A8&lt;'Données projet'!$A$88,$BA$205^A8,IF(A8='Données projet'!$A$88,'Données projet'!$B$88,BD7+BC8-BL7)))</f>
        <v>2.7149285469460191</v>
      </c>
      <c r="BE8" s="13">
        <f>BD8*VLOOKUP('Données projet'!$B$11,Paramètres!$A$1:$I$89,3,0)*VLOOKUP('Données projet'!$B$11,Paramètres!$A$1:$I$89,5,0)</f>
        <v>1.2705865599707369</v>
      </c>
      <c r="BF8" s="13">
        <f t="shared" si="37"/>
        <v>0.56944295779765042</v>
      </c>
      <c r="BG8" s="20">
        <f t="shared" si="7"/>
        <v>3.2047180767799408</v>
      </c>
      <c r="BH8" s="59">
        <f t="shared" si="8"/>
        <v>296.53805141011327</v>
      </c>
      <c r="BI8" s="59">
        <f ca="1">AVERAGE(OFFSET($BH$3,0,0,'Données projet'!$E$11+1,1))-AVERAGE(OFFSET($H$3,0,0,'Données projet'!$E$11+1,1))</f>
        <v>83.62456509032836</v>
      </c>
      <c r="BJ8" s="59">
        <f t="shared" si="38"/>
        <v>131.53128089847871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9.8000000000000007</v>
      </c>
      <c r="BY8" s="12">
        <f>IF('Données projet'!$A$114&gt;35,BY7+BX8-CG7,IF(A8&lt;'Données projet'!$A$114,$BV$205^A8,IF(A8='Données projet'!$A$114,'Données projet'!$B$114,BY7+BX8-CG7)))</f>
        <v>3.7416573867739413</v>
      </c>
      <c r="BZ8" s="13">
        <f>BY8*VLOOKUP('Données projet'!$B$12,Paramètres!$A$1:$I$89,3,0)*VLOOKUP('Données projet'!$B$12,Paramètres!$A$1:$I$89,5,0)</f>
        <v>1.6538125649540822</v>
      </c>
      <c r="CA8" s="13">
        <f t="shared" si="39"/>
        <v>0.71879748391112774</v>
      </c>
      <c r="CB8" s="20">
        <f t="shared" si="10"/>
        <v>4.1322958351069063</v>
      </c>
      <c r="CC8" s="59">
        <f t="shared" si="11"/>
        <v>297.46562916844022</v>
      </c>
      <c r="CD8" s="59">
        <f ca="1">AVERAGE(OFFSET($CC$3,0,0,'Données projet'!$E$12+1,1))-AVERAGE(OFFSET($H$3,0,0,'Données projet'!$E$12+1,1))</f>
        <v>415.83983761562189</v>
      </c>
      <c r="CE8" s="59">
        <f t="shared" si="40"/>
        <v>339.37869344688829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299.51078577874068</v>
      </c>
      <c r="S9" s="59">
        <f ca="1">AVERAGE(OFFSET($R$3,0,0,'Données projet'!$E$9+1,1))-AVERAGE(OFFSET($H$3,0,0,'Données projet'!$E$9+1,1))</f>
        <v>258.68215148478868</v>
      </c>
      <c r="T9" s="59">
        <f t="shared" si="34"/>
        <v>153.16792125610209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300.22963125223885</v>
      </c>
      <c r="AN9" s="59">
        <f ca="1">AVERAGE(OFFSET($AM$3,0,0,'Données projet'!$E$10+1,1))-AVERAGE(OFFSET($H$3,0,0,'Données projet'!$E$10+1,1))</f>
        <v>298.68533387773886</v>
      </c>
      <c r="AO9" s="59">
        <f t="shared" si="36"/>
        <v>176.04868734496114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5.9</v>
      </c>
      <c r="BD9" s="12">
        <f>IF('Données projet'!$A$88&gt;35,BD8+BC9-BL8,IF(A9&lt;'Données projet'!$A$88,$BA$205^A9,IF(A9='Données projet'!$A$88,'Données projet'!$B$88,BD8+BC9-BL8)))</f>
        <v>3.3152026804868067</v>
      </c>
      <c r="BE9" s="13">
        <f>BD9*VLOOKUP('Données projet'!$B$11,Paramètres!$A$1:$I$89,3,0)*VLOOKUP('Données projet'!$B$11,Paramètres!$A$1:$I$89,5,0)</f>
        <v>1.5515148544678257</v>
      </c>
      <c r="BF9" s="13">
        <f t="shared" si="37"/>
        <v>0.67936631841709294</v>
      </c>
      <c r="BG9" s="20">
        <f t="shared" si="7"/>
        <v>3.8854513761078988</v>
      </c>
      <c r="BH9" s="59">
        <f t="shared" si="8"/>
        <v>297.21878470944119</v>
      </c>
      <c r="BI9" s="59">
        <f ca="1">AVERAGE(OFFSET($BH$3,0,0,'Données projet'!$E$11+1,1))-AVERAGE(OFFSET($H$3,0,0,'Données projet'!$E$11+1,1))</f>
        <v>83.62456509032836</v>
      </c>
      <c r="BJ9" s="59">
        <f t="shared" si="38"/>
        <v>131.53128089847871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9.8000000000000007</v>
      </c>
      <c r="BY9" s="12">
        <f>IF('Données projet'!$A$114&gt;35,BY8+BX9-CG8,IF(A9&lt;'Données projet'!$A$114,$BV$205^A9,IF(A9='Données projet'!$A$114,'Données projet'!$B$114,BY8+BX9-CG8)))</f>
        <v>4.8716583257669139</v>
      </c>
      <c r="BZ9" s="13">
        <f>BY9*VLOOKUP('Données projet'!$B$12,Paramètres!$A$1:$I$89,3,0)*VLOOKUP('Données projet'!$B$12,Paramètres!$A$1:$I$89,5,0)</f>
        <v>2.153272979988976</v>
      </c>
      <c r="CA9" s="13">
        <f t="shared" si="39"/>
        <v>0.9075664259924916</v>
      </c>
      <c r="CB9" s="20">
        <f t="shared" si="10"/>
        <v>5.330961965417722</v>
      </c>
      <c r="CC9" s="59">
        <f t="shared" si="11"/>
        <v>298.66429529875103</v>
      </c>
      <c r="CD9" s="59">
        <f ca="1">AVERAGE(OFFSET($CC$3,0,0,'Données projet'!$E$12+1,1))-AVERAGE(OFFSET($H$3,0,0,'Données projet'!$E$12+1,1))</f>
        <v>415.83983761562189</v>
      </c>
      <c r="CE9" s="59">
        <f t="shared" si="40"/>
        <v>339.37869344688829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300.61306468469917</v>
      </c>
      <c r="S10" s="59">
        <f ca="1">AVERAGE(OFFSET($R$3,0,0,'Données projet'!$E$9+1,1))-AVERAGE(OFFSET($H$3,0,0,'Données projet'!$E$9+1,1))</f>
        <v>258.68215148478868</v>
      </c>
      <c r="T10" s="59">
        <f t="shared" si="34"/>
        <v>153.16792125610209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301.46061643841477</v>
      </c>
      <c r="AN10" s="59">
        <f ca="1">AVERAGE(OFFSET($AM$3,0,0,'Données projet'!$E$10+1,1))-AVERAGE(OFFSET($H$3,0,0,'Données projet'!$E$10+1,1))</f>
        <v>298.68533387773886</v>
      </c>
      <c r="AO10" s="59">
        <f t="shared" si="36"/>
        <v>176.04868734496114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5.9</v>
      </c>
      <c r="BD10" s="12">
        <f>IF('Données projet'!$A$88&gt;35,BD9+BC10-BL9,IF(A10&lt;'Données projet'!$A$88,$BA$205^A10,IF(A10='Données projet'!$A$88,'Données projet'!$B$88,BD9+BC10-BL9)))</f>
        <v>4.048198183731218</v>
      </c>
      <c r="BE10" s="13">
        <f>BD10*VLOOKUP('Données projet'!$B$11,Paramètres!$A$1:$I$89,3,0)*VLOOKUP('Données projet'!$B$11,Paramètres!$A$1:$I$89,5,0)</f>
        <v>1.8945567499862099</v>
      </c>
      <c r="BF10" s="13">
        <f t="shared" si="37"/>
        <v>0.81050891626550059</v>
      </c>
      <c r="BG10" s="20">
        <f t="shared" si="7"/>
        <v>4.711322702055063</v>
      </c>
      <c r="BH10" s="59">
        <f t="shared" si="8"/>
        <v>298.04465603538836</v>
      </c>
      <c r="BI10" s="59">
        <f ca="1">AVERAGE(OFFSET($BH$3,0,0,'Données projet'!$E$11+1,1))-AVERAGE(OFFSET($H$3,0,0,'Données projet'!$E$11+1,1))</f>
        <v>83.62456509032836</v>
      </c>
      <c r="BJ10" s="59">
        <f t="shared" si="38"/>
        <v>131.53128089847871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9.8000000000000007</v>
      </c>
      <c r="BY10" s="12">
        <f>IF('Données projet'!$A$114&gt;35,BY9+BX10-CG9,IF(A10&lt;'Données projet'!$A$114,$BV$205^A10,IF(A10='Données projet'!$A$114,'Données projet'!$B$114,BY9+BX10-CG9)))</f>
        <v>6.3429257117196256</v>
      </c>
      <c r="BZ10" s="13">
        <f>BY10*VLOOKUP('Données projet'!$B$12,Paramètres!$A$1:$I$89,3,0)*VLOOKUP('Données projet'!$B$12,Paramètres!$A$1:$I$89,5,0)</f>
        <v>2.803573164580075</v>
      </c>
      <c r="CA10" s="13">
        <f t="shared" si="39"/>
        <v>1.1459094334985522</v>
      </c>
      <c r="CB10" s="20">
        <f t="shared" si="10"/>
        <v>6.8786821916536089</v>
      </c>
      <c r="CC10" s="59">
        <f t="shared" si="11"/>
        <v>300.2120155249869</v>
      </c>
      <c r="CD10" s="59">
        <f ca="1">AVERAGE(OFFSET($CC$3,0,0,'Données projet'!$E$12+1,1))-AVERAGE(OFFSET($H$3,0,0,'Données projet'!$E$12+1,1))</f>
        <v>415.83983761562189</v>
      </c>
      <c r="CE10" s="59">
        <f t="shared" si="40"/>
        <v>339.37869344688829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301.91271904143355</v>
      </c>
      <c r="S11" s="59">
        <f ca="1">AVERAGE(OFFSET($R$3,0,0,'Données projet'!$E$9+1,1))-AVERAGE(OFFSET($H$3,0,0,'Données projet'!$E$9+1,1))</f>
        <v>258.68215148478868</v>
      </c>
      <c r="T11" s="59">
        <f t="shared" si="34"/>
        <v>153.16792125610209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302.91209713351623</v>
      </c>
      <c r="AN11" s="59">
        <f ca="1">AVERAGE(OFFSET($AM$3,0,0,'Données projet'!$E$10+1,1))-AVERAGE(OFFSET($H$3,0,0,'Données projet'!$E$10+1,1))</f>
        <v>298.68533387773886</v>
      </c>
      <c r="AO11" s="59">
        <f t="shared" si="36"/>
        <v>176.04868734496114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5.9</v>
      </c>
      <c r="BD11" s="12">
        <f>IF('Données projet'!$A$88&gt;35,BD10+BC11-BL10,IF(A11&lt;'Données projet'!$A$88,$BA$205^A11,IF(A11='Données projet'!$A$88,'Données projet'!$B$88,BD10+BC11-BL10)))</f>
        <v>4.9432599192874438</v>
      </c>
      <c r="BE11" s="13">
        <f>BD11*VLOOKUP('Données projet'!$B$11,Paramètres!$A$1:$I$89,3,0)*VLOOKUP('Données projet'!$B$11,Paramètres!$A$1:$I$89,5,0)</f>
        <v>2.3134456422265237</v>
      </c>
      <c r="BF11" s="13">
        <f t="shared" si="37"/>
        <v>0.96696684180118753</v>
      </c>
      <c r="BG11" s="20">
        <f t="shared" si="7"/>
        <v>5.7133850763482643</v>
      </c>
      <c r="BH11" s="59">
        <f t="shared" si="8"/>
        <v>299.0467184096816</v>
      </c>
      <c r="BI11" s="59">
        <f ca="1">AVERAGE(OFFSET($BH$3,0,0,'Données projet'!$E$11+1,1))-AVERAGE(OFFSET($H$3,0,0,'Données projet'!$E$11+1,1))</f>
        <v>83.62456509032836</v>
      </c>
      <c r="BJ11" s="59">
        <f t="shared" si="38"/>
        <v>131.53128089847871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9.8000000000000007</v>
      </c>
      <c r="BY11" s="12">
        <f>IF('Données projet'!$A$114&gt;35,BY10+BX11-CG10,IF(A11&lt;'Données projet'!$A$114,$BV$205^A11,IF(A11='Données projet'!$A$114,'Données projet'!$B$114,BY10+BX11-CG10)))</f>
        <v>8.258523872989457</v>
      </c>
      <c r="BZ11" s="13">
        <f>BY11*VLOOKUP('Données projet'!$B$12,Paramètres!$A$1:$I$89,3,0)*VLOOKUP('Données projet'!$B$12,Paramètres!$A$1:$I$89,5,0)</f>
        <v>3.6502675518613401</v>
      </c>
      <c r="CA11" s="13">
        <f t="shared" si="39"/>
        <v>1.4468455334770565</v>
      </c>
      <c r="CB11" s="20">
        <f t="shared" si="10"/>
        <v>8.8774719569643725</v>
      </c>
      <c r="CC11" s="59">
        <f t="shared" si="11"/>
        <v>302.21080529029769</v>
      </c>
      <c r="CD11" s="59">
        <f ca="1">AVERAGE(OFFSET($CC$3,0,0,'Données projet'!$E$12+1,1))-AVERAGE(OFFSET($H$3,0,0,'Données projet'!$E$12+1,1))</f>
        <v>415.83983761562189</v>
      </c>
      <c r="CE11" s="59">
        <f t="shared" si="40"/>
        <v>339.37869344688829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303.44520709525847</v>
      </c>
      <c r="S12" s="59">
        <f ca="1">AVERAGE(OFFSET($R$3,0,0,'Données projet'!$E$9+1,1))-AVERAGE(OFFSET($H$3,0,0,'Données projet'!$E$9+1,1))</f>
        <v>258.68215148478868</v>
      </c>
      <c r="T12" s="59">
        <f t="shared" si="34"/>
        <v>153.16792125610209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304.62369743327019</v>
      </c>
      <c r="AN12" s="59">
        <f ca="1">AVERAGE(OFFSET($AM$3,0,0,'Données projet'!$E$10+1,1))-AVERAGE(OFFSET($H$3,0,0,'Données projet'!$E$10+1,1))</f>
        <v>298.68533387773886</v>
      </c>
      <c r="AO12" s="59">
        <f t="shared" si="36"/>
        <v>176.04868734496114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5.9</v>
      </c>
      <c r="BD12" s="12">
        <f>IF('Données projet'!$A$88&gt;35,BD11+BC12-BL11,IF(A12&lt;'Données projet'!$A$88,$BA$205^A12,IF(A12='Données projet'!$A$88,'Données projet'!$B$88,BD11+BC12-BL11)))</f>
        <v>6.0362209359797827</v>
      </c>
      <c r="BE12" s="13">
        <f>BD12*VLOOKUP('Données projet'!$B$11,Paramètres!$A$1:$I$89,3,0)*VLOOKUP('Données projet'!$B$11,Paramètres!$A$1:$I$89,5,0)</f>
        <v>2.8249513980385381</v>
      </c>
      <c r="BF12" s="13">
        <f t="shared" si="37"/>
        <v>1.1536268810603363</v>
      </c>
      <c r="BG12" s="20">
        <f t="shared" si="7"/>
        <v>6.9293571694305394</v>
      </c>
      <c r="BH12" s="59">
        <f t="shared" si="8"/>
        <v>300.26269050276386</v>
      </c>
      <c r="BI12" s="59">
        <f ca="1">AVERAGE(OFFSET($BH$3,0,0,'Données projet'!$E$11+1,1))-AVERAGE(OFFSET($H$3,0,0,'Données projet'!$E$11+1,1))</f>
        <v>83.62456509032836</v>
      </c>
      <c r="BJ12" s="59">
        <f t="shared" si="38"/>
        <v>131.53128089847871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9.8000000000000007</v>
      </c>
      <c r="BY12" s="12">
        <f>IF('Données projet'!$A$114&gt;35,BY11+BX12-CG11,IF(A12&lt;'Données projet'!$A$114,$BV$205^A12,IF(A12='Données projet'!$A$114,'Données projet'!$B$114,BY11+BX12-CG11)))</f>
        <v>10.752643127243291</v>
      </c>
      <c r="BZ12" s="13">
        <f>BY12*VLOOKUP('Données projet'!$B$12,Paramètres!$A$1:$I$89,3,0)*VLOOKUP('Données projet'!$B$12,Paramètres!$A$1:$I$89,5,0)</f>
        <v>4.752668262241535</v>
      </c>
      <c r="CA12" s="13">
        <f t="shared" si="39"/>
        <v>1.8268127799169172</v>
      </c>
      <c r="CB12" s="20">
        <f t="shared" si="10"/>
        <v>11.459262815092636</v>
      </c>
      <c r="CC12" s="59">
        <f t="shared" si="11"/>
        <v>304.79259614842596</v>
      </c>
      <c r="CD12" s="59">
        <f ca="1">AVERAGE(OFFSET($CC$3,0,0,'Données projet'!$E$12+1,1))-AVERAGE(OFFSET($H$3,0,0,'Données projet'!$E$12+1,1))</f>
        <v>415.83983761562189</v>
      </c>
      <c r="CE12" s="59">
        <f t="shared" si="40"/>
        <v>339.37869344688829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305.2523765544172</v>
      </c>
      <c r="S13" s="59">
        <f ca="1">AVERAGE(OFFSET($R$3,0,0,'Données projet'!$E$9+1,1))-AVERAGE(OFFSET($H$3,0,0,'Données projet'!$E$9+1,1))</f>
        <v>258.68215148478868</v>
      </c>
      <c r="T13" s="59">
        <f t="shared" si="34"/>
        <v>153.16792125610209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306.64218363291093</v>
      </c>
      <c r="AN13" s="59">
        <f ca="1">AVERAGE(OFFSET($AM$3,0,0,'Données projet'!$E$10+1,1))-AVERAGE(OFFSET($H$3,0,0,'Données projet'!$E$10+1,1))</f>
        <v>298.68533387773886</v>
      </c>
      <c r="AO13" s="59">
        <f t="shared" si="36"/>
        <v>176.04868734496114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5.9</v>
      </c>
      <c r="BD13" s="12">
        <f>IF('Données projet'!$A$88&gt;35,BD12+BC13-BL12,IF(A13&lt;'Données projet'!$A$88,$BA$205^A13,IF(A13='Données projet'!$A$88,'Données projet'!$B$88,BD12+BC13-BL12)))</f>
        <v>7.3708370150224223</v>
      </c>
      <c r="BE13" s="13">
        <f>BD13*VLOOKUP('Données projet'!$B$11,Paramètres!$A$1:$I$89,3,0)*VLOOKUP('Données projet'!$B$11,Paramètres!$A$1:$I$89,5,0)</f>
        <v>3.4495517230304937</v>
      </c>
      <c r="BF13" s="13">
        <f t="shared" si="37"/>
        <v>1.3763191488820765</v>
      </c>
      <c r="BG13" s="20">
        <f t="shared" si="7"/>
        <v>8.4050584352477262</v>
      </c>
      <c r="BH13" s="59">
        <f t="shared" si="8"/>
        <v>301.73839176858104</v>
      </c>
      <c r="BI13" s="59">
        <f ca="1">AVERAGE(OFFSET($BH$3,0,0,'Données projet'!$E$11+1,1))-AVERAGE(OFFSET($H$3,0,0,'Données projet'!$E$11+1,1))</f>
        <v>83.62456509032836</v>
      </c>
      <c r="BJ13" s="59">
        <f t="shared" si="38"/>
        <v>131.53128089847871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9.8000000000000007</v>
      </c>
      <c r="BY13" s="12">
        <f>IF('Données projet'!$A$114&gt;35,BY12+BX13-CG12,IF(A13&lt;'Données projet'!$A$114,$BV$205^A13,IF(A13='Données projet'!$A$114,'Données projet'!$B$114,BY12+BX13-CG12)))</f>
        <v>13.999999999999996</v>
      </c>
      <c r="BZ13" s="13">
        <f>BY13*VLOOKUP('Données projet'!$B$12,Paramètres!$A$1:$I$89,3,0)*VLOOKUP('Données projet'!$B$12,Paramètres!$A$1:$I$89,5,0)</f>
        <v>6.1879999999999988</v>
      </c>
      <c r="CA13" s="13">
        <f t="shared" si="39"/>
        <v>2.3065661507401636</v>
      </c>
      <c r="CB13" s="20">
        <f t="shared" si="10"/>
        <v>14.794702712539115</v>
      </c>
      <c r="CC13" s="59">
        <f t="shared" si="11"/>
        <v>308.12803604587242</v>
      </c>
      <c r="CD13" s="59">
        <f ca="1">AVERAGE(OFFSET($CC$3,0,0,'Données projet'!$E$12+1,1))-AVERAGE(OFFSET($H$3,0,0,'Données projet'!$E$12+1,1))</f>
        <v>415.83983761562189</v>
      </c>
      <c r="CE13" s="59">
        <f t="shared" si="40"/>
        <v>339.37869344688829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307.38361919604188</v>
      </c>
      <c r="S14" s="59">
        <f ca="1">AVERAGE(OFFSET($R$3,0,0,'Données projet'!$E$9+1,1))-AVERAGE(OFFSET($H$3,0,0,'Données projet'!$E$9+1,1))</f>
        <v>258.68215148478868</v>
      </c>
      <c r="T14" s="59">
        <f t="shared" si="34"/>
        <v>153.16792125610209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309.02275520140097</v>
      </c>
      <c r="AN14" s="59">
        <f ca="1">AVERAGE(OFFSET($AM$3,0,0,'Données projet'!$E$10+1,1))-AVERAGE(OFFSET($H$3,0,0,'Données projet'!$E$10+1,1))</f>
        <v>298.68533387773886</v>
      </c>
      <c r="AO14" s="59">
        <f t="shared" si="36"/>
        <v>176.04868734496114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5.9</v>
      </c>
      <c r="BD14" s="12">
        <f>IF('Données projet'!$A$88&gt;35,BD13+BC14-BL13,IF(A14&lt;'Données projet'!$A$88,$BA$205^A14,IF(A14='Données projet'!$A$88,'Données projet'!$B$88,BD13+BC14-BL13)))</f>
        <v>9.0005383961655934</v>
      </c>
      <c r="BE14" s="13">
        <f>BD14*VLOOKUP('Données projet'!$B$11,Paramètres!$A$1:$I$89,3,0)*VLOOKUP('Données projet'!$B$11,Paramètres!$A$1:$I$89,5,0)</f>
        <v>4.2122519694054974</v>
      </c>
      <c r="BF14" s="13">
        <f t="shared" si="37"/>
        <v>1.6419991859399212</v>
      </c>
      <c r="BG14" s="20">
        <f t="shared" si="7"/>
        <v>10.196154095559937</v>
      </c>
      <c r="BH14" s="59">
        <f t="shared" si="8"/>
        <v>303.52948742889328</v>
      </c>
      <c r="BI14" s="59">
        <f ca="1">AVERAGE(OFFSET($BH$3,0,0,'Données projet'!$E$11+1,1))-AVERAGE(OFFSET($H$3,0,0,'Données projet'!$E$11+1,1))</f>
        <v>83.62456509032836</v>
      </c>
      <c r="BJ14" s="59">
        <f t="shared" si="38"/>
        <v>131.53128089847871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9.8000000000000007</v>
      </c>
      <c r="BY14" s="12">
        <f>IF('Données projet'!$A$114&gt;35,BY13+BX14-CG13,IF(A14&lt;'Données projet'!$A$114,$BV$205^A14,IF(A14='Données projet'!$A$114,'Données projet'!$B$114,BY13+BX14-CG13)))</f>
        <v>18.228076360444547</v>
      </c>
      <c r="BZ14" s="13">
        <f>BY14*VLOOKUP('Données projet'!$B$12,Paramètres!$A$1:$I$89,3,0)*VLOOKUP('Données projet'!$B$12,Paramètres!$A$1:$I$89,5,0)</f>
        <v>8.0568097513164911</v>
      </c>
      <c r="CA14" s="13">
        <f t="shared" si="39"/>
        <v>2.9123112484368887</v>
      </c>
      <c r="CB14" s="20">
        <f t="shared" si="10"/>
        <v>19.1045524079038</v>
      </c>
      <c r="CC14" s="59">
        <f t="shared" si="11"/>
        <v>312.4378857412371</v>
      </c>
      <c r="CD14" s="59">
        <f ca="1">AVERAGE(OFFSET($CC$3,0,0,'Données projet'!$E$12+1,1))-AVERAGE(OFFSET($H$3,0,0,'Données projet'!$E$12+1,1))</f>
        <v>415.83983761562189</v>
      </c>
      <c r="CE14" s="59">
        <f t="shared" si="40"/>
        <v>339.37869344688829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309.89723465691981</v>
      </c>
      <c r="S15" s="59">
        <f ca="1">AVERAGE(OFFSET($R$3,0,0,'Données projet'!$E$9+1,1))-AVERAGE(OFFSET($H$3,0,0,'Données projet'!$E$9+1,1))</f>
        <v>258.68215148478868</v>
      </c>
      <c r="T15" s="59">
        <f t="shared" si="34"/>
        <v>153.16792125610209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311.83056970266404</v>
      </c>
      <c r="AN15" s="59">
        <f ca="1">AVERAGE(OFFSET($AM$3,0,0,'Données projet'!$E$10+1,1))-AVERAGE(OFFSET($H$3,0,0,'Données projet'!$E$10+1,1))</f>
        <v>298.68533387773886</v>
      </c>
      <c r="AO15" s="59">
        <f t="shared" si="36"/>
        <v>176.04868734496114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5.9</v>
      </c>
      <c r="BD15" s="12">
        <f>IF('Données projet'!$A$88&gt;35,BD14+BC15-BL14,IF(A15&lt;'Données projet'!$A$88,$BA$205^A15,IF(A15='Données projet'!$A$88,'Données projet'!$B$88,BD14+BC15-BL14)))</f>
        <v>10.990568812706908</v>
      </c>
      <c r="BE15" s="13">
        <f>BD15*VLOOKUP('Données projet'!$B$11,Paramètres!$A$1:$I$89,3,0)*VLOOKUP('Données projet'!$B$11,Paramètres!$A$1:$I$89,5,0)</f>
        <v>5.1435862043468328</v>
      </c>
      <c r="BF15" s="13">
        <f t="shared" si="37"/>
        <v>1.9589652071740322</v>
      </c>
      <c r="BG15" s="20">
        <f t="shared" si="7"/>
        <v>12.370277041732173</v>
      </c>
      <c r="BH15" s="59">
        <f t="shared" si="8"/>
        <v>305.70361037506547</v>
      </c>
      <c r="BI15" s="59">
        <f ca="1">AVERAGE(OFFSET($BH$3,0,0,'Données projet'!$E$11+1,1))-AVERAGE(OFFSET($H$3,0,0,'Données projet'!$E$11+1,1))</f>
        <v>83.62456509032836</v>
      </c>
      <c r="BJ15" s="59">
        <f t="shared" si="38"/>
        <v>131.53128089847871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9.8000000000000007</v>
      </c>
      <c r="BY15" s="12">
        <f>IF('Données projet'!$A$114&gt;35,BY14+BX15-CG14,IF(A15&lt;'Données projet'!$A$114,$BV$205^A15,IF(A15='Données projet'!$A$114,'Données projet'!$B$114,BY14+BX15-CG14)))</f>
        <v>23.733054843014092</v>
      </c>
      <c r="BZ15" s="13">
        <f>BY15*VLOOKUP('Données projet'!$B$12,Paramètres!$A$1:$I$89,3,0)*VLOOKUP('Données projet'!$B$12,Paramètres!$A$1:$I$89,5,0)</f>
        <v>10.490010240612229</v>
      </c>
      <c r="CA15" s="13">
        <f t="shared" si="39"/>
        <v>3.6771357305535495</v>
      </c>
      <c r="CB15" s="20">
        <f t="shared" si="10"/>
        <v>24.674445899780395</v>
      </c>
      <c r="CC15" s="59">
        <f t="shared" si="11"/>
        <v>318.00777923311369</v>
      </c>
      <c r="CD15" s="59">
        <f ca="1">AVERAGE(OFFSET($CC$3,0,0,'Données projet'!$E$12+1,1))-AVERAGE(OFFSET($H$3,0,0,'Données projet'!$E$12+1,1))</f>
        <v>415.83983761562189</v>
      </c>
      <c r="CE15" s="59">
        <f t="shared" si="40"/>
        <v>339.37869344688829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312.86204139635657</v>
      </c>
      <c r="S16" s="59">
        <f ca="1">AVERAGE(OFFSET($R$3,0,0,'Données projet'!$E$9+1,1))-AVERAGE(OFFSET($H$3,0,0,'Données projet'!$E$9+1,1))</f>
        <v>258.68215148478868</v>
      </c>
      <c r="T16" s="59">
        <f t="shared" si="34"/>
        <v>153.16792125610209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315.14254415863826</v>
      </c>
      <c r="AN16" s="59">
        <f ca="1">AVERAGE(OFFSET($AM$3,0,0,'Données projet'!$E$10+1,1))-AVERAGE(OFFSET($H$3,0,0,'Données projet'!$E$10+1,1))</f>
        <v>298.68533387773886</v>
      </c>
      <c r="AO16" s="59">
        <f t="shared" si="36"/>
        <v>176.04868734496114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5.9</v>
      </c>
      <c r="BD16" s="12">
        <f>IF('Données projet'!$A$88&gt;35,BD15+BC16-BL15,IF(A16&lt;'Données projet'!$A$88,$BA$205^A16,IF(A16='Données projet'!$A$88,'Données projet'!$B$88,BD15+BC16-BL15)))</f>
        <v>13.420597469847555</v>
      </c>
      <c r="BE16" s="13">
        <f>BD16*VLOOKUP('Données projet'!$B$11,Paramètres!$A$1:$I$89,3,0)*VLOOKUP('Données projet'!$B$11,Paramètres!$A$1:$I$89,5,0)</f>
        <v>6.2808396158886559</v>
      </c>
      <c r="BF16" s="13">
        <f t="shared" si="37"/>
        <v>2.3371172871329366</v>
      </c>
      <c r="BG16" s="20">
        <f t="shared" si="7"/>
        <v>15.009608272762607</v>
      </c>
      <c r="BH16" s="59">
        <f t="shared" si="8"/>
        <v>308.34294160609591</v>
      </c>
      <c r="BI16" s="59">
        <f ca="1">AVERAGE(OFFSET($BH$3,0,0,'Données projet'!$E$11+1,1))-AVERAGE(OFFSET($H$3,0,0,'Données projet'!$E$11+1,1))</f>
        <v>83.62456509032836</v>
      </c>
      <c r="BJ16" s="59">
        <f t="shared" si="38"/>
        <v>131.53128089847871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9.8000000000000007</v>
      </c>
      <c r="BY16" s="12">
        <f>IF('Données projet'!$A$114&gt;35,BY15+BX16-CG15,IF(A16&lt;'Données projet'!$A$114,$BV$205^A16,IF(A16='Données projet'!$A$114,'Données projet'!$B$114,BY15+BX16-CG15)))</f>
        <v>30.900566853219942</v>
      </c>
      <c r="BZ16" s="13">
        <f>BY16*VLOOKUP('Données projet'!$B$12,Paramètres!$A$1:$I$89,3,0)*VLOOKUP('Données projet'!$B$12,Paramètres!$A$1:$I$89,5,0)</f>
        <v>13.658050549123216</v>
      </c>
      <c r="CA16" s="13">
        <f t="shared" si="39"/>
        <v>4.6428166591640343</v>
      </c>
      <c r="CB16" s="20">
        <f t="shared" si="10"/>
        <v>31.874010387766962</v>
      </c>
      <c r="CC16" s="59">
        <f t="shared" si="11"/>
        <v>325.2073437211003</v>
      </c>
      <c r="CD16" s="59">
        <f ca="1">AVERAGE(OFFSET($CC$3,0,0,'Données projet'!$E$12+1,1))-AVERAGE(OFFSET($H$3,0,0,'Données projet'!$E$12+1,1))</f>
        <v>415.83983761562189</v>
      </c>
      <c r="CE16" s="59">
        <f t="shared" si="40"/>
        <v>339.37869344688829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316.35927973306929</v>
      </c>
      <c r="S17" s="59">
        <f ca="1">AVERAGE(OFFSET($R$3,0,0,'Données projet'!$E$9+1,1))-AVERAGE(OFFSET($H$3,0,0,'Données projet'!$E$9+1,1))</f>
        <v>258.68215148478868</v>
      </c>
      <c r="T17" s="59">
        <f t="shared" si="34"/>
        <v>153.16792125610209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319.04948308432847</v>
      </c>
      <c r="AN17" s="59">
        <f ca="1">AVERAGE(OFFSET($AM$3,0,0,'Données projet'!$E$10+1,1))-AVERAGE(OFFSET($H$3,0,0,'Données projet'!$E$10+1,1))</f>
        <v>298.68533387773886</v>
      </c>
      <c r="AO17" s="59">
        <f t="shared" si="36"/>
        <v>176.04868734496114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5.9</v>
      </c>
      <c r="BD17" s="12">
        <f>IF('Données projet'!$A$88&gt;35,BD16+BC17-BL16,IF(A17&lt;'Données projet'!$A$88,$BA$205^A17,IF(A17='Données projet'!$A$88,'Données projet'!$B$88,BD16+BC17-BL16)))</f>
        <v>16.38790853476473</v>
      </c>
      <c r="BE17" s="13">
        <f>BD17*VLOOKUP('Données projet'!$B$11,Paramètres!$A$1:$I$89,3,0)*VLOOKUP('Données projet'!$B$11,Paramètres!$A$1:$I$89,5,0)</f>
        <v>7.6695411942698932</v>
      </c>
      <c r="BF17" s="13">
        <f t="shared" si="37"/>
        <v>2.7882665775851971</v>
      </c>
      <c r="BG17" s="20">
        <f t="shared" si="7"/>
        <v>18.214015202647616</v>
      </c>
      <c r="BH17" s="59">
        <f t="shared" si="8"/>
        <v>311.54734853598092</v>
      </c>
      <c r="BI17" s="59">
        <f ca="1">AVERAGE(OFFSET($BH$3,0,0,'Données projet'!$E$11+1,1))-AVERAGE(OFFSET($H$3,0,0,'Données projet'!$E$11+1,1))</f>
        <v>83.62456509032836</v>
      </c>
      <c r="BJ17" s="59">
        <f t="shared" si="38"/>
        <v>131.53128089847871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9.8000000000000007</v>
      </c>
      <c r="BY17" s="12">
        <f>IF('Données projet'!$A$114&gt;35,BY16+BX17-CG16,IF(A17&lt;'Données projet'!$A$114,$BV$205^A17,IF(A17='Données projet'!$A$114,'Données projet'!$B$114,BY16+BX17-CG16)))</f>
        <v>40.23270658439391</v>
      </c>
      <c r="BZ17" s="13">
        <f>BY17*VLOOKUP('Données projet'!$B$12,Paramètres!$A$1:$I$89,3,0)*VLOOKUP('Données projet'!$B$12,Paramètres!$A$1:$I$89,5,0)</f>
        <v>17.782856310302108</v>
      </c>
      <c r="CA17" s="13">
        <f t="shared" si="39"/>
        <v>5.8621024923021032</v>
      </c>
      <c r="CB17" s="20">
        <f t="shared" si="10"/>
        <v>41.181636581202334</v>
      </c>
      <c r="CC17" s="59">
        <f t="shared" si="11"/>
        <v>334.51496991453564</v>
      </c>
      <c r="CD17" s="59">
        <f ca="1">AVERAGE(OFFSET($CC$3,0,0,'Données projet'!$E$12+1,1))-AVERAGE(OFFSET($H$3,0,0,'Données projet'!$E$12+1,1))</f>
        <v>415.83983761562189</v>
      </c>
      <c r="CE17" s="59">
        <f t="shared" si="40"/>
        <v>339.37869344688829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320.48486003238384</v>
      </c>
      <c r="S18" s="59">
        <f ca="1">AVERAGE(OFFSET($R$3,0,0,'Données projet'!$E$9+1,1))-AVERAGE(OFFSET($H$3,0,0,'Données projet'!$E$9+1,1))</f>
        <v>258.68215148478868</v>
      </c>
      <c r="T18" s="59">
        <f t="shared" si="34"/>
        <v>153.16792125610209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323.65859257119422</v>
      </c>
      <c r="AN18" s="59">
        <f ca="1">AVERAGE(OFFSET($AM$3,0,0,'Données projet'!$E$10+1,1))-AVERAGE(OFFSET($H$3,0,0,'Données projet'!$E$10+1,1))</f>
        <v>298.68533387773886</v>
      </c>
      <c r="AO18" s="59">
        <f t="shared" si="36"/>
        <v>176.04868734496114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5.9</v>
      </c>
      <c r="BD18" s="12">
        <f>IF('Données projet'!$A$88&gt;35,BD17+BC18-BL17,IF(A18&lt;'Données projet'!$A$88,$BA$205^A18,IF(A18='Données projet'!$A$88,'Données projet'!$B$88,BD17+BC18-BL17)))</f>
        <v>20.011295826970755</v>
      </c>
      <c r="BE18" s="13">
        <f>BD18*VLOOKUP('Données projet'!$B$11,Paramètres!$A$1:$I$89,3,0)*VLOOKUP('Données projet'!$B$11,Paramètres!$A$1:$I$89,5,0)</f>
        <v>9.3652864470223136</v>
      </c>
      <c r="BF18" s="13">
        <f t="shared" si="37"/>
        <v>3.3265042154627897</v>
      </c>
      <c r="BG18" s="20">
        <f t="shared" si="7"/>
        <v>22.104868737161553</v>
      </c>
      <c r="BH18" s="59">
        <f t="shared" si="8"/>
        <v>315.43820207049487</v>
      </c>
      <c r="BI18" s="59">
        <f ca="1">AVERAGE(OFFSET($BH$3,0,0,'Données projet'!$E$11+1,1))-AVERAGE(OFFSET($H$3,0,0,'Données projet'!$E$11+1,1))</f>
        <v>83.62456509032836</v>
      </c>
      <c r="BJ18" s="59">
        <f t="shared" si="38"/>
        <v>131.53128089847871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9.8000000000000007</v>
      </c>
      <c r="BY18" s="12">
        <f>IF('Données projet'!$A$114&gt;35,BY17+BX18-CG17,IF(A18&lt;'Données projet'!$A$114,$BV$205^A18,IF(A18='Données projet'!$A$114,'Données projet'!$B$114,BY17+BX18-CG17)))</f>
        <v>52.383203414835172</v>
      </c>
      <c r="BZ18" s="13">
        <f>BY18*VLOOKUP('Données projet'!$B$12,Paramètres!$A$1:$I$89,3,0)*VLOOKUP('Données projet'!$B$12,Paramètres!$A$1:$I$89,5,0)</f>
        <v>23.153375909357152</v>
      </c>
      <c r="CA18" s="13">
        <f t="shared" si="39"/>
        <v>7.4015943667355621</v>
      </c>
      <c r="CB18" s="20">
        <f t="shared" si="10"/>
        <v>53.216573230861478</v>
      </c>
      <c r="CC18" s="59">
        <f t="shared" si="11"/>
        <v>346.54990656419477</v>
      </c>
      <c r="CD18" s="59">
        <f ca="1">AVERAGE(OFFSET($CC$3,0,0,'Données projet'!$E$12+1,1))-AVERAGE(OFFSET($H$3,0,0,'Données projet'!$E$12+1,1))</f>
        <v>415.83983761562189</v>
      </c>
      <c r="CE18" s="59">
        <f t="shared" si="40"/>
        <v>339.37869344688829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325.35201878534463</v>
      </c>
      <c r="S19" s="59">
        <f ca="1">AVERAGE(OFFSET($R$3,0,0,'Données projet'!$E$9+1,1))-AVERAGE(OFFSET($H$3,0,0,'Données projet'!$E$9+1,1))</f>
        <v>258.68215148478868</v>
      </c>
      <c r="T19" s="59">
        <f t="shared" si="34"/>
        <v>153.16792125610209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329.09645060993057</v>
      </c>
      <c r="AN19" s="59">
        <f ca="1">AVERAGE(OFFSET($AM$3,0,0,'Données projet'!$E$10+1,1))-AVERAGE(OFFSET($H$3,0,0,'Données projet'!$E$10+1,1))</f>
        <v>298.68533387773886</v>
      </c>
      <c r="AO19" s="59">
        <f t="shared" si="36"/>
        <v>176.04868734496114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5.9</v>
      </c>
      <c r="BD19" s="12">
        <f>IF('Données projet'!$A$88&gt;35,BD18+BC19-BL18,IF(A19&lt;'Données projet'!$A$88,$BA$205^A19,IF(A19='Données projet'!$A$88,'Données projet'!$B$88,BD18+BC19-BL18)))</f>
        <v>24.435818629633705</v>
      </c>
      <c r="BE19" s="13">
        <f>BD19*VLOOKUP('Données projet'!$B$11,Paramètres!$A$1:$I$89,3,0)*VLOOKUP('Données projet'!$B$11,Paramètres!$A$1:$I$89,5,0)</f>
        <v>11.435963118668575</v>
      </c>
      <c r="BF19" s="13">
        <f t="shared" si="37"/>
        <v>3.9686414435578063</v>
      </c>
      <c r="BG19" s="20">
        <f t="shared" si="7"/>
        <v>26.829686279210947</v>
      </c>
      <c r="BH19" s="59">
        <f t="shared" si="8"/>
        <v>320.16301961254425</v>
      </c>
      <c r="BI19" s="59">
        <f ca="1">AVERAGE(OFFSET($BH$3,0,0,'Données projet'!$E$11+1,1))-AVERAGE(OFFSET($H$3,0,0,'Données projet'!$E$11+1,1))</f>
        <v>83.62456509032836</v>
      </c>
      <c r="BJ19" s="59">
        <f t="shared" si="38"/>
        <v>131.53128089847871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9.8000000000000007</v>
      </c>
      <c r="BY19" s="12">
        <f>IF('Données projet'!$A$114&gt;35,BY18+BX19-CG18,IF(A19&lt;'Données projet'!$A$114,$BV$205^A19,IF(A19='Données projet'!$A$114,'Données projet'!$B$114,BY18+BX19-CG18)))</f>
        <v>68.203216560736777</v>
      </c>
      <c r="BZ19" s="13">
        <f>BY19*VLOOKUP('Données projet'!$B$12,Paramètres!$A$1:$I$89,3,0)*VLOOKUP('Données projet'!$B$12,Paramètres!$A$1:$I$89,5,0)</f>
        <v>30.14582171984566</v>
      </c>
      <c r="CA19" s="13">
        <f t="shared" si="39"/>
        <v>9.3453840565959734</v>
      </c>
      <c r="CB19" s="20">
        <f t="shared" si="10"/>
        <v>68.780516727302498</v>
      </c>
      <c r="CC19" s="59">
        <f t="shared" si="11"/>
        <v>362.1138500606358</v>
      </c>
      <c r="CD19" s="59">
        <f ca="1">AVERAGE(OFFSET($CC$3,0,0,'Données projet'!$E$12+1,1))-AVERAGE(OFFSET($H$3,0,0,'Données projet'!$E$12+1,1))</f>
        <v>415.83983761562189</v>
      </c>
      <c r="CE19" s="59">
        <f t="shared" si="40"/>
        <v>339.37869344688829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331.09445675010153</v>
      </c>
      <c r="S20" s="59">
        <f ca="1">AVERAGE(OFFSET($R$3,0,0,'Données projet'!$E$9+1,1))-AVERAGE(OFFSET($H$3,0,0,'Données projet'!$E$9+1,1))</f>
        <v>258.68215148478868</v>
      </c>
      <c r="T20" s="59">
        <f t="shared" si="34"/>
        <v>153.16792125610209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335.51251663188458</v>
      </c>
      <c r="AN20" s="59">
        <f ca="1">AVERAGE(OFFSET($AM$3,0,0,'Données projet'!$E$10+1,1))-AVERAGE(OFFSET($H$3,0,0,'Données projet'!$E$10+1,1))</f>
        <v>298.68533387773886</v>
      </c>
      <c r="AO20" s="59">
        <f t="shared" si="36"/>
        <v>176.04868734496114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5.9</v>
      </c>
      <c r="BD20" s="12">
        <f>IF('Données projet'!$A$88&gt;35,BD19+BC20-BL19,IF(A20&lt;'Données projet'!$A$88,$BA$205^A20,IF(A20='Données projet'!$A$88,'Données projet'!$B$88,BD19+BC20-BL19)))</f>
        <v>29.838609016792599</v>
      </c>
      <c r="BE20" s="13">
        <f>BD20*VLOOKUP('Données projet'!$B$11,Paramètres!$A$1:$I$89,3,0)*VLOOKUP('Données projet'!$B$11,Paramètres!$A$1:$I$89,5,0)</f>
        <v>13.964469019858937</v>
      </c>
      <c r="BF20" s="13">
        <f t="shared" si="37"/>
        <v>4.7347346906438279</v>
      </c>
      <c r="BG20" s="20">
        <f t="shared" si="7"/>
        <v>32.567779795792312</v>
      </c>
      <c r="BH20" s="59">
        <f t="shared" si="8"/>
        <v>325.90111312912563</v>
      </c>
      <c r="BI20" s="59">
        <f ca="1">AVERAGE(OFFSET($BH$3,0,0,'Données projet'!$E$11+1,1))-AVERAGE(OFFSET($H$3,0,0,'Données projet'!$E$11+1,1))</f>
        <v>83.62456509032836</v>
      </c>
      <c r="BJ20" s="59">
        <f t="shared" si="38"/>
        <v>131.53128089847871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9.8000000000000007</v>
      </c>
      <c r="BY20" s="12">
        <f>IF('Données projet'!$A$114&gt;35,BY19+BX20-CG19,IF(A20&lt;'Données projet'!$A$114,$BV$205^A20,IF(A20='Données projet'!$A$114,'Données projet'!$B$114,BY19+BX20-CG19)))</f>
        <v>88.800959964074721</v>
      </c>
      <c r="BZ20" s="13">
        <f>BY20*VLOOKUP('Données projet'!$B$12,Paramètres!$A$1:$I$89,3,0)*VLOOKUP('Données projet'!$B$12,Paramètres!$A$1:$I$89,5,0)</f>
        <v>39.250024304121027</v>
      </c>
      <c r="CA20" s="13">
        <f t="shared" si="39"/>
        <v>11.799647324336879</v>
      </c>
      <c r="CB20" s="20">
        <f t="shared" si="10"/>
        <v>88.911511419564192</v>
      </c>
      <c r="CC20" s="59">
        <f t="shared" si="11"/>
        <v>382.24484475289751</v>
      </c>
      <c r="CD20" s="59">
        <f ca="1">AVERAGE(OFFSET($CC$3,0,0,'Données projet'!$E$12+1,1))-AVERAGE(OFFSET($H$3,0,0,'Données projet'!$E$12+1,1))</f>
        <v>415.83983761562189</v>
      </c>
      <c r="CE20" s="59">
        <f t="shared" si="40"/>
        <v>339.37869344688829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337.87004684039579</v>
      </c>
      <c r="S21" s="59">
        <f ca="1">AVERAGE(OFFSET($R$3,0,0,'Données projet'!$E$9+1,1))-AVERAGE(OFFSET($H$3,0,0,'Données projet'!$E$9+1,1))</f>
        <v>258.68215148478868</v>
      </c>
      <c r="T21" s="59">
        <f t="shared" si="34"/>
        <v>153.16792125610209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343.0832783707458</v>
      </c>
      <c r="AN21" s="59">
        <f ca="1">AVERAGE(OFFSET($AM$3,0,0,'Données projet'!$E$10+1,1))-AVERAGE(OFFSET($H$3,0,0,'Données projet'!$E$10+1,1))</f>
        <v>298.68533387773886</v>
      </c>
      <c r="AO21" s="59">
        <f t="shared" si="36"/>
        <v>176.04868734496114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5.9</v>
      </c>
      <c r="BD21" s="12">
        <f>IF('Données projet'!$A$88&gt;35,BD20+BC21-BL20,IF(A21&lt;'Données projet'!$A$88,$BA$205^A21,IF(A21='Données projet'!$A$88,'Données projet'!$B$88,BD20+BC21-BL20)))</f>
        <v>36.435963187960638</v>
      </c>
      <c r="BE21" s="13">
        <f>BD21*VLOOKUP('Données projet'!$B$11,Paramètres!$A$1:$I$89,3,0)*VLOOKUP('Données projet'!$B$11,Paramètres!$A$1:$I$89,5,0)</f>
        <v>17.05203077196558</v>
      </c>
      <c r="BF21" s="13">
        <f t="shared" si="37"/>
        <v>5.6487120113045712</v>
      </c>
      <c r="BG21" s="20">
        <f t="shared" si="7"/>
        <v>39.537127014195512</v>
      </c>
      <c r="BH21" s="59">
        <f t="shared" si="8"/>
        <v>332.87046034752882</v>
      </c>
      <c r="BI21" s="59">
        <f ca="1">AVERAGE(OFFSET($BH$3,0,0,'Données projet'!$E$11+1,1))-AVERAGE(OFFSET($H$3,0,0,'Données projet'!$E$11+1,1))</f>
        <v>83.62456509032836</v>
      </c>
      <c r="BJ21" s="59">
        <f t="shared" si="38"/>
        <v>131.53128089847871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9.8000000000000007</v>
      </c>
      <c r="BY21" s="12">
        <f>IF('Données projet'!$A$114&gt;35,BY20+BX21-CG20,IF(A21&lt;'Données projet'!$A$114,$BV$205^A21,IF(A21='Données projet'!$A$114,'Données projet'!$B$114,BY20+BX21-CG20)))</f>
        <v>115.61933422185237</v>
      </c>
      <c r="BZ21" s="13">
        <f>BY21*VLOOKUP('Données projet'!$B$12,Paramètres!$A$1:$I$89,3,0)*VLOOKUP('Données projet'!$B$12,Paramètres!$A$1:$I$89,5,0)</f>
        <v>51.103745726058754</v>
      </c>
      <c r="CA21" s="13">
        <f t="shared" si="39"/>
        <v>14.898443566956548</v>
      </c>
      <c r="CB21" s="20">
        <f t="shared" si="10"/>
        <v>114.95381301866831</v>
      </c>
      <c r="CC21" s="59">
        <f t="shared" si="11"/>
        <v>408.28714635200163</v>
      </c>
      <c r="CD21" s="59">
        <f ca="1">AVERAGE(OFFSET($CC$3,0,0,'Données projet'!$E$12+1,1))-AVERAGE(OFFSET($H$3,0,0,'Données projet'!$E$12+1,1))</f>
        <v>415.83983761562189</v>
      </c>
      <c r="CE21" s="59">
        <f t="shared" si="40"/>
        <v>339.37869344688829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345.86521542740547</v>
      </c>
      <c r="S22" s="59">
        <f ca="1">AVERAGE(OFFSET($R$3,0,0,'Données projet'!$E$9+1,1))-AVERAGE(OFFSET($H$3,0,0,'Données projet'!$E$9+1,1))</f>
        <v>258.68215148478868</v>
      </c>
      <c r="T22" s="59">
        <f t="shared" si="34"/>
        <v>153.16792125610209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352.0171520295072</v>
      </c>
      <c r="AN22" s="59">
        <f ca="1">AVERAGE(OFFSET($AM$3,0,0,'Données projet'!$E$10+1,1))-AVERAGE(OFFSET($H$3,0,0,'Données projet'!$E$10+1,1))</f>
        <v>298.68533387773886</v>
      </c>
      <c r="AO22" s="59">
        <f t="shared" si="36"/>
        <v>176.04868734496114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5.9</v>
      </c>
      <c r="BD22" s="12">
        <f>IF('Données projet'!$A$88&gt;35,BD21+BC22-BL21,IF(A22&lt;'Données projet'!$A$88,$BA$205^A22,IF(A22='Données projet'!$A$88,'Données projet'!$B$88,BD21+BC22-BL21)))</f>
        <v>44.492000705773073</v>
      </c>
      <c r="BE22" s="13">
        <f>BD22*VLOOKUP('Données projet'!$B$11,Paramètres!$A$1:$I$89,3,0)*VLOOKUP('Données projet'!$B$11,Paramètres!$A$1:$I$89,5,0)</f>
        <v>20.822256330301801</v>
      </c>
      <c r="BF22" s="13">
        <f t="shared" si="37"/>
        <v>6.73912045160818</v>
      </c>
      <c r="BG22" s="20">
        <f t="shared" si="7"/>
        <v>48.002731228493211</v>
      </c>
      <c r="BH22" s="59">
        <f t="shared" si="8"/>
        <v>341.3360645618265</v>
      </c>
      <c r="BI22" s="59">
        <f ca="1">AVERAGE(OFFSET($BH$3,0,0,'Données projet'!$E$11+1,1))-AVERAGE(OFFSET($H$3,0,0,'Données projet'!$E$11+1,1))</f>
        <v>83.62456509032836</v>
      </c>
      <c r="BJ22" s="59">
        <f t="shared" si="38"/>
        <v>131.53128089847871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9.8000000000000007</v>
      </c>
      <c r="BY22" s="12">
        <f>IF('Données projet'!$A$114&gt;35,BY21+BX22-CG21,IF(A22&lt;'Données projet'!$A$114,$BV$205^A22,IF(A22='Données projet'!$A$114,'Données projet'!$B$114,BY21+BX22-CG21)))</f>
        <v>150.53700378140604</v>
      </c>
      <c r="BZ22" s="13">
        <f>BY22*VLOOKUP('Données projet'!$B$12,Paramètres!$A$1:$I$89,3,0)*VLOOKUP('Données projet'!$B$12,Paramètres!$A$1:$I$89,5,0)</f>
        <v>66.537355671381476</v>
      </c>
      <c r="CA22" s="13">
        <f t="shared" si="39"/>
        <v>18.81103855197323</v>
      </c>
      <c r="CB22" s="20">
        <f t="shared" si="10"/>
        <v>148.64845327234278</v>
      </c>
      <c r="CC22" s="59">
        <f t="shared" si="11"/>
        <v>441.98178660567612</v>
      </c>
      <c r="CD22" s="59">
        <f ca="1">AVERAGE(OFFSET($CC$3,0,0,'Données projet'!$E$12+1,1))-AVERAGE(OFFSET($H$3,0,0,'Données projet'!$E$12+1,1))</f>
        <v>415.83983761562189</v>
      </c>
      <c r="CE22" s="59">
        <f t="shared" si="40"/>
        <v>339.37869344688829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355.3001196207008</v>
      </c>
      <c r="S23" s="59">
        <f ca="1">AVERAGE(OFFSET($R$3,0,0,'Données projet'!$E$9+1,1))-AVERAGE(OFFSET($H$3,0,0,'Données projet'!$E$9+1,1))</f>
        <v>258.68215148478868</v>
      </c>
      <c r="T23" s="59">
        <f t="shared" si="34"/>
        <v>153.16792125610209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362.56027288693838</v>
      </c>
      <c r="AN23" s="59">
        <f ca="1">AVERAGE(OFFSET($AM$3,0,0,'Données projet'!$E$10+1,1))-AVERAGE(OFFSET($H$3,0,0,'Données projet'!$E$10+1,1))</f>
        <v>298.68533387773886</v>
      </c>
      <c r="AO23" s="59">
        <f t="shared" si="36"/>
        <v>176.04868734496114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5.9</v>
      </c>
      <c r="BD23" s="12">
        <f>IF('Données projet'!$A$88&gt;35,BD22+BC23-BL22,IF(A23&lt;'Données projet'!$A$88,$BA$205^A23,IF(A23='Données projet'!$A$88,'Données projet'!$B$88,BD22+BC23-BL22)))</f>
        <v>54.329238302024642</v>
      </c>
      <c r="BE23" s="13">
        <f>BD23*VLOOKUP('Données projet'!$B$11,Paramètres!$A$1:$I$89,3,0)*VLOOKUP('Données projet'!$B$11,Paramètres!$A$1:$I$89,5,0)</f>
        <v>25.426083525347533</v>
      </c>
      <c r="BF23" s="13">
        <f t="shared" si="37"/>
        <v>8.0400176837471324</v>
      </c>
      <c r="BG23" s="20">
        <f t="shared" si="7"/>
        <v>58.28679293917321</v>
      </c>
      <c r="BH23" s="59">
        <f t="shared" si="8"/>
        <v>351.62012627250652</v>
      </c>
      <c r="BI23" s="59">
        <f ca="1">AVERAGE(OFFSET($BH$3,0,0,'Données projet'!$E$11+1,1))-AVERAGE(OFFSET($H$3,0,0,'Données projet'!$E$11+1,1))</f>
        <v>83.62456509032836</v>
      </c>
      <c r="BJ23" s="59">
        <f t="shared" si="38"/>
        <v>131.53128089847871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196</v>
      </c>
      <c r="BW23" s="12">
        <f>VLOOKUP(A23,'Données projet'!$A$113:$I$133,9,0)</f>
        <v>9.8000000000000007</v>
      </c>
      <c r="BX23" s="12">
        <f t="array" ref="BX23">INDEX(BW:BW,MIN(IF(ISNUMBER(BW23:BW219),ROW(BW23:BW219),"")))</f>
        <v>9.8000000000000007</v>
      </c>
      <c r="BY23" s="12">
        <f>IF('Données projet'!$A$114&gt;35,BY22+BX23-CG22,IF(A23&lt;'Données projet'!$A$114,$BV$205^A23,IF(A23='Données projet'!$A$114,'Données projet'!$B$114,BY22+BX23-CG22)))</f>
        <v>196</v>
      </c>
      <c r="BZ23" s="13">
        <f>BY23*VLOOKUP('Données projet'!$B$12,Paramètres!$A$1:$I$89,3,0)*VLOOKUP('Données projet'!$B$12,Paramètres!$A$1:$I$89,5,0)</f>
        <v>86.632000000000005</v>
      </c>
      <c r="CA23" s="13">
        <f t="shared" si="39"/>
        <v>23.751150233480999</v>
      </c>
      <c r="CB23" s="20">
        <f t="shared" si="10"/>
        <v>192.25065332331272</v>
      </c>
      <c r="CC23" s="59">
        <f t="shared" si="11"/>
        <v>485.58398665664606</v>
      </c>
      <c r="CD23" s="59">
        <f ca="1">AVERAGE(OFFSET($CC$3,0,0,'Données projet'!$E$12+1,1))-AVERAGE(OFFSET($H$3,0,0,'Données projet'!$E$12+1,1))</f>
        <v>415.83983761562189</v>
      </c>
      <c r="CE23" s="59">
        <f t="shared" si="40"/>
        <v>339.37869344688829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74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0.33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14.262081939302163</v>
      </c>
      <c r="CM23" s="21">
        <f>EXP(-LN(2)/2)*CM22+(1-EXP(-LN(2)/2))/(LN(2)/2)*CG23*CJ23*VLOOKUP('Données projet'!$B$12,Paramètres!$A$1:$I$89,3,0)*0.475*44/12</f>
        <v>14.813221594998261</v>
      </c>
      <c r="CN23" s="22">
        <f t="shared" si="12"/>
        <v>29.075303534300424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366.4347654452813</v>
      </c>
      <c r="S24" s="59">
        <f ca="1">AVERAGE(OFFSET($R$3,0,0,'Données projet'!$E$9+1,1))-AVERAGE(OFFSET($H$3,0,0,'Données projet'!$E$9+1,1))</f>
        <v>258.68215148478868</v>
      </c>
      <c r="T24" s="59">
        <f t="shared" si="34"/>
        <v>153.16792125610209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375.00333849031279</v>
      </c>
      <c r="AN24" s="59">
        <f ca="1">AVERAGE(OFFSET($AM$3,0,0,'Données projet'!$E$10+1,1))-AVERAGE(OFFSET($H$3,0,0,'Données projet'!$E$10+1,1))</f>
        <v>298.68533387773886</v>
      </c>
      <c r="AO24" s="59">
        <f t="shared" si="36"/>
        <v>176.04868734496114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5.9</v>
      </c>
      <c r="BD24" s="12">
        <f>IF('Données projet'!$A$88&gt;35,BD23+BC24-BL23,IF(A24&lt;'Données projet'!$A$88,$BA$205^A24,IF(A24='Données projet'!$A$88,'Données projet'!$B$88,BD23+BC24-BL23)))</f>
        <v>66.341501565587905</v>
      </c>
      <c r="BE24" s="13">
        <f>BD24*VLOOKUP('Données projet'!$B$11,Paramètres!$A$1:$I$89,3,0)*VLOOKUP('Données projet'!$B$11,Paramètres!$A$1:$I$89,5,0)</f>
        <v>31.047822732695138</v>
      </c>
      <c r="BF24" s="13">
        <f t="shared" si="37"/>
        <v>9.5920357588416412</v>
      </c>
      <c r="BG24" s="20">
        <f t="shared" si="7"/>
        <v>70.781086872759886</v>
      </c>
      <c r="BH24" s="59">
        <f t="shared" si="8"/>
        <v>364.1144202060932</v>
      </c>
      <c r="BI24" s="59">
        <f ca="1">AVERAGE(OFFSET($BH$3,0,0,'Données projet'!$E$11+1,1))-AVERAGE(OFFSET($H$3,0,0,'Données projet'!$E$11+1,1))</f>
        <v>83.62456509032836</v>
      </c>
      <c r="BJ24" s="59">
        <f t="shared" si="38"/>
        <v>131.53128089847871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34</v>
      </c>
      <c r="BY24" s="12">
        <f>IF('Données projet'!$A$114&gt;35,BY23+BX24-CG23,IF(A24&lt;'Données projet'!$A$114,$BV$205^A24,IF(A24='Données projet'!$A$114,'Données projet'!$B$114,BY23+BX24-CG23)))</f>
        <v>156</v>
      </c>
      <c r="BZ24" s="13">
        <f>BY24*VLOOKUP('Données projet'!$B$12,Paramètres!$A$1:$I$89,3,0)*VLOOKUP('Données projet'!$B$12,Paramètres!$A$1:$I$89,5,0)</f>
        <v>68.952000000000012</v>
      </c>
      <c r="CA24" s="13">
        <f t="shared" si="39"/>
        <v>19.412974191553594</v>
      </c>
      <c r="CB24" s="20">
        <f t="shared" si="10"/>
        <v>153.90233005028921</v>
      </c>
      <c r="CC24" s="59">
        <f t="shared" si="11"/>
        <v>447.23566338362252</v>
      </c>
      <c r="CD24" s="59">
        <f ca="1">AVERAGE(OFFSET($CC$3,0,0,'Données projet'!$E$12+1,1))-AVERAGE(OFFSET($H$3,0,0,'Données projet'!$E$12+1,1))</f>
        <v>415.83983761562189</v>
      </c>
      <c r="CE24" s="59">
        <f t="shared" si="40"/>
        <v>339.37869344688829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13.872084558661653</v>
      </c>
      <c r="CM24" s="21">
        <f>EXP(-LN(2)/2)*CM23+(1-EXP(-LN(2)/2))/(LN(2)/2)*CG24*CJ24*VLOOKUP('Données projet'!$B$12,Paramètres!$A$1:$I$89,3,0)*0.475*44/12</f>
        <v>10.474529441042277</v>
      </c>
      <c r="CN24" s="22">
        <f t="shared" si="12"/>
        <v>24.34661399970393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379.57623826604487</v>
      </c>
      <c r="S25" s="59">
        <f ca="1">AVERAGE(OFFSET($R$3,0,0,'Données projet'!$E$9+1,1))-AVERAGE(OFFSET($H$3,0,0,'Données projet'!$E$9+1,1))</f>
        <v>258.68215148478868</v>
      </c>
      <c r="T25" s="59">
        <f t="shared" si="34"/>
        <v>153.16792125610209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389.68969616370703</v>
      </c>
      <c r="AN25" s="59">
        <f ca="1">AVERAGE(OFFSET($AM$3,0,0,'Données projet'!$E$10+1,1))-AVERAGE(OFFSET($H$3,0,0,'Données projet'!$E$10+1,1))</f>
        <v>298.68533387773886</v>
      </c>
      <c r="AO25" s="59">
        <f t="shared" si="36"/>
        <v>176.04868734496114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5.9</v>
      </c>
      <c r="BD25" s="12">
        <f>IF('Données projet'!$A$88&gt;35,BD24+BC25-BL24,IF(A25&lt;'Données projet'!$A$88,$BA$205^A25,IF(A25='Données projet'!$A$88,'Données projet'!$B$88,BD24+BC25-BL24)))</f>
        <v>81.009691420851098</v>
      </c>
      <c r="BE25" s="13">
        <f>BD25*VLOOKUP('Données projet'!$B$11,Paramètres!$A$1:$I$89,3,0)*VLOOKUP('Données projet'!$B$11,Paramètres!$A$1:$I$89,5,0)</f>
        <v>37.912535584958313</v>
      </c>
      <c r="BF25" s="13">
        <f t="shared" si="37"/>
        <v>11.443650203019928</v>
      </c>
      <c r="BG25" s="20">
        <f t="shared" si="7"/>
        <v>85.962023580728768</v>
      </c>
      <c r="BH25" s="59">
        <f t="shared" si="8"/>
        <v>379.2953569140621</v>
      </c>
      <c r="BI25" s="59">
        <f ca="1">AVERAGE(OFFSET($BH$3,0,0,'Données projet'!$E$11+1,1))-AVERAGE(OFFSET($H$3,0,0,'Données projet'!$E$11+1,1))</f>
        <v>83.62456509032836</v>
      </c>
      <c r="BJ25" s="59">
        <f t="shared" si="38"/>
        <v>131.53128089847871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34</v>
      </c>
      <c r="BY25" s="12">
        <f>IF('Données projet'!$A$114&gt;35,BY24+BX25-CG24,IF(A25&lt;'Données projet'!$A$114,$BV$205^A25,IF(A25='Données projet'!$A$114,'Données projet'!$B$114,BY24+BX25-CG24)))</f>
        <v>190</v>
      </c>
      <c r="BZ25" s="13">
        <f>BY25*VLOOKUP('Données projet'!$B$12,Paramètres!$A$1:$I$89,3,0)*VLOOKUP('Données projet'!$B$12,Paramètres!$A$1:$I$89,5,0)</f>
        <v>83.980000000000018</v>
      </c>
      <c r="CA25" s="13">
        <f t="shared" si="39"/>
        <v>23.10754800124684</v>
      </c>
      <c r="CB25" s="20">
        <f t="shared" si="10"/>
        <v>186.51081276883826</v>
      </c>
      <c r="CC25" s="59">
        <f t="shared" si="11"/>
        <v>479.84414610217158</v>
      </c>
      <c r="CD25" s="59">
        <f ca="1">AVERAGE(OFFSET($CC$3,0,0,'Données projet'!$E$12+1,1))-AVERAGE(OFFSET($H$3,0,0,'Données projet'!$E$12+1,1))</f>
        <v>415.83983761562189</v>
      </c>
      <c r="CE25" s="59">
        <f t="shared" si="40"/>
        <v>339.37869344688829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13.492751676903827</v>
      </c>
      <c r="CM25" s="21">
        <f>EXP(-LN(2)/2)*CM24+(1-EXP(-LN(2)/2))/(LN(2)/2)*CG25*CJ25*VLOOKUP('Données projet'!$B$12,Paramètres!$A$1:$I$89,3,0)*0.475*44/12</f>
        <v>7.4066107974991313</v>
      </c>
      <c r="CN25" s="22">
        <f t="shared" si="12"/>
        <v>20.89936247440296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395.08724807566489</v>
      </c>
      <c r="S26" s="59">
        <f ca="1">AVERAGE(OFFSET($R$3,0,0,'Données projet'!$E$9+1,1))-AVERAGE(OFFSET($H$3,0,0,'Données projet'!$E$9+1,1))</f>
        <v>258.68215148478868</v>
      </c>
      <c r="T26" s="59">
        <f t="shared" si="34"/>
        <v>153.16792125610209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407.02490155014266</v>
      </c>
      <c r="AN26" s="59">
        <f ca="1">AVERAGE(OFFSET($AM$3,0,0,'Données projet'!$E$10+1,1))-AVERAGE(OFFSET($H$3,0,0,'Données projet'!$E$10+1,1))</f>
        <v>298.68533387773886</v>
      </c>
      <c r="AO26" s="59">
        <f t="shared" si="36"/>
        <v>176.04868734496114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5.9</v>
      </c>
      <c r="BD26" s="12">
        <f>IF('Données projet'!$A$88&gt;35,BD25+BC26-BL25,IF(A26&lt;'Données projet'!$A$88,$BA$205^A26,IF(A26='Données projet'!$A$88,'Données projet'!$B$88,BD25+BC26-BL25)))</f>
        <v>98.921036594468617</v>
      </c>
      <c r="BE26" s="13">
        <f>BD26*VLOOKUP('Données projet'!$B$11,Paramètres!$A$1:$I$89,3,0)*VLOOKUP('Données projet'!$B$11,Paramètres!$A$1:$I$89,5,0)</f>
        <v>46.295045126211321</v>
      </c>
      <c r="BF26" s="13">
        <f t="shared" si="37"/>
        <v>13.652694095553789</v>
      </c>
      <c r="BG26" s="20">
        <f t="shared" si="7"/>
        <v>104.40897914457423</v>
      </c>
      <c r="BH26" s="59">
        <f t="shared" si="8"/>
        <v>397.74231247790755</v>
      </c>
      <c r="BI26" s="59">
        <f ca="1">AVERAGE(OFFSET($BH$3,0,0,'Données projet'!$E$11+1,1))-AVERAGE(OFFSET($H$3,0,0,'Données projet'!$E$11+1,1))</f>
        <v>83.62456509032836</v>
      </c>
      <c r="BJ26" s="59">
        <f t="shared" si="38"/>
        <v>131.53128089847871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34</v>
      </c>
      <c r="BY26" s="12">
        <f>IF('Données projet'!$A$114&gt;35,BY25+BX26-CG25,IF(A26&lt;'Données projet'!$A$114,$BV$205^A26,IF(A26='Données projet'!$A$114,'Données projet'!$B$114,BY25+BX26-CG25)))</f>
        <v>224</v>
      </c>
      <c r="BZ26" s="13">
        <f>BY26*VLOOKUP('Données projet'!$B$12,Paramètres!$A$1:$I$89,3,0)*VLOOKUP('Données projet'!$B$12,Paramètres!$A$1:$I$89,5,0)</f>
        <v>99.008000000000024</v>
      </c>
      <c r="CA26" s="13">
        <f t="shared" si="39"/>
        <v>26.725530277452471</v>
      </c>
      <c r="CB26" s="20">
        <f t="shared" si="10"/>
        <v>218.98589856656307</v>
      </c>
      <c r="CC26" s="59">
        <f t="shared" si="11"/>
        <v>512.31923189989641</v>
      </c>
      <c r="CD26" s="59">
        <f ca="1">AVERAGE(OFFSET($CC$3,0,0,'Données projet'!$E$12+1,1))-AVERAGE(OFFSET($H$3,0,0,'Données projet'!$E$12+1,1))</f>
        <v>415.83983761562189</v>
      </c>
      <c r="CE26" s="59">
        <f t="shared" si="40"/>
        <v>339.37869344688829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13.12379167274592</v>
      </c>
      <c r="CM26" s="21">
        <f>EXP(-LN(2)/2)*CM25+(1-EXP(-LN(2)/2))/(LN(2)/2)*CG26*CJ26*VLOOKUP('Données projet'!$B$12,Paramètres!$A$1:$I$89,3,0)*0.475*44/12</f>
        <v>5.2372647205211385</v>
      </c>
      <c r="CN26" s="22">
        <f t="shared" si="12"/>
        <v>18.361056393267059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413.39622924071466</v>
      </c>
      <c r="S27" s="59">
        <f ca="1">AVERAGE(OFFSET($R$3,0,0,'Données projet'!$E$9+1,1))-AVERAGE(OFFSET($H$3,0,0,'Données projet'!$E$9+1,1))</f>
        <v>258.68215148478868</v>
      </c>
      <c r="T27" s="59">
        <f t="shared" si="34"/>
        <v>153.16792125610209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427.4880162907462</v>
      </c>
      <c r="AN27" s="59">
        <f ca="1">AVERAGE(OFFSET($AM$3,0,0,'Données projet'!$E$10+1,1))-AVERAGE(OFFSET($H$3,0,0,'Données projet'!$E$10+1,1))</f>
        <v>298.68533387773886</v>
      </c>
      <c r="AO27" s="59">
        <f t="shared" si="36"/>
        <v>176.04868734496114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5.9</v>
      </c>
      <c r="BD27" s="12">
        <f>IF('Données projet'!$A$88&gt;35,BD26+BC27-BL26,IF(A27&lt;'Données projet'!$A$88,$BA$205^A27,IF(A27='Données projet'!$A$88,'Données projet'!$B$88,BD26+BC27-BL26)))</f>
        <v>120.79260282684572</v>
      </c>
      <c r="BE27" s="13">
        <f>BD27*VLOOKUP('Données projet'!$B$11,Paramètres!$A$1:$I$89,3,0)*VLOOKUP('Données projet'!$B$11,Paramètres!$A$1:$I$89,5,0)</f>
        <v>56.530938122963796</v>
      </c>
      <c r="BF27" s="13">
        <f t="shared" si="37"/>
        <v>16.288164419564325</v>
      </c>
      <c r="BG27" s="20">
        <f t="shared" si="7"/>
        <v>126.82660359490315</v>
      </c>
      <c r="BH27" s="59">
        <f t="shared" si="8"/>
        <v>420.15993692823645</v>
      </c>
      <c r="BI27" s="59">
        <f ca="1">AVERAGE(OFFSET($BH$3,0,0,'Données projet'!$E$11+1,1))-AVERAGE(OFFSET($H$3,0,0,'Données projet'!$E$11+1,1))</f>
        <v>83.62456509032836</v>
      </c>
      <c r="BJ27" s="59">
        <f t="shared" si="38"/>
        <v>131.53128089847871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34</v>
      </c>
      <c r="BY27" s="12">
        <f>IF('Données projet'!$A$114&gt;35,BY26+BX27-CG26,IF(A27&lt;'Données projet'!$A$114,$BV$205^A27,IF(A27='Données projet'!$A$114,'Données projet'!$B$114,BY26+BX27-CG26)))</f>
        <v>258</v>
      </c>
      <c r="BZ27" s="13">
        <f>BY27*VLOOKUP('Données projet'!$B$12,Paramètres!$A$1:$I$89,3,0)*VLOOKUP('Données projet'!$B$12,Paramètres!$A$1:$I$89,5,0)</f>
        <v>114.03600000000002</v>
      </c>
      <c r="CA27" s="13">
        <f t="shared" si="39"/>
        <v>30.279894261296121</v>
      </c>
      <c r="CB27" s="20">
        <f t="shared" si="10"/>
        <v>251.35018250509077</v>
      </c>
      <c r="CC27" s="59">
        <f t="shared" si="11"/>
        <v>544.68351583842411</v>
      </c>
      <c r="CD27" s="59">
        <f ca="1">AVERAGE(OFFSET($CC$3,0,0,'Données projet'!$E$12+1,1))-AVERAGE(OFFSET($H$3,0,0,'Données projet'!$E$12+1,1))</f>
        <v>415.83983761562189</v>
      </c>
      <c r="CE27" s="59">
        <f t="shared" si="40"/>
        <v>339.37869344688829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12.764920899304474</v>
      </c>
      <c r="CM27" s="21">
        <f>EXP(-LN(2)/2)*CM26+(1-EXP(-LN(2)/2))/(LN(2)/2)*CG27*CJ27*VLOOKUP('Données projet'!$B$12,Paramètres!$A$1:$I$89,3,0)*0.475*44/12</f>
        <v>3.7033053987495657</v>
      </c>
      <c r="CN27" s="22">
        <f t="shared" si="12"/>
        <v>16.468226298054041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435.00927803996467</v>
      </c>
      <c r="S28" s="59">
        <f ca="1">AVERAGE(OFFSET($R$3,0,0,'Données projet'!$E$9+1,1))-AVERAGE(OFFSET($H$3,0,0,'Données projet'!$E$9+1,1))</f>
        <v>258.68215148478868</v>
      </c>
      <c r="T28" s="59">
        <f t="shared" si="34"/>
        <v>153.16792125610209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451.64496189589238</v>
      </c>
      <c r="AN28" s="59">
        <f ca="1">AVERAGE(OFFSET($AM$3,0,0,'Données projet'!$E$10+1,1))-AVERAGE(OFFSET($H$3,0,0,'Données projet'!$E$10+1,1))</f>
        <v>298.68533387773886</v>
      </c>
      <c r="AO28" s="59">
        <f t="shared" si="36"/>
        <v>176.04868734496114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147.5</v>
      </c>
      <c r="BB28" s="12">
        <f>VLOOKUP(A28,'Données projet'!$A$87:$I$107,9,0)</f>
        <v>5.9</v>
      </c>
      <c r="BC28" s="12">
        <f t="array" ref="BC28">INDEX(BB:BB,MIN(IF(ISNUMBER(BB28:BB224),ROW(BB28:BB224),"")))</f>
        <v>5.9</v>
      </c>
      <c r="BD28" s="12">
        <f>IF('Données projet'!$A$88&gt;35,BD27+BC28-BL27,IF(A28&lt;'Données projet'!$A$88,$BA$205^A28,IF(A28='Données projet'!$A$88,'Données projet'!$B$88,BD27+BC28-BL27)))</f>
        <v>147.5</v>
      </c>
      <c r="BE28" s="13">
        <f>BD28*VLOOKUP('Données projet'!$B$11,Paramètres!$A$1:$I$89,3,0)*VLOOKUP('Données projet'!$B$11,Paramètres!$A$1:$I$89,5,0)</f>
        <v>69.03</v>
      </c>
      <c r="BF28" s="13">
        <f t="shared" si="37"/>
        <v>19.432377104615718</v>
      </c>
      <c r="BG28" s="20">
        <f t="shared" si="7"/>
        <v>154.0719734572057</v>
      </c>
      <c r="BH28" s="59">
        <f t="shared" si="8"/>
        <v>447.40530679053904</v>
      </c>
      <c r="BI28" s="59">
        <f ca="1">AVERAGE(OFFSET($BH$3,0,0,'Données projet'!$E$11+1,1))-AVERAGE(OFFSET($H$3,0,0,'Données projet'!$E$11+1,1))</f>
        <v>83.62456509032836</v>
      </c>
      <c r="BJ28" s="59">
        <f t="shared" si="38"/>
        <v>131.53128089847871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14.75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0.22000000000000003</v>
      </c>
      <c r="BO28" s="16">
        <f>IF(ISNA(VLOOKUP(A28,'Données projet'!$A$87:$I$107,7,0)),0%,VLOOKUP(A28,'Données projet'!$A$87:$I$107,7,0))</f>
        <v>0.6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2.0066681265949788</v>
      </c>
      <c r="BR28" s="21">
        <f>EXP(-LN(2)/2)*BR27+(1-EXP(-LN(2)/2))/(LN(2)/2)*BL28*BO28*VLOOKUP('Données projet'!$B$11,Paramètres!$A$1:$I$89,3,0)*0.475*44/12</f>
        <v>4.6894797298951163</v>
      </c>
      <c r="BS28" s="22">
        <f t="shared" si="9"/>
        <v>6.6961478564900947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292</v>
      </c>
      <c r="BW28" s="12">
        <f>VLOOKUP(A28,'Données projet'!$A$113:$I$133,9,0)</f>
        <v>34</v>
      </c>
      <c r="BX28" s="12">
        <f t="array" ref="BX28">INDEX(BW:BW,MIN(IF(ISNUMBER(BW28:BW224),ROW(BW28:BW224),"")))</f>
        <v>34</v>
      </c>
      <c r="BY28" s="12">
        <f>IF('Données projet'!$A$114&gt;35,BY27+BX28-CG27,IF(A28&lt;'Données projet'!$A$114,$BV$205^A28,IF(A28='Données projet'!$A$114,'Données projet'!$B$114,BY27+BX28-CG27)))</f>
        <v>292</v>
      </c>
      <c r="BZ28" s="13">
        <f>BY28*VLOOKUP('Données projet'!$B$12,Paramètres!$A$1:$I$89,3,0)*VLOOKUP('Données projet'!$B$12,Paramètres!$A$1:$I$89,5,0)</f>
        <v>129.06399999999999</v>
      </c>
      <c r="CA28" s="13">
        <f t="shared" si="39"/>
        <v>33.779986339365287</v>
      </c>
      <c r="CB28" s="20">
        <f t="shared" si="10"/>
        <v>283.61994287439455</v>
      </c>
      <c r="CC28" s="59">
        <f t="shared" si="11"/>
        <v>576.95327620772787</v>
      </c>
      <c r="CD28" s="59">
        <f ca="1">AVERAGE(OFFSET($CC$3,0,0,'Données projet'!$E$12+1,1))-AVERAGE(OFFSET($H$3,0,0,'Données projet'!$E$12+1,1))</f>
        <v>415.83983761562189</v>
      </c>
      <c r="CE28" s="59">
        <f t="shared" si="40"/>
        <v>339.37869344688829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84</v>
      </c>
      <c r="CH28" s="16">
        <f>IF(ISNA(VLOOKUP(A28,'Données projet'!$A$113:$I$133,5,0)),0%,VLOOKUP(A28,'Données projet'!$A$113:$I$133,5,0)*VLOOKUP('Données projet'!$B$12,Paramètres!$A$1:$I$89,7,0))</f>
        <v>0.16500000000000001</v>
      </c>
      <c r="CI28" s="16">
        <f>IF(ISNA(VLOOKUP(A28,'Données projet'!$A$113:$I$133,6,0)),0%,VLOOKUP(A28,'Données projet'!$A$113:$I$133,6,0)*VLOOKUP('Données projet'!$B$12,Paramètres!$A$1:$I$89,7,0))</f>
        <v>0.23100000000000001</v>
      </c>
      <c r="CJ28" s="16">
        <f>IF(ISNA(VLOOKUP(A28,'Données projet'!$A$113:$I$133,7,0)),0%,VLOOKUP(A28,'Données projet'!$A$113:$I$133,7,0))</f>
        <v>0.28000000000000003</v>
      </c>
      <c r="CK28" s="21">
        <f>EXP(-LN(2)/35)*CK27+(1-EXP(-LN(2)/35))/(LN(2)/35)*CG28*CH28*VLOOKUP('Données projet'!$B$12,Paramètres!$A$1:$I$89,3,0)*0.475*44/12</f>
        <v>8.1266930417572762</v>
      </c>
      <c r="CL28" s="21">
        <f>EXP(-LN(2)/25)*CL27+(1-EXP(-LN(2)/25))/(LN(2)/25)*Calculateur!CG28*Calculateur!CI28*VLOOKUP('Données projet'!$B$12,Paramètres!$A$1:$I$89,3,0)*0.475*44/12</f>
        <v>23.74843668266967</v>
      </c>
      <c r="CM28" s="21">
        <f>EXP(-LN(2)/2)*CM27+(1-EXP(-LN(2)/2))/(LN(2)/2)*CG28*CJ28*VLOOKUP('Données projet'!$B$12,Paramètres!$A$1:$I$89,3,0)*0.475*44/12</f>
        <v>14.389138168178107</v>
      </c>
      <c r="CN28" s="22">
        <f t="shared" si="12"/>
        <v>46.264267892605055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433.03716177838555</v>
      </c>
      <c r="S29" s="59">
        <f ca="1">AVERAGE(OFFSET($R$3,0,0,'Données projet'!$E$9+1,1))-AVERAGE(OFFSET($H$3,0,0,'Données projet'!$E$9+1,1))</f>
        <v>258.68215148478868</v>
      </c>
      <c r="T29" s="59">
        <f t="shared" si="34"/>
        <v>153.16792125610209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449.44068260231313</v>
      </c>
      <c r="AN29" s="59">
        <f ca="1">AVERAGE(OFFSET($AM$3,0,0,'Données projet'!$E$10+1,1))-AVERAGE(OFFSET($H$3,0,0,'Données projet'!$E$10+1,1))</f>
        <v>298.68533387773886</v>
      </c>
      <c r="AO29" s="59">
        <f t="shared" si="36"/>
        <v>176.04868734496114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6.6875</v>
      </c>
      <c r="BD29" s="12">
        <f>IF('Données projet'!$A$88&gt;35,BD28+BC29-BL28,IF(A29&lt;'Données projet'!$A$88,$BA$205^A29,IF(A29='Données projet'!$A$88,'Données projet'!$B$88,BD28+BC29-BL28)))</f>
        <v>139.4375</v>
      </c>
      <c r="BE29" s="13">
        <f>BD29*VLOOKUP('Données projet'!$B$11,Paramètres!$A$1:$I$89,3,0)*VLOOKUP('Données projet'!$B$11,Paramètres!$A$1:$I$89,5,0)</f>
        <v>65.256749999999997</v>
      </c>
      <c r="BF29" s="13">
        <f t="shared" si="37"/>
        <v>18.490774584413995</v>
      </c>
      <c r="BG29" s="20">
        <f t="shared" si="7"/>
        <v>145.86027198452103</v>
      </c>
      <c r="BH29" s="59">
        <f t="shared" si="8"/>
        <v>439.19360531785435</v>
      </c>
      <c r="BI29" s="59">
        <f ca="1">AVERAGE(OFFSET($BH$3,0,0,'Données projet'!$E$11+1,1))-AVERAGE(OFFSET($H$3,0,0,'Données projet'!$E$11+1,1))</f>
        <v>83.62456509032836</v>
      </c>
      <c r="BJ29" s="59">
        <f t="shared" si="38"/>
        <v>131.53128089847871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1.9517956811471486</v>
      </c>
      <c r="BR29" s="21">
        <f>EXP(-LN(2)/2)*BR28+(1-EXP(-LN(2)/2))/(LN(2)/2)*BL29*BO29*VLOOKUP('Données projet'!$B$11,Paramètres!$A$1:$I$89,3,0)*0.475*44/12</f>
        <v>3.3159629172456961</v>
      </c>
      <c r="BS29" s="22">
        <f t="shared" si="9"/>
        <v>5.2677585983928452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37.4</v>
      </c>
      <c r="BY29" s="12">
        <f>IF('Données projet'!$A$114&gt;35,BY28+BX29-CG28,IF(A29&lt;'Données projet'!$A$114,$BV$205^A29,IF(A29='Données projet'!$A$114,'Données projet'!$B$114,BY28+BX29-CG28)))</f>
        <v>245.39999999999998</v>
      </c>
      <c r="BZ29" s="13">
        <f>BY29*VLOOKUP('Données projet'!$B$12,Paramètres!$A$1:$I$89,3,0)*VLOOKUP('Données projet'!$B$12,Paramètres!$A$1:$I$89,5,0)</f>
        <v>108.46679999999999</v>
      </c>
      <c r="CA29" s="13">
        <f t="shared" si="39"/>
        <v>28.969456129097562</v>
      </c>
      <c r="CB29" s="20">
        <f t="shared" si="10"/>
        <v>239.36814609151156</v>
      </c>
      <c r="CC29" s="59">
        <f t="shared" si="11"/>
        <v>532.70147942484482</v>
      </c>
      <c r="CD29" s="59">
        <f ca="1">AVERAGE(OFFSET($CC$3,0,0,'Données projet'!$E$12+1,1))-AVERAGE(OFFSET($H$3,0,0,'Données projet'!$E$12+1,1))</f>
        <v>415.83983761562189</v>
      </c>
      <c r="CE29" s="59">
        <f t="shared" si="40"/>
        <v>339.37869344688829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7.9673335480017284</v>
      </c>
      <c r="CL29" s="21">
        <f>EXP(-LN(2)/25)*CL28+(1-EXP(-LN(2)/25))/(LN(2)/25)*Calculateur!CG29*Calculateur!CI29*VLOOKUP('Données projet'!$B$12,Paramètres!$A$1:$I$89,3,0)*0.475*44/12</f>
        <v>23.099034432706059</v>
      </c>
      <c r="CM29" s="21">
        <f>EXP(-LN(2)/2)*CM28+(1-EXP(-LN(2)/2))/(LN(2)/2)*CG29*CJ29*VLOOKUP('Données projet'!$B$12,Paramètres!$A$1:$I$89,3,0)*0.475*44/12</f>
        <v>10.174657174148917</v>
      </c>
      <c r="CN29" s="22">
        <f t="shared" si="12"/>
        <v>41.241025154856708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446.82850104024965</v>
      </c>
      <c r="S30" s="59">
        <f ca="1">AVERAGE(OFFSET($R$3,0,0,'Données projet'!$E$9+1,1))-AVERAGE(OFFSET($H$3,0,0,'Données projet'!$E$9+1,1))</f>
        <v>258.68215148478868</v>
      </c>
      <c r="T30" s="59">
        <f t="shared" si="34"/>
        <v>153.16792125610209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464.85573580846426</v>
      </c>
      <c r="AN30" s="59">
        <f ca="1">AVERAGE(OFFSET($AM$3,0,0,'Données projet'!$E$10+1,1))-AVERAGE(OFFSET($H$3,0,0,'Données projet'!$E$10+1,1))</f>
        <v>298.68533387773886</v>
      </c>
      <c r="AO30" s="59">
        <f t="shared" si="36"/>
        <v>176.04868734496114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6.6875</v>
      </c>
      <c r="BD30" s="12">
        <f>IF('Données projet'!$A$88&gt;35,BD29+BC30-BL29,IF(A30&lt;'Données projet'!$A$88,$BA$205^A30,IF(A30='Données projet'!$A$88,'Données projet'!$B$88,BD29+BC30-BL29)))</f>
        <v>146.125</v>
      </c>
      <c r="BE30" s="13">
        <f>BD30*VLOOKUP('Données projet'!$B$11,Paramètres!$A$1:$I$89,3,0)*VLOOKUP('Données projet'!$B$11,Paramètres!$A$1:$I$89,5,0)</f>
        <v>68.386499999999998</v>
      </c>
      <c r="BF30" s="13">
        <f t="shared" si="37"/>
        <v>19.272226458509472</v>
      </c>
      <c r="BG30" s="20">
        <f t="shared" si="7"/>
        <v>152.67228191523733</v>
      </c>
      <c r="BH30" s="59">
        <f t="shared" si="8"/>
        <v>446.00561524857062</v>
      </c>
      <c r="BI30" s="59">
        <f ca="1">AVERAGE(OFFSET($BH$3,0,0,'Données projet'!$E$11+1,1))-AVERAGE(OFFSET($H$3,0,0,'Données projet'!$E$11+1,1))</f>
        <v>83.62456509032836</v>
      </c>
      <c r="BJ30" s="59">
        <f t="shared" si="38"/>
        <v>131.53128089847871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1.8984237256057059</v>
      </c>
      <c r="BR30" s="21">
        <f>EXP(-LN(2)/2)*BR29+(1-EXP(-LN(2)/2))/(LN(2)/2)*BL30*BO30*VLOOKUP('Données projet'!$B$11,Paramètres!$A$1:$I$89,3,0)*0.475*44/12</f>
        <v>2.3447398649475586</v>
      </c>
      <c r="BS30" s="22">
        <f t="shared" si="9"/>
        <v>4.2431635905532641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37.4</v>
      </c>
      <c r="BY30" s="12">
        <f>IF('Données projet'!$A$114&gt;35,BY29+BX30-CG29,IF(A30&lt;'Données projet'!$A$114,$BV$205^A30,IF(A30='Données projet'!$A$114,'Données projet'!$B$114,BY29+BX30-CG29)))</f>
        <v>282.79999999999995</v>
      </c>
      <c r="BZ30" s="13">
        <f>BY30*VLOOKUP('Données projet'!$B$12,Paramètres!$A$1:$I$89,3,0)*VLOOKUP('Données projet'!$B$12,Paramètres!$A$1:$I$89,5,0)</f>
        <v>124.99759999999999</v>
      </c>
      <c r="CA30" s="13">
        <f t="shared" si="39"/>
        <v>32.837825026716871</v>
      </c>
      <c r="CB30" s="20">
        <f t="shared" si="10"/>
        <v>274.89669858819849</v>
      </c>
      <c r="CC30" s="59">
        <f t="shared" si="11"/>
        <v>568.2300319215318</v>
      </c>
      <c r="CD30" s="59">
        <f ca="1">AVERAGE(OFFSET($CC$3,0,0,'Données projet'!$E$12+1,1))-AVERAGE(OFFSET($H$3,0,0,'Données projet'!$E$12+1,1))</f>
        <v>415.83983761562189</v>
      </c>
      <c r="CE30" s="59">
        <f t="shared" si="40"/>
        <v>339.37869344688829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7.8110989967190338</v>
      </c>
      <c r="CL30" s="21">
        <f>EXP(-LN(2)/25)*CL29+(1-EXP(-LN(2)/25))/(LN(2)/25)*Calculateur!CG30*Calculateur!CI30*VLOOKUP('Données projet'!$B$12,Paramètres!$A$1:$I$89,3,0)*0.475*44/12</f>
        <v>22.467390121418283</v>
      </c>
      <c r="CM30" s="21">
        <f>EXP(-LN(2)/2)*CM29+(1-EXP(-LN(2)/2))/(LN(2)/2)*CG30*CJ30*VLOOKUP('Données projet'!$B$12,Paramètres!$A$1:$I$89,3,0)*0.475*44/12</f>
        <v>7.1945690840890553</v>
      </c>
      <c r="CN30" s="22">
        <f t="shared" si="12"/>
        <v>37.473058202226369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460.59036088427666</v>
      </c>
      <c r="S31" s="59">
        <f ca="1">AVERAGE(OFFSET($R$3,0,0,'Données projet'!$E$9+1,1))-AVERAGE(OFFSET($H$3,0,0,'Données projet'!$E$9+1,1))</f>
        <v>258.68215148478868</v>
      </c>
      <c r="T31" s="59">
        <f t="shared" si="34"/>
        <v>153.16792125610209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480.23818702013227</v>
      </c>
      <c r="AN31" s="59">
        <f ca="1">AVERAGE(OFFSET($AM$3,0,0,'Données projet'!$E$10+1,1))-AVERAGE(OFFSET($H$3,0,0,'Données projet'!$E$10+1,1))</f>
        <v>298.68533387773886</v>
      </c>
      <c r="AO31" s="59">
        <f t="shared" si="36"/>
        <v>176.04868734496114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6.6875</v>
      </c>
      <c r="BD31" s="12">
        <f>IF('Données projet'!$A$88&gt;35,BD30+BC31-BL30,IF(A31&lt;'Données projet'!$A$88,$BA$205^A31,IF(A31='Données projet'!$A$88,'Données projet'!$B$88,BD30+BC31-BL30)))</f>
        <v>152.8125</v>
      </c>
      <c r="BE31" s="13">
        <f>BD31*VLOOKUP('Données projet'!$B$11,Paramètres!$A$1:$I$89,3,0)*VLOOKUP('Données projet'!$B$11,Paramètres!$A$1:$I$89,5,0)</f>
        <v>71.516249999999999</v>
      </c>
      <c r="BF31" s="13">
        <f t="shared" si="37"/>
        <v>20.049524984382089</v>
      </c>
      <c r="BG31" s="20">
        <f t="shared" si="7"/>
        <v>159.47705809779879</v>
      </c>
      <c r="BH31" s="59">
        <f t="shared" si="8"/>
        <v>452.81039143113208</v>
      </c>
      <c r="BI31" s="59">
        <f ca="1">AVERAGE(OFFSET($BH$3,0,0,'Données projet'!$E$11+1,1))-AVERAGE(OFFSET($H$3,0,0,'Données projet'!$E$11+1,1))</f>
        <v>83.62456509032836</v>
      </c>
      <c r="BJ31" s="59">
        <f t="shared" si="38"/>
        <v>131.53128089847871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1.846511228995253</v>
      </c>
      <c r="BR31" s="21">
        <f>EXP(-LN(2)/2)*BR30+(1-EXP(-LN(2)/2))/(LN(2)/2)*BL31*BO31*VLOOKUP('Données projet'!$B$11,Paramètres!$A$1:$I$89,3,0)*0.475*44/12</f>
        <v>1.6579814586228485</v>
      </c>
      <c r="BS31" s="22">
        <f t="shared" si="9"/>
        <v>3.5044926876181015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37.4</v>
      </c>
      <c r="BY31" s="12">
        <f>IF('Données projet'!$A$114&gt;35,BY30+BX31-CG30,IF(A31&lt;'Données projet'!$A$114,$BV$205^A31,IF(A31='Données projet'!$A$114,'Données projet'!$B$114,BY30+BX31-CG30)))</f>
        <v>320.19999999999993</v>
      </c>
      <c r="BZ31" s="13">
        <f>BY31*VLOOKUP('Données projet'!$B$12,Paramètres!$A$1:$I$89,3,0)*VLOOKUP('Données projet'!$B$12,Paramètres!$A$1:$I$89,5,0)</f>
        <v>141.52839999999998</v>
      </c>
      <c r="CA31" s="13">
        <f t="shared" si="39"/>
        <v>36.646918903168391</v>
      </c>
      <c r="CB31" s="20">
        <f t="shared" si="10"/>
        <v>310.32201375635157</v>
      </c>
      <c r="CC31" s="59">
        <f t="shared" si="11"/>
        <v>603.65534708968494</v>
      </c>
      <c r="CD31" s="59">
        <f ca="1">AVERAGE(OFFSET($CC$3,0,0,'Données projet'!$E$12+1,1))-AVERAGE(OFFSET($H$3,0,0,'Données projet'!$E$12+1,1))</f>
        <v>415.83983761562189</v>
      </c>
      <c r="CE31" s="59">
        <f t="shared" si="40"/>
        <v>339.37869344688829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7.6579281096933265</v>
      </c>
      <c r="CL31" s="21">
        <f>EXP(-LN(2)/25)*CL30+(1-EXP(-LN(2)/25))/(LN(2)/25)*Calculateur!CG31*Calculateur!CI31*VLOOKUP('Données projet'!$B$12,Paramètres!$A$1:$I$89,3,0)*0.475*44/12</f>
        <v>21.853018157039404</v>
      </c>
      <c r="CM31" s="21">
        <f>EXP(-LN(2)/2)*CM30+(1-EXP(-LN(2)/2))/(LN(2)/2)*CG31*CJ31*VLOOKUP('Données projet'!$B$12,Paramètres!$A$1:$I$89,3,0)*0.475*44/12</f>
        <v>5.0873285870744596</v>
      </c>
      <c r="CN31" s="22">
        <f t="shared" si="12"/>
        <v>34.59827485380719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474.32551019191953</v>
      </c>
      <c r="S32" s="59">
        <f ca="1">AVERAGE(OFFSET($R$3,0,0,'Données projet'!$E$9+1,1))-AVERAGE(OFFSET($H$3,0,0,'Données projet'!$E$9+1,1))</f>
        <v>258.68215148478868</v>
      </c>
      <c r="T32" s="59">
        <f t="shared" si="34"/>
        <v>153.16792125610209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495.59109840965561</v>
      </c>
      <c r="AN32" s="59">
        <f ca="1">AVERAGE(OFFSET($AM$3,0,0,'Données projet'!$E$10+1,1))-AVERAGE(OFFSET($H$3,0,0,'Données projet'!$E$10+1,1))</f>
        <v>298.68533387773886</v>
      </c>
      <c r="AO32" s="59">
        <f t="shared" si="36"/>
        <v>176.04868734496114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6.6875</v>
      </c>
      <c r="BD32" s="12">
        <f>IF('Données projet'!$A$88&gt;35,BD31+BC32-BL31,IF(A32&lt;'Données projet'!$A$88,$BA$205^A32,IF(A32='Données projet'!$A$88,'Données projet'!$B$88,BD31+BC32-BL31)))</f>
        <v>159.5</v>
      </c>
      <c r="BE32" s="13">
        <f>BD32*VLOOKUP('Données projet'!$B$11,Paramètres!$A$1:$I$89,3,0)*VLOOKUP('Données projet'!$B$11,Paramètres!$A$1:$I$89,5,0)</f>
        <v>74.646000000000001</v>
      </c>
      <c r="BF32" s="13">
        <f t="shared" si="37"/>
        <v>20.822872697241607</v>
      </c>
      <c r="BG32" s="20">
        <f t="shared" si="7"/>
        <v>166.2749532810291</v>
      </c>
      <c r="BH32" s="59">
        <f t="shared" si="8"/>
        <v>459.60828661436244</v>
      </c>
      <c r="BI32" s="59">
        <f ca="1">AVERAGE(OFFSET($BH$3,0,0,'Données projet'!$E$11+1,1))-AVERAGE(OFFSET($H$3,0,0,'Données projet'!$E$11+1,1))</f>
        <v>83.62456509032836</v>
      </c>
      <c r="BJ32" s="59">
        <f t="shared" si="38"/>
        <v>131.53128089847871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1.7960182823345725</v>
      </c>
      <c r="BR32" s="21">
        <f>EXP(-LN(2)/2)*BR31+(1-EXP(-LN(2)/2))/(LN(2)/2)*BL32*BO32*VLOOKUP('Données projet'!$B$11,Paramètres!$A$1:$I$89,3,0)*0.475*44/12</f>
        <v>1.1723699324737795</v>
      </c>
      <c r="BS32" s="22">
        <f t="shared" si="9"/>
        <v>2.968388214808352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37.4</v>
      </c>
      <c r="BY32" s="12">
        <f>IF('Données projet'!$A$114&gt;35,BY31+BX32-CG31,IF(A32&lt;'Données projet'!$A$114,$BV$205^A32,IF(A32='Données projet'!$A$114,'Données projet'!$B$114,BY31+BX32-CG31)))</f>
        <v>357.59999999999991</v>
      </c>
      <c r="BZ32" s="13">
        <f>BY32*VLOOKUP('Données projet'!$B$12,Paramètres!$A$1:$I$89,3,0)*VLOOKUP('Données projet'!$B$12,Paramètres!$A$1:$I$89,5,0)</f>
        <v>158.05919999999998</v>
      </c>
      <c r="CA32" s="13">
        <f t="shared" si="39"/>
        <v>40.404452106627382</v>
      </c>
      <c r="CB32" s="20">
        <f t="shared" si="10"/>
        <v>345.65752741904265</v>
      </c>
      <c r="CC32" s="59">
        <f t="shared" si="11"/>
        <v>638.99086075237597</v>
      </c>
      <c r="CD32" s="59">
        <f ca="1">AVERAGE(OFFSET($CC$3,0,0,'Données projet'!$E$12+1,1))-AVERAGE(OFFSET($H$3,0,0,'Données projet'!$E$12+1,1))</f>
        <v>415.83983761562189</v>
      </c>
      <c r="CE32" s="59">
        <f t="shared" si="40"/>
        <v>339.37869344688829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7.5077608103371762</v>
      </c>
      <c r="CL32" s="21">
        <f>EXP(-LN(2)/25)*CL31+(1-EXP(-LN(2)/25))/(LN(2)/25)*Calculateur!CG32*Calculateur!CI32*VLOOKUP('Données projet'!$B$12,Paramètres!$A$1:$I$89,3,0)*0.475*44/12</f>
        <v>21.255446226334882</v>
      </c>
      <c r="CM32" s="21">
        <f>EXP(-LN(2)/2)*CM31+(1-EXP(-LN(2)/2))/(LN(2)/2)*CG32*CJ32*VLOOKUP('Données projet'!$B$12,Paramètres!$A$1:$I$89,3,0)*0.475*44/12</f>
        <v>3.5972845420445281</v>
      </c>
      <c r="CN32" s="22">
        <f t="shared" si="12"/>
        <v>32.360491578716584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258.68215148478868</v>
      </c>
      <c r="T33" s="59">
        <f t="shared" si="34"/>
        <v>153.16792125610209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298.68533387773886</v>
      </c>
      <c r="AO33" s="59">
        <f t="shared" si="36"/>
        <v>176.04868734496114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6.6875</v>
      </c>
      <c r="BD33" s="12">
        <f>IF('Données projet'!$A$88&gt;35,BD32+BC33-BL32,IF(A33&lt;'Données projet'!$A$88,$BA$205^A33,IF(A33='Données projet'!$A$88,'Données projet'!$B$88,BD32+BC33-BL32)))</f>
        <v>166.1875</v>
      </c>
      <c r="BE33" s="13">
        <f>BD33*VLOOKUP('Données projet'!$B$11,Paramètres!$A$1:$I$89,3,0)*VLOOKUP('Données projet'!$B$11,Paramètres!$A$1:$I$89,5,0)</f>
        <v>77.775750000000002</v>
      </c>
      <c r="BF33" s="13">
        <f t="shared" si="37"/>
        <v>21.592454187741748</v>
      </c>
      <c r="BG33" s="20">
        <f t="shared" si="7"/>
        <v>173.06628896031688</v>
      </c>
      <c r="BH33" s="59">
        <f t="shared" si="8"/>
        <v>466.39962229365017</v>
      </c>
      <c r="BI33" s="59">
        <f ca="1">AVERAGE(OFFSET($BH$3,0,0,'Données projet'!$E$11+1,1))-AVERAGE(OFFSET($H$3,0,0,'Données projet'!$E$11+1,1))</f>
        <v>83.62456509032836</v>
      </c>
      <c r="BJ33" s="59">
        <f t="shared" si="38"/>
        <v>131.53128089847871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1.746906067955637</v>
      </c>
      <c r="BR33" s="21">
        <f>EXP(-LN(2)/2)*BR32+(1-EXP(-LN(2)/2))/(LN(2)/2)*BL33*BO33*VLOOKUP('Données projet'!$B$11,Paramètres!$A$1:$I$89,3,0)*0.475*44/12</f>
        <v>0.82899072931142437</v>
      </c>
      <c r="BS33" s="22">
        <f t="shared" si="9"/>
        <v>2.5758967972670614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395</v>
      </c>
      <c r="BW33" s="12">
        <f>VLOOKUP(A33,'Données projet'!$A$113:$I$133,9,0)</f>
        <v>37.4</v>
      </c>
      <c r="BX33" s="12">
        <f t="array" ref="BX33">INDEX(BW:BW,MIN(IF(ISNUMBER(BW33:BW229),ROW(BW33:BW229),"")))</f>
        <v>37.4</v>
      </c>
      <c r="BY33" s="12">
        <f>IF('Données projet'!$A$114&gt;35,BY32+BX33-CG32,IF(A33&lt;'Données projet'!$A$114,$BV$205^A33,IF(A33='Données projet'!$A$114,'Données projet'!$B$114,BY32+BX33-CG32)))</f>
        <v>394.99999999999989</v>
      </c>
      <c r="BZ33" s="13">
        <f>BY33*VLOOKUP('Données projet'!$B$12,Paramètres!$A$1:$I$89,3,0)*VLOOKUP('Données projet'!$B$12,Paramètres!$A$1:$I$89,5,0)</f>
        <v>174.58999999999997</v>
      </c>
      <c r="CA33" s="13">
        <f t="shared" si="39"/>
        <v>44.116431488264027</v>
      </c>
      <c r="CB33" s="20">
        <f t="shared" si="10"/>
        <v>380.91370150872643</v>
      </c>
      <c r="CC33" s="59">
        <f t="shared" si="11"/>
        <v>674.24703484205975</v>
      </c>
      <c r="CD33" s="59">
        <f ca="1">AVERAGE(OFFSET($CC$3,0,0,'Données projet'!$E$12+1,1))-AVERAGE(OFFSET($H$3,0,0,'Données projet'!$E$12+1,1))</f>
        <v>415.83983761562189</v>
      </c>
      <c r="CE33" s="59">
        <f t="shared" si="40"/>
        <v>339.37869344688829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0.27500000000000002</v>
      </c>
      <c r="CI33" s="16">
        <f>IF(ISNA(VLOOKUP(A33,'Données projet'!$A$113:$I$133,6,0)),0%,VLOOKUP(A33,'Données projet'!$A$113:$I$133,6,0)*VLOOKUP('Données projet'!$B$12,Paramètres!$A$1:$I$89,7,0))</f>
        <v>0.16500000000000001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20.905026603057188</v>
      </c>
      <c r="CL33" s="21">
        <f>EXP(-LN(2)/25)*CL32+(1-EXP(-LN(2)/25))/(LN(2)/25)*Calculateur!CG33*Calculateur!CI33*VLOOKUP('Données projet'!$B$12,Paramètres!$A$1:$I$89,3,0)*0.475*44/12</f>
        <v>28.768910086239487</v>
      </c>
      <c r="CM33" s="21">
        <f>EXP(-LN(2)/2)*CM32+(1-EXP(-LN(2)/2))/(LN(2)/2)*CG33*CJ33*VLOOKUP('Données projet'!$B$12,Paramètres!$A$1:$I$89,3,0)*0.475*44/12</f>
        <v>10.951168442049754</v>
      </c>
      <c r="CN33" s="22">
        <f t="shared" si="12"/>
        <v>60.62510513134643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258.68215148478868</v>
      </c>
      <c r="T34" s="59">
        <f t="shared" si="34"/>
        <v>153.16792125610209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298.68533387773886</v>
      </c>
      <c r="AO34" s="59">
        <f t="shared" si="36"/>
        <v>176.04868734496114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6.6875</v>
      </c>
      <c r="BD34" s="12">
        <f>IF('Données projet'!$A$88&gt;35,BD33+BC34-BL33,IF(A34&lt;'Données projet'!$A$88,$BA$205^A34,IF(A34='Données projet'!$A$88,'Données projet'!$B$88,BD33+BC34-BL33)))</f>
        <v>172.875</v>
      </c>
      <c r="BE34" s="13">
        <f>BD34*VLOOKUP('Données projet'!$B$11,Paramètres!$A$1:$I$89,3,0)*VLOOKUP('Données projet'!$B$11,Paramètres!$A$1:$I$89,5,0)</f>
        <v>80.905500000000004</v>
      </c>
      <c r="BF34" s="13">
        <f t="shared" si="37"/>
        <v>22.358438349583121</v>
      </c>
      <c r="BG34" s="20">
        <f t="shared" si="7"/>
        <v>179.85135929219064</v>
      </c>
      <c r="BH34" s="59">
        <f t="shared" si="8"/>
        <v>473.18469262552395</v>
      </c>
      <c r="BI34" s="59">
        <f ca="1">AVERAGE(OFFSET($BH$3,0,0,'Données projet'!$E$11+1,1))-AVERAGE(OFFSET($H$3,0,0,'Données projet'!$E$11+1,1))</f>
        <v>83.62456509032836</v>
      </c>
      <c r="BJ34" s="59">
        <f t="shared" si="38"/>
        <v>131.53128089847871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1.6991368296615925</v>
      </c>
      <c r="BR34" s="21">
        <f>EXP(-LN(2)/2)*BR33+(1-EXP(-LN(2)/2))/(LN(2)/2)*BL34*BO34*VLOOKUP('Données projet'!$B$11,Paramètres!$A$1:$I$89,3,0)*0.475*44/12</f>
        <v>0.58618496623688987</v>
      </c>
      <c r="BS34" s="22">
        <f t="shared" si="9"/>
        <v>2.2853217958984824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37</v>
      </c>
      <c r="BY34" s="12">
        <f>IF('Données projet'!$A$114&gt;35,BY33+BX34-CG33,IF(A34&lt;'Données projet'!$A$114,$BV$205^A34,IF(A34='Données projet'!$A$114,'Données projet'!$B$114,BY33+BX34-CG33)))</f>
        <v>347.99999999999989</v>
      </c>
      <c r="BZ34" s="13">
        <f>BY34*VLOOKUP('Données projet'!$B$12,Paramètres!$A$1:$I$89,3,0)*VLOOKUP('Données projet'!$B$12,Paramètres!$A$1:$I$89,5,0)</f>
        <v>153.81599999999995</v>
      </c>
      <c r="CA34" s="13">
        <f t="shared" si="39"/>
        <v>39.444513325737027</v>
      </c>
      <c r="CB34" s="20">
        <f t="shared" si="10"/>
        <v>336.59539404232521</v>
      </c>
      <c r="CC34" s="59">
        <f t="shared" si="11"/>
        <v>629.92872737565858</v>
      </c>
      <c r="CD34" s="59">
        <f ca="1">AVERAGE(OFFSET($CC$3,0,0,'Données projet'!$E$12+1,1))-AVERAGE(OFFSET($H$3,0,0,'Données projet'!$E$12+1,1))</f>
        <v>415.83983761562189</v>
      </c>
      <c r="CE34" s="59">
        <f t="shared" si="40"/>
        <v>339.37869344688829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20.495091782178427</v>
      </c>
      <c r="CL34" s="21">
        <f>EXP(-LN(2)/25)*CL33+(1-EXP(-LN(2)/25))/(LN(2)/25)*Calculateur!CG34*Calculateur!CI34*VLOOKUP('Données projet'!$B$12,Paramètres!$A$1:$I$89,3,0)*0.475*44/12</f>
        <v>27.982222727040039</v>
      </c>
      <c r="CM34" s="21">
        <f>EXP(-LN(2)/2)*CM33+(1-EXP(-LN(2)/2))/(LN(2)/2)*CG34*CJ34*VLOOKUP('Données projet'!$B$12,Paramètres!$A$1:$I$89,3,0)*0.475*44/12</f>
        <v>7.7436454672895003</v>
      </c>
      <c r="CN34" s="22">
        <f t="shared" si="12"/>
        <v>56.22095997650797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258.68215148478868</v>
      </c>
      <c r="T35" s="59">
        <f t="shared" si="34"/>
        <v>153.16792125610209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298.68533387773886</v>
      </c>
      <c r="AO35" s="59">
        <f t="shared" si="36"/>
        <v>176.04868734496114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6.6875</v>
      </c>
      <c r="BD35" s="12">
        <f>IF('Données projet'!$A$88&gt;35,BD34+BC35-BL34,IF(A35&lt;'Données projet'!$A$88,$BA$205^A35,IF(A35='Données projet'!$A$88,'Données projet'!$B$88,BD34+BC35-BL34)))</f>
        <v>179.5625</v>
      </c>
      <c r="BE35" s="13">
        <f>BD35*VLOOKUP('Données projet'!$B$11,Paramètres!$A$1:$I$89,3,0)*VLOOKUP('Données projet'!$B$11,Paramètres!$A$1:$I$89,5,0)</f>
        <v>84.035250000000005</v>
      </c>
      <c r="BF35" s="13">
        <f t="shared" si="37"/>
        <v>23.120980269547708</v>
      </c>
      <c r="BG35" s="20">
        <f t="shared" si="7"/>
        <v>186.63043438612894</v>
      </c>
      <c r="BH35" s="59">
        <f t="shared" si="8"/>
        <v>479.96376771946223</v>
      </c>
      <c r="BI35" s="59">
        <f ca="1">AVERAGE(OFFSET($BH$3,0,0,'Données projet'!$E$11+1,1))-AVERAGE(OFFSET($H$3,0,0,'Données projet'!$E$11+1,1))</f>
        <v>83.62456509032836</v>
      </c>
      <c r="BJ35" s="59">
        <f t="shared" si="38"/>
        <v>131.53128089847871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1.6526738437007737</v>
      </c>
      <c r="BR35" s="21">
        <f>EXP(-LN(2)/2)*BR34+(1-EXP(-LN(2)/2))/(LN(2)/2)*BL35*BO35*VLOOKUP('Données projet'!$B$11,Paramètres!$A$1:$I$89,3,0)*0.475*44/12</f>
        <v>0.41449536465571224</v>
      </c>
      <c r="BS35" s="22">
        <f t="shared" si="9"/>
        <v>2.0671692083564861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37</v>
      </c>
      <c r="BY35" s="12">
        <f>IF('Données projet'!$A$114&gt;35,BY34+BX35-CG34,IF(A35&lt;'Données projet'!$A$114,$BV$205^A35,IF(A35='Données projet'!$A$114,'Données projet'!$B$114,BY34+BX35-CG34)))</f>
        <v>384.99999999999989</v>
      </c>
      <c r="BZ35" s="13">
        <f>BY35*VLOOKUP('Données projet'!$B$12,Paramètres!$A$1:$I$89,3,0)*VLOOKUP('Données projet'!$B$12,Paramètres!$A$1:$I$89,5,0)</f>
        <v>170.17</v>
      </c>
      <c r="CA35" s="13">
        <f t="shared" si="39"/>
        <v>43.128095715049412</v>
      </c>
      <c r="CB35" s="20">
        <f t="shared" si="10"/>
        <v>371.4941833703777</v>
      </c>
      <c r="CC35" s="59">
        <f t="shared" si="11"/>
        <v>664.82751670371101</v>
      </c>
      <c r="CD35" s="59">
        <f ca="1">AVERAGE(OFFSET($CC$3,0,0,'Données projet'!$E$12+1,1))-AVERAGE(OFFSET($H$3,0,0,'Données projet'!$E$12+1,1))</f>
        <v>415.83983761562189</v>
      </c>
      <c r="CE35" s="59">
        <f t="shared" si="40"/>
        <v>339.37869344688829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20.093195533101547</v>
      </c>
      <c r="CL35" s="21">
        <f>EXP(-LN(2)/25)*CL34+(1-EXP(-LN(2)/25))/(LN(2)/25)*Calculateur!CG35*Calculateur!CI35*VLOOKUP('Données projet'!$B$12,Paramètres!$A$1:$I$89,3,0)*0.475*44/12</f>
        <v>27.21704737504799</v>
      </c>
      <c r="CM35" s="21">
        <f>EXP(-LN(2)/2)*CM34+(1-EXP(-LN(2)/2))/(LN(2)/2)*CG35*CJ35*VLOOKUP('Données projet'!$B$12,Paramètres!$A$1:$I$89,3,0)*0.475*44/12</f>
        <v>5.475584221024878</v>
      </c>
      <c r="CN35" s="22">
        <f t="shared" si="12"/>
        <v>52.785827129174407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258.68215148478868</v>
      </c>
      <c r="T36" s="59">
        <f t="shared" si="34"/>
        <v>153.16792125610209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298.68533387773886</v>
      </c>
      <c r="AO36" s="59">
        <f t="shared" si="36"/>
        <v>176.04868734496114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>
        <f>VLOOKUP(A36,'Données projet'!$A$87:$I$107,2,0)</f>
        <v>186.25</v>
      </c>
      <c r="BB36" s="12">
        <f>VLOOKUP(A36,'Données projet'!$A$87:$I$107,9,0)</f>
        <v>6.6875</v>
      </c>
      <c r="BC36" s="12">
        <f t="array" ref="BC36">INDEX(BB:BB,MIN(IF(ISNUMBER(BB36:BB232),ROW(BB36:BB232),"")))</f>
        <v>6.6875</v>
      </c>
      <c r="BD36" s="12">
        <f>IF('Données projet'!$A$88&gt;35,BD35+BC36-BL35,IF(A36&lt;'Données projet'!$A$88,$BA$205^A36,IF(A36='Données projet'!$A$88,'Données projet'!$B$88,BD35+BC36-BL35)))</f>
        <v>186.25</v>
      </c>
      <c r="BE36" s="13">
        <f>BD36*VLOOKUP('Données projet'!$B$11,Paramètres!$A$1:$I$89,3,0)*VLOOKUP('Données projet'!$B$11,Paramètres!$A$1:$I$89,5,0)</f>
        <v>87.165000000000006</v>
      </c>
      <c r="BF36" s="13">
        <f t="shared" si="37"/>
        <v>23.880222828052879</v>
      </c>
      <c r="BG36" s="20">
        <f t="shared" si="7"/>
        <v>193.40376309219209</v>
      </c>
      <c r="BH36" s="59">
        <f t="shared" si="8"/>
        <v>486.73709642552541</v>
      </c>
      <c r="BI36" s="59">
        <f ca="1">AVERAGE(OFFSET($BH$3,0,0,'Données projet'!$E$11+1,1))-AVERAGE(OFFSET($H$3,0,0,'Données projet'!$E$11+1,1))</f>
        <v>83.62456509032836</v>
      </c>
      <c r="BJ36" s="59">
        <f t="shared" si="38"/>
        <v>131.53128089847871</v>
      </c>
      <c r="BK36" s="15">
        <f>IF(ISNA(VLOOKUP(A36,'Données projet'!$A$87:$I$107,3,0)),0,VLOOKUP(A36,'Données projet'!$A$87:$I$107,3,0))</f>
        <v>2</v>
      </c>
      <c r="BL36" s="15">
        <f>IF(ISNA(VLOOKUP(A36,'Données projet'!$A$87:$I$107,4,0)),0,VLOOKUP(A36,'Données projet'!$A$87:$I$107,4,0))</f>
        <v>42.69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0.22000000000000003</v>
      </c>
      <c r="BO36" s="16">
        <f>IF(ISNA(VLOOKUP(A36,'Données projet'!$A$87:$I$107,7,0)),0%,VLOOKUP(A36,'Données projet'!$A$87:$I$107,7,0))</f>
        <v>0.6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7.4152551074388189</v>
      </c>
      <c r="BR36" s="21">
        <f>EXP(-LN(2)/2)*BR35+(1-EXP(-LN(2)/2))/(LN(2)/2)*BL36*BO36*VLOOKUP('Données projet'!$B$11,Paramètres!$A$1:$I$89,3,0)*0.475*44/12</f>
        <v>13.865559579336919</v>
      </c>
      <c r="BS36" s="22">
        <f t="shared" si="9"/>
        <v>21.280814686775738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37</v>
      </c>
      <c r="BY36" s="12">
        <f>IF('Données projet'!$A$114&gt;35,BY35+BX36-CG35,IF(A36&lt;'Données projet'!$A$114,$BV$205^A36,IF(A36='Données projet'!$A$114,'Données projet'!$B$114,BY35+BX36-CG35)))</f>
        <v>421.99999999999989</v>
      </c>
      <c r="BZ36" s="13">
        <f>BY36*VLOOKUP('Données projet'!$B$12,Paramètres!$A$1:$I$89,3,0)*VLOOKUP('Données projet'!$B$12,Paramètres!$A$1:$I$89,5,0)</f>
        <v>186.52399999999994</v>
      </c>
      <c r="CA36" s="13">
        <f t="shared" si="39"/>
        <v>46.770634721831932</v>
      </c>
      <c r="CB36" s="20">
        <f t="shared" si="10"/>
        <v>406.32148880719052</v>
      </c>
      <c r="CC36" s="59">
        <f t="shared" si="11"/>
        <v>699.65482214052383</v>
      </c>
      <c r="CD36" s="59">
        <f ca="1">AVERAGE(OFFSET($CC$3,0,0,'Données projet'!$E$12+1,1))-AVERAGE(OFFSET($H$3,0,0,'Données projet'!$E$12+1,1))</f>
        <v>415.83983761562189</v>
      </c>
      <c r="CE36" s="59">
        <f t="shared" si="40"/>
        <v>339.37869344688829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19.699180224336558</v>
      </c>
      <c r="CL36" s="21">
        <f>EXP(-LN(2)/25)*CL35+(1-EXP(-LN(2)/25))/(LN(2)/25)*Calculateur!CG36*Calculateur!CI36*VLOOKUP('Données projet'!$B$12,Paramètres!$A$1:$I$89,3,0)*0.475*44/12</f>
        <v>26.472795783294988</v>
      </c>
      <c r="CM36" s="21">
        <f>EXP(-LN(2)/2)*CM35+(1-EXP(-LN(2)/2))/(LN(2)/2)*CG36*CJ36*VLOOKUP('Données projet'!$B$12,Paramètres!$A$1:$I$89,3,0)*0.475*44/12</f>
        <v>3.871822733644751</v>
      </c>
      <c r="CN36" s="22">
        <f t="shared" si="12"/>
        <v>50.043798741276291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258.68215148478868</v>
      </c>
      <c r="T37" s="59">
        <f t="shared" si="34"/>
        <v>153.16792125610209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298.68533387773886</v>
      </c>
      <c r="AO37" s="59">
        <f t="shared" si="36"/>
        <v>176.04868734496114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8.84375</v>
      </c>
      <c r="BD37" s="12">
        <f>IF('Données projet'!$A$88&gt;35,BD36+BC37-BL36,IF(A37&lt;'Données projet'!$A$88,$BA$205^A37,IF(A37='Données projet'!$A$88,'Données projet'!$B$88,BD36+BC37-BL36)))</f>
        <v>152.40375</v>
      </c>
      <c r="BE37" s="13">
        <f>BD37*VLOOKUP('Données projet'!$B$11,Paramètres!$A$1:$I$89,3,0)*VLOOKUP('Données projet'!$B$11,Paramètres!$A$1:$I$89,5,0)</f>
        <v>71.324955000000003</v>
      </c>
      <c r="BF37" s="13">
        <f t="shared" si="37"/>
        <v>20.002130658417919</v>
      </c>
      <c r="BG37" s="20">
        <f t="shared" si="7"/>
        <v>159.06134085507787</v>
      </c>
      <c r="BH37" s="59">
        <f t="shared" si="8"/>
        <v>452.39467418841116</v>
      </c>
      <c r="BI37" s="59">
        <f ca="1">AVERAGE(OFFSET($BH$3,0,0,'Données projet'!$E$11+1,1))-AVERAGE(OFFSET($H$3,0,0,'Données projet'!$E$11+1,1))</f>
        <v>83.62456509032836</v>
      </c>
      <c r="BJ37" s="59">
        <f t="shared" si="38"/>
        <v>131.53128089847871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7.2124845665745863</v>
      </c>
      <c r="BR37" s="21">
        <f>EXP(-LN(2)/2)*BR36+(1-EXP(-LN(2)/2))/(LN(2)/2)*BL37*BO37*VLOOKUP('Données projet'!$B$11,Paramètres!$A$1:$I$89,3,0)*0.475*44/12</f>
        <v>9.8044312034952288</v>
      </c>
      <c r="BS37" s="22">
        <f t="shared" si="9"/>
        <v>17.016915770069815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37</v>
      </c>
      <c r="BY37" s="12">
        <f>IF('Données projet'!$A$114&gt;35,BY36+BX37-CG36,IF(A37&lt;'Données projet'!$A$114,$BV$205^A37,IF(A37='Données projet'!$A$114,'Données projet'!$B$114,BY36+BX37-CG36)))</f>
        <v>458.99999999999989</v>
      </c>
      <c r="BZ37" s="13">
        <f>BY37*VLOOKUP('Données projet'!$B$12,Paramètres!$A$1:$I$89,3,0)*VLOOKUP('Données projet'!$B$12,Paramètres!$A$1:$I$89,5,0)</f>
        <v>202.87799999999999</v>
      </c>
      <c r="CA37" s="13">
        <f t="shared" si="39"/>
        <v>50.376138116990127</v>
      </c>
      <c r="CB37" s="20">
        <f t="shared" si="10"/>
        <v>441.08429055375774</v>
      </c>
      <c r="CC37" s="59">
        <f t="shared" si="11"/>
        <v>734.41762388709105</v>
      </c>
      <c r="CD37" s="59">
        <f ca="1">AVERAGE(OFFSET($CC$3,0,0,'Données projet'!$E$12+1,1))-AVERAGE(OFFSET($H$3,0,0,'Données projet'!$E$12+1,1))</f>
        <v>415.83983761562189</v>
      </c>
      <c r="CE37" s="59">
        <f t="shared" si="40"/>
        <v>339.37869344688829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19.312891315450841</v>
      </c>
      <c r="CL37" s="21">
        <f>EXP(-LN(2)/25)*CL36+(1-EXP(-LN(2)/25))/(LN(2)/25)*Calculateur!CG37*Calculateur!CI37*VLOOKUP('Données projet'!$B$12,Paramètres!$A$1:$I$89,3,0)*0.475*44/12</f>
        <v>25.74889579045696</v>
      </c>
      <c r="CM37" s="21">
        <f>EXP(-LN(2)/2)*CM36+(1-EXP(-LN(2)/2))/(LN(2)/2)*CG37*CJ37*VLOOKUP('Données projet'!$B$12,Paramètres!$A$1:$I$89,3,0)*0.475*44/12</f>
        <v>2.7377921105124394</v>
      </c>
      <c r="CN37" s="22">
        <f t="shared" si="12"/>
        <v>47.799579216420234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258.68215148478868</v>
      </c>
      <c r="T38" s="59">
        <f t="shared" si="34"/>
        <v>153.16792125610209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3.44E-2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3.6128293130379046</v>
      </c>
      <c r="AA38" s="21">
        <f>EXP(-LN(2)/25)*AA37+(1-EXP(-LN(2)/25))/(LN(2)/25)*Calculateur!V38*Calculateur!X38*VLOOKUP('Données projet'!$B$9,Paramètres!$A$1:$I$89,3,0)*0.475*44/12</f>
        <v>0.71972084548731663</v>
      </c>
      <c r="AB38" s="21">
        <f>EXP(-LN(2)/2)*AB37+(1-EXP(-LN(2)/2))/(LN(2)/2)*V38*Y38*VLOOKUP('Données projet'!$B$9,Paramètres!$A$1:$I$89,3,0)*0.475*44/12</f>
        <v>2.1513319438840868</v>
      </c>
      <c r="AC38" s="22">
        <f t="shared" si="3"/>
        <v>6.4838821024093072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298.68533387773886</v>
      </c>
      <c r="AO38" s="59">
        <f t="shared" si="36"/>
        <v>176.04868734496114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0.17200000000000001</v>
      </c>
      <c r="AS38" s="16">
        <f>IF(ISNA(VLOOKUP(A38,'Données projet'!$A$61:$I$81,6,0)),0%,VLOOKUP(A38,'Données projet'!$A$61:$I$81,6,0)*VLOOKUP('Données projet'!$B$10,Paramètres!$A$1:$I$89,7,0))</f>
        <v>3.44E-2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4.0488604370252395</v>
      </c>
      <c r="AV38" s="21">
        <f>EXP(-LN(2)/25)*AV37+(1-EXP(-LN(2)/25))/(LN(2)/25)*Calculateur!AQ38*Calculateur!AS38*VLOOKUP('Données projet'!$B$10,Paramètres!$A$1:$I$89,3,0)*0.475*44/12</f>
        <v>0.80658370614957897</v>
      </c>
      <c r="AW38" s="21">
        <f>EXP(-LN(2)/2)*AW37+(1-EXP(-LN(2)/2))/(LN(2)/2)*AQ38*AT38*VLOOKUP('Données projet'!$B$10,Paramètres!$A$1:$I$89,3,0)*0.475*44/12</f>
        <v>2.4109754543528568</v>
      </c>
      <c r="AX38" s="21">
        <f t="shared" si="6"/>
        <v>7.2664195975276744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8.84375</v>
      </c>
      <c r="BD38" s="12">
        <f>IF('Données projet'!$A$88&gt;35,BD37+BC38-BL37,IF(A38&lt;'Données projet'!$A$88,$BA$205^A38,IF(A38='Données projet'!$A$88,'Données projet'!$B$88,BD37+BC38-BL37)))</f>
        <v>161.2475</v>
      </c>
      <c r="BE38" s="13">
        <f>BD38*VLOOKUP('Données projet'!$B$11,Paramètres!$A$1:$I$89,3,0)*VLOOKUP('Données projet'!$B$11,Paramètres!$A$1:$I$89,5,0)</f>
        <v>75.463830000000002</v>
      </c>
      <c r="BF38" s="13">
        <f t="shared" si="37"/>
        <v>21.024327189938223</v>
      </c>
      <c r="BG38" s="20">
        <f t="shared" si="7"/>
        <v>168.05020710580905</v>
      </c>
      <c r="BH38" s="59">
        <f t="shared" si="8"/>
        <v>461.38354043914239</v>
      </c>
      <c r="BI38" s="59">
        <f ca="1">AVERAGE(OFFSET($BH$3,0,0,'Données projet'!$E$11+1,1))-AVERAGE(OFFSET($H$3,0,0,'Données projet'!$E$11+1,1))</f>
        <v>83.62456509032836</v>
      </c>
      <c r="BJ38" s="59">
        <f t="shared" si="38"/>
        <v>131.53128089847871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7.0152587968135256</v>
      </c>
      <c r="BR38" s="21">
        <f>EXP(-LN(2)/2)*BR37+(1-EXP(-LN(2)/2))/(LN(2)/2)*BL38*BO38*VLOOKUP('Données projet'!$B$11,Paramètres!$A$1:$I$89,3,0)*0.475*44/12</f>
        <v>6.9327797896684604</v>
      </c>
      <c r="BS38" s="22">
        <f t="shared" si="9"/>
        <v>13.948038586481985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496</v>
      </c>
      <c r="BW38" s="12">
        <f>VLOOKUP(A38,'Données projet'!$A$113:$I$133,9,0)</f>
        <v>37</v>
      </c>
      <c r="BX38" s="12">
        <f t="array" ref="BX38">INDEX(BW:BW,MIN(IF(ISNUMBER(BW38:BW234),ROW(BW38:BW234),"")))</f>
        <v>37</v>
      </c>
      <c r="BY38" s="12">
        <f>IF('Données projet'!$A$114&gt;35,BY37+BX38-CG37,IF(A38&lt;'Données projet'!$A$114,$BV$205^A38,IF(A38='Données projet'!$A$114,'Données projet'!$B$114,BY37+BX38-CG37)))</f>
        <v>495.99999999999989</v>
      </c>
      <c r="BZ38" s="13">
        <f>BY38*VLOOKUP('Données projet'!$B$12,Paramètres!$A$1:$I$89,3,0)*VLOOKUP('Données projet'!$B$12,Paramètres!$A$1:$I$89,5,0)</f>
        <v>219.232</v>
      </c>
      <c r="CA38" s="13">
        <f t="shared" si="39"/>
        <v>53.947930757504459</v>
      </c>
      <c r="CB38" s="20">
        <f t="shared" si="10"/>
        <v>475.78837940265356</v>
      </c>
      <c r="CC38" s="59">
        <f t="shared" si="11"/>
        <v>769.12171273598688</v>
      </c>
      <c r="CD38" s="59">
        <f ca="1">AVERAGE(OFFSET($CC$3,0,0,'Données projet'!$E$12+1,1))-AVERAGE(OFFSET($H$3,0,0,'Données projet'!$E$12+1,1))</f>
        <v>415.83983761562189</v>
      </c>
      <c r="CE38" s="59">
        <f t="shared" si="40"/>
        <v>339.37869344688829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84</v>
      </c>
      <c r="CH38" s="16">
        <f>IF(ISNA(VLOOKUP(A38,'Données projet'!$A$113:$I$133,5,0)),0%,VLOOKUP(A38,'Données projet'!$A$113:$I$133,5,0)*VLOOKUP('Données projet'!$B$12,Paramètres!$A$1:$I$89,7,0))</f>
        <v>0.27500000000000002</v>
      </c>
      <c r="CI38" s="16">
        <f>IF(ISNA(VLOOKUP(A38,'Données projet'!$A$113:$I$133,6,0)),0%,VLOOKUP(A38,'Données projet'!$A$113:$I$133,6,0)*VLOOKUP('Données projet'!$B$12,Paramètres!$A$1:$I$89,7,0))</f>
        <v>0.16500000000000001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32.478665699384194</v>
      </c>
      <c r="CL38" s="21">
        <f>EXP(-LN(2)/25)*CL37+(1-EXP(-LN(2)/25))/(LN(2)/25)*Calculateur!CG38*Calculateur!CI38*VLOOKUP('Données projet'!$B$12,Paramètres!$A$1:$I$89,3,0)*0.475*44/12</f>
        <v>33.1394860357304</v>
      </c>
      <c r="CM38" s="21">
        <f>EXP(-LN(2)/2)*CM37+(1-EXP(-LN(2)/2))/(LN(2)/2)*CG38*CJ38*VLOOKUP('Données projet'!$B$12,Paramètres!$A$1:$I$89,3,0)*0.475*44/12</f>
        <v>10.3434155153349</v>
      </c>
      <c r="CN38" s="22">
        <f t="shared" si="12"/>
        <v>75.961567250449491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258.68215148478868</v>
      </c>
      <c r="T39" s="59">
        <f t="shared" si="34"/>
        <v>153.16792125610209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3.5419839338175239</v>
      </c>
      <c r="AA39" s="21">
        <f>EXP(-LN(2)/25)*AA38+(1-EXP(-LN(2)/25))/(LN(2)/25)*Calculateur!V39*Calculateur!X39*VLOOKUP('Données projet'!$B$9,Paramètres!$A$1:$I$89,3,0)*0.475*44/12</f>
        <v>0.70004004111899165</v>
      </c>
      <c r="AB39" s="21">
        <f>EXP(-LN(2)/2)*AB38+(1-EXP(-LN(2)/2))/(LN(2)/2)*V39*Y39*VLOOKUP('Données projet'!$B$9,Paramètres!$A$1:$I$89,3,0)*0.475*44/12</f>
        <v>1.5212214061036751</v>
      </c>
      <c r="AC39" s="22">
        <f t="shared" si="3"/>
        <v>5.76324538104019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298.68533387773886</v>
      </c>
      <c r="AO39" s="59">
        <f t="shared" si="36"/>
        <v>176.04868734496114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3.969464753416192</v>
      </c>
      <c r="AV39" s="21">
        <f>EXP(-LN(2)/25)*AV38+(1-EXP(-LN(2)/25))/(LN(2)/25)*Calculateur!AQ39*Calculateur!AS39*VLOOKUP('Données projet'!$B$10,Paramètres!$A$1:$I$89,3,0)*0.475*44/12</f>
        <v>0.78452763228852507</v>
      </c>
      <c r="AW39" s="21">
        <f>EXP(-LN(2)/2)*AW38+(1-EXP(-LN(2)/2))/(LN(2)/2)*AQ39*AT39*VLOOKUP('Données projet'!$B$10,Paramètres!$A$1:$I$89,3,0)*0.475*44/12</f>
        <v>1.7048170930472226</v>
      </c>
      <c r="AX39" s="21">
        <f t="shared" si="6"/>
        <v>6.4588094787519399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8.84375</v>
      </c>
      <c r="BD39" s="12">
        <f>IF('Données projet'!$A$88&gt;35,BD38+BC39-BL38,IF(A39&lt;'Données projet'!$A$88,$BA$205^A39,IF(A39='Données projet'!$A$88,'Données projet'!$B$88,BD38+BC39-BL38)))</f>
        <v>170.09125</v>
      </c>
      <c r="BE39" s="13">
        <f>BD39*VLOOKUP('Données projet'!$B$11,Paramètres!$A$1:$I$89,3,0)*VLOOKUP('Données projet'!$B$11,Paramètres!$A$1:$I$89,5,0)</f>
        <v>79.602705</v>
      </c>
      <c r="BF39" s="13">
        <f t="shared" si="37"/>
        <v>22.040015306938713</v>
      </c>
      <c r="BG39" s="20">
        <f t="shared" si="7"/>
        <v>177.02773786791826</v>
      </c>
      <c r="BH39" s="59">
        <f t="shared" si="8"/>
        <v>470.36107120125155</v>
      </c>
      <c r="BI39" s="59">
        <f ca="1">AVERAGE(OFFSET($BH$3,0,0,'Données projet'!$E$11+1,1))-AVERAGE(OFFSET($H$3,0,0,'Données projet'!$E$11+1,1))</f>
        <v>83.62456509032836</v>
      </c>
      <c r="BJ39" s="59">
        <f t="shared" si="38"/>
        <v>131.53128089847871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6.8234261760982333</v>
      </c>
      <c r="BR39" s="21">
        <f>EXP(-LN(2)/2)*BR38+(1-EXP(-LN(2)/2))/(LN(2)/2)*BL39*BO39*VLOOKUP('Données projet'!$B$11,Paramètres!$A$1:$I$89,3,0)*0.475*44/12</f>
        <v>4.9022156017476153</v>
      </c>
      <c r="BS39" s="22">
        <f t="shared" si="9"/>
        <v>11.725641777845848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34</v>
      </c>
      <c r="BY39" s="12">
        <f>IF('Données projet'!$A$114&gt;35,BY38+BX39-CG38,IF(A39&lt;'Données projet'!$A$114,$BV$205^A39,IF(A39='Données projet'!$A$114,'Données projet'!$B$114,BY38+BX39-CG38)))</f>
        <v>445.99999999999989</v>
      </c>
      <c r="BZ39" s="13">
        <f>BY39*VLOOKUP('Données projet'!$B$12,Paramètres!$A$1:$I$89,3,0)*VLOOKUP('Données projet'!$B$12,Paramètres!$A$1:$I$89,5,0)</f>
        <v>197.13199999999998</v>
      </c>
      <c r="CA39" s="13">
        <f t="shared" si="39"/>
        <v>49.113339261981388</v>
      </c>
      <c r="CB39" s="20">
        <f t="shared" si="10"/>
        <v>428.87729921461749</v>
      </c>
      <c r="CC39" s="59">
        <f t="shared" si="11"/>
        <v>722.21063254795081</v>
      </c>
      <c r="CD39" s="59">
        <f ca="1">AVERAGE(OFFSET($CC$3,0,0,'Données projet'!$E$12+1,1))-AVERAGE(OFFSET($H$3,0,0,'Données projet'!$E$12+1,1))</f>
        <v>415.83983761562189</v>
      </c>
      <c r="CE39" s="59">
        <f t="shared" si="40"/>
        <v>339.37869344688829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31.841778875049268</v>
      </c>
      <c r="CL39" s="21">
        <f>EXP(-LN(2)/25)*CL38+(1-EXP(-LN(2)/25))/(LN(2)/25)*Calculateur!CG39*Calculateur!CI39*VLOOKUP('Données projet'!$B$12,Paramètres!$A$1:$I$89,3,0)*0.475*44/12</f>
        <v>32.233285047353526</v>
      </c>
      <c r="CM39" s="21">
        <f>EXP(-LN(2)/2)*CM38+(1-EXP(-LN(2)/2))/(LN(2)/2)*CG39*CJ39*VLOOKUP('Données projet'!$B$12,Paramètres!$A$1:$I$89,3,0)*0.475*44/12</f>
        <v>7.3138992515234564</v>
      </c>
      <c r="CN39" s="22">
        <f t="shared" si="12"/>
        <v>71.388963173926243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258.68215148478868</v>
      </c>
      <c r="T40" s="59">
        <f t="shared" si="34"/>
        <v>153.16792125610209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3.4725277892722404</v>
      </c>
      <c r="AA40" s="21">
        <f>EXP(-LN(2)/25)*AA39+(1-EXP(-LN(2)/25))/(LN(2)/25)*Calculateur!V40*Calculateur!X40*VLOOKUP('Données projet'!$B$9,Paramètres!$A$1:$I$89,3,0)*0.475*44/12</f>
        <v>0.680897409381087</v>
      </c>
      <c r="AB40" s="21">
        <f>EXP(-LN(2)/2)*AB39+(1-EXP(-LN(2)/2))/(LN(2)/2)*V40*Y40*VLOOKUP('Données projet'!$B$9,Paramètres!$A$1:$I$89,3,0)*0.475*44/12</f>
        <v>1.0756659719420436</v>
      </c>
      <c r="AC40" s="22">
        <f t="shared" si="3"/>
        <v>5.2290911705953711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298.68533387773886</v>
      </c>
      <c r="AO40" s="59">
        <f t="shared" si="36"/>
        <v>176.04868734496114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3.8916259707361327</v>
      </c>
      <c r="AV40" s="21">
        <f>EXP(-LN(2)/25)*AV39+(1-EXP(-LN(2)/25))/(LN(2)/25)*Calculateur!AQ40*Calculateur!AS40*VLOOKUP('Données projet'!$B$10,Paramètres!$A$1:$I$89,3,0)*0.475*44/12</f>
        <v>0.76307468292708025</v>
      </c>
      <c r="AW40" s="21">
        <f>EXP(-LN(2)/2)*AW39+(1-EXP(-LN(2)/2))/(LN(2)/2)*AQ40*AT40*VLOOKUP('Données projet'!$B$10,Paramètres!$A$1:$I$89,3,0)*0.475*44/12</f>
        <v>1.2054877271764286</v>
      </c>
      <c r="AX40" s="21">
        <f t="shared" si="6"/>
        <v>5.8601883808396416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8.84375</v>
      </c>
      <c r="BD40" s="12">
        <f>IF('Données projet'!$A$88&gt;35,BD39+BC40-BL39,IF(A40&lt;'Données projet'!$A$88,$BA$205^A40,IF(A40='Données projet'!$A$88,'Données projet'!$B$88,BD39+BC40-BL39)))</f>
        <v>178.935</v>
      </c>
      <c r="BE40" s="13">
        <f>BD40*VLOOKUP('Données projet'!$B$11,Paramètres!$A$1:$I$89,3,0)*VLOOKUP('Données projet'!$B$11,Paramètres!$A$1:$I$89,5,0)</f>
        <v>83.741580000000013</v>
      </c>
      <c r="BF40" s="13">
        <f t="shared" si="37"/>
        <v>23.049572005958186</v>
      </c>
      <c r="BG40" s="20">
        <f t="shared" si="7"/>
        <v>185.99458974371052</v>
      </c>
      <c r="BH40" s="59">
        <f t="shared" si="8"/>
        <v>479.32792307704381</v>
      </c>
      <c r="BI40" s="59">
        <f ca="1">AVERAGE(OFFSET($BH$3,0,0,'Données projet'!$E$11+1,1))-AVERAGE(OFFSET($H$3,0,0,'Données projet'!$E$11+1,1))</f>
        <v>83.62456509032836</v>
      </c>
      <c r="BJ40" s="59">
        <f t="shared" si="38"/>
        <v>131.53128089847871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6.6368392284844395</v>
      </c>
      <c r="BR40" s="21">
        <f>EXP(-LN(2)/2)*BR39+(1-EXP(-LN(2)/2))/(LN(2)/2)*BL40*BO40*VLOOKUP('Données projet'!$B$11,Paramètres!$A$1:$I$89,3,0)*0.475*44/12</f>
        <v>3.4663898948342307</v>
      </c>
      <c r="BS40" s="22">
        <f t="shared" si="9"/>
        <v>10.10322912331867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34</v>
      </c>
      <c r="BY40" s="12">
        <f>IF('Données projet'!$A$114&gt;35,BY39+BX40-CG39,IF(A40&lt;'Données projet'!$A$114,$BV$205^A40,IF(A40='Données projet'!$A$114,'Données projet'!$B$114,BY39+BX40-CG39)))</f>
        <v>479.99999999999989</v>
      </c>
      <c r="BZ40" s="13">
        <f>BY40*VLOOKUP('Données projet'!$B$12,Paramètres!$A$1:$I$89,3,0)*VLOOKUP('Données projet'!$B$12,Paramètres!$A$1:$I$89,5,0)</f>
        <v>212.15999999999997</v>
      </c>
      <c r="CA40" s="13">
        <f t="shared" si="39"/>
        <v>52.407318557535369</v>
      </c>
      <c r="CB40" s="20">
        <f t="shared" si="10"/>
        <v>460.78807982104064</v>
      </c>
      <c r="CC40" s="59">
        <f t="shared" si="11"/>
        <v>754.12141315437395</v>
      </c>
      <c r="CD40" s="59">
        <f ca="1">AVERAGE(OFFSET($CC$3,0,0,'Données projet'!$E$12+1,1))-AVERAGE(OFFSET($H$3,0,0,'Données projet'!$E$12+1,1))</f>
        <v>415.83983761562189</v>
      </c>
      <c r="CE40" s="59">
        <f t="shared" si="40"/>
        <v>339.37869344688829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31.217381012876945</v>
      </c>
      <c r="CL40" s="21">
        <f>EXP(-LN(2)/25)*CL39+(1-EXP(-LN(2)/25))/(LN(2)/25)*Calculateur!CG40*Calculateur!CI40*VLOOKUP('Données projet'!$B$12,Paramètres!$A$1:$I$89,3,0)*0.475*44/12</f>
        <v>31.351864172658853</v>
      </c>
      <c r="CM40" s="21">
        <f>EXP(-LN(2)/2)*CM39+(1-EXP(-LN(2)/2))/(LN(2)/2)*CG40*CJ40*VLOOKUP('Données projet'!$B$12,Paramètres!$A$1:$I$89,3,0)*0.475*44/12</f>
        <v>5.1717077576674511</v>
      </c>
      <c r="CN40" s="22">
        <f t="shared" si="12"/>
        <v>67.740952943203254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258.68215148478868</v>
      </c>
      <c r="T41" s="59">
        <f t="shared" si="34"/>
        <v>153.16792125610209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3.4044336373574247</v>
      </c>
      <c r="AA41" s="21">
        <f>EXP(-LN(2)/25)*AA40+(1-EXP(-LN(2)/25))/(LN(2)/25)*Calculateur!V41*Calculateur!X41*VLOOKUP('Données projet'!$B$9,Paramètres!$A$1:$I$89,3,0)*0.475*44/12</f>
        <v>0.66227823391472262</v>
      </c>
      <c r="AB41" s="21">
        <f>EXP(-LN(2)/2)*AB40+(1-EXP(-LN(2)/2))/(LN(2)/2)*V41*Y41*VLOOKUP('Données projet'!$B$9,Paramètres!$A$1:$I$89,3,0)*0.475*44/12</f>
        <v>0.76061070305183764</v>
      </c>
      <c r="AC41" s="22">
        <f t="shared" si="3"/>
        <v>4.8273225743239854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298.68533387773886</v>
      </c>
      <c r="AO41" s="59">
        <f t="shared" si="36"/>
        <v>176.04868734496114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3.8153135591074601</v>
      </c>
      <c r="AV41" s="21">
        <f>EXP(-LN(2)/25)*AV40+(1-EXP(-LN(2)/25))/(LN(2)/25)*Calculateur!AQ41*Calculateur!AS41*VLOOKUP('Données projet'!$B$10,Paramètres!$A$1:$I$89,3,0)*0.475*44/12</f>
        <v>0.74220836559408565</v>
      </c>
      <c r="AW41" s="21">
        <f>EXP(-LN(2)/2)*AW40+(1-EXP(-LN(2)/2))/(LN(2)/2)*AQ41*AT41*VLOOKUP('Données projet'!$B$10,Paramètres!$A$1:$I$89,3,0)*0.475*44/12</f>
        <v>0.85240854652361142</v>
      </c>
      <c r="AX41" s="21">
        <f t="shared" si="6"/>
        <v>5.4099304712251577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8.84375</v>
      </c>
      <c r="BD41" s="12">
        <f>IF('Données projet'!$A$88&gt;35,BD40+BC41-BL40,IF(A41&lt;'Données projet'!$A$88,$BA$205^A41,IF(A41='Données projet'!$A$88,'Données projet'!$B$88,BD40+BC41-BL40)))</f>
        <v>187.77875</v>
      </c>
      <c r="BE41" s="13">
        <f>BD41*VLOOKUP('Données projet'!$B$11,Paramètres!$A$1:$I$89,3,0)*VLOOKUP('Données projet'!$B$11,Paramètres!$A$1:$I$89,5,0)</f>
        <v>87.880454999999998</v>
      </c>
      <c r="BF41" s="13">
        <f t="shared" si="37"/>
        <v>24.053334912662475</v>
      </c>
      <c r="BG41" s="20">
        <f t="shared" si="7"/>
        <v>194.95135076455381</v>
      </c>
      <c r="BH41" s="59">
        <f t="shared" si="8"/>
        <v>488.28468409788712</v>
      </c>
      <c r="BI41" s="59">
        <f ca="1">AVERAGE(OFFSET($BH$3,0,0,'Données projet'!$E$11+1,1))-AVERAGE(OFFSET($H$3,0,0,'Données projet'!$E$11+1,1))</f>
        <v>83.62456509032836</v>
      </c>
      <c r="BJ41" s="59">
        <f t="shared" si="38"/>
        <v>131.53128089847871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6.4553545107653258</v>
      </c>
      <c r="BR41" s="21">
        <f>EXP(-LN(2)/2)*BR40+(1-EXP(-LN(2)/2))/(LN(2)/2)*BL41*BO41*VLOOKUP('Données projet'!$B$11,Paramètres!$A$1:$I$89,3,0)*0.475*44/12</f>
        <v>2.4511078008738081</v>
      </c>
      <c r="BS41" s="22">
        <f t="shared" si="9"/>
        <v>8.9064623116391335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34</v>
      </c>
      <c r="BY41" s="12">
        <f>IF('Données projet'!$A$114&gt;35,BY40+BX41-CG40,IF(A41&lt;'Données projet'!$A$114,$BV$205^A41,IF(A41='Données projet'!$A$114,'Données projet'!$B$114,BY40+BX41-CG40)))</f>
        <v>513.99999999999989</v>
      </c>
      <c r="BZ41" s="13">
        <f>BY41*VLOOKUP('Données projet'!$B$12,Paramètres!$A$1:$I$89,3,0)*VLOOKUP('Données projet'!$B$12,Paramètres!$A$1:$I$89,5,0)</f>
        <v>227.18799999999996</v>
      </c>
      <c r="CA41" s="13">
        <f t="shared" si="39"/>
        <v>55.674226763576875</v>
      </c>
      <c r="CB41" s="20">
        <f t="shared" si="10"/>
        <v>492.65171161322957</v>
      </c>
      <c r="CC41" s="59">
        <f t="shared" si="11"/>
        <v>785.98504494656288</v>
      </c>
      <c r="CD41" s="59">
        <f ca="1">AVERAGE(OFFSET($CC$3,0,0,'Données projet'!$E$12+1,1))-AVERAGE(OFFSET($H$3,0,0,'Données projet'!$E$12+1,1))</f>
        <v>415.83983761562189</v>
      </c>
      <c r="CE41" s="59">
        <f t="shared" si="40"/>
        <v>339.37869344688829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30.605227211936732</v>
      </c>
      <c r="CL41" s="21">
        <f>EXP(-LN(2)/25)*CL40+(1-EXP(-LN(2)/25))/(LN(2)/25)*Calculateur!CG41*Calculateur!CI41*VLOOKUP('Données projet'!$B$12,Paramètres!$A$1:$I$89,3,0)*0.475*44/12</f>
        <v>30.494545798134617</v>
      </c>
      <c r="CM41" s="21">
        <f>EXP(-LN(2)/2)*CM40+(1-EXP(-LN(2)/2))/(LN(2)/2)*CG41*CJ41*VLOOKUP('Données projet'!$B$12,Paramètres!$A$1:$I$89,3,0)*0.475*44/12</f>
        <v>3.6569496257617291</v>
      </c>
      <c r="CN41" s="22">
        <f t="shared" si="12"/>
        <v>64.756722635833071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258.68215148478868</v>
      </c>
      <c r="T42" s="59">
        <f t="shared" si="34"/>
        <v>153.16792125610209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3.3376747702283271</v>
      </c>
      <c r="AA42" s="21">
        <f>EXP(-LN(2)/25)*AA41+(1-EXP(-LN(2)/25))/(LN(2)/25)*Calculateur!V42*Calculateur!X42*VLOOKUP('Données projet'!$B$9,Paramètres!$A$1:$I$89,3,0)*0.475*44/12</f>
        <v>0.64416820078062587</v>
      </c>
      <c r="AB42" s="21">
        <f>EXP(-LN(2)/2)*AB41+(1-EXP(-LN(2)/2))/(LN(2)/2)*V42*Y42*VLOOKUP('Données projet'!$B$9,Paramètres!$A$1:$I$89,3,0)*0.475*44/12</f>
        <v>0.53783298597102192</v>
      </c>
      <c r="AC42" s="22">
        <f t="shared" si="3"/>
        <v>4.5196759569799747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298.68533387773886</v>
      </c>
      <c r="AO42" s="59">
        <f t="shared" si="36"/>
        <v>176.04868734496114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3.7404975873248505</v>
      </c>
      <c r="AV42" s="21">
        <f>EXP(-LN(2)/25)*AV41+(1-EXP(-LN(2)/25))/(LN(2)/25)*Calculateur!AQ42*Calculateur!AS42*VLOOKUP('Données projet'!$B$10,Paramètres!$A$1:$I$89,3,0)*0.475*44/12</f>
        <v>0.72191263880587375</v>
      </c>
      <c r="AW42" s="21">
        <f>EXP(-LN(2)/2)*AW41+(1-EXP(-LN(2)/2))/(LN(2)/2)*AQ42*AT42*VLOOKUP('Données projet'!$B$10,Paramètres!$A$1:$I$89,3,0)*0.475*44/12</f>
        <v>0.60274386358821441</v>
      </c>
      <c r="AX42" s="21">
        <f t="shared" si="6"/>
        <v>5.0651540897189387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8.84375</v>
      </c>
      <c r="BD42" s="12">
        <f>IF('Données projet'!$A$88&gt;35,BD41+BC42-BL41,IF(A42&lt;'Données projet'!$A$88,$BA$205^A42,IF(A42='Données projet'!$A$88,'Données projet'!$B$88,BD41+BC42-BL41)))</f>
        <v>196.6225</v>
      </c>
      <c r="BE42" s="13">
        <f>BD42*VLOOKUP('Données projet'!$B$11,Paramètres!$A$1:$I$89,3,0)*VLOOKUP('Données projet'!$B$11,Paramètres!$A$1:$I$89,5,0)</f>
        <v>92.019329999999997</v>
      </c>
      <c r="BF42" s="13">
        <f t="shared" si="37"/>
        <v>25.051608053503738</v>
      </c>
      <c r="BG42" s="20">
        <f t="shared" si="7"/>
        <v>203.89855044318566</v>
      </c>
      <c r="BH42" s="59">
        <f t="shared" si="8"/>
        <v>497.231883776519</v>
      </c>
      <c r="BI42" s="59">
        <f ca="1">AVERAGE(OFFSET($BH$3,0,0,'Données projet'!$E$11+1,1))-AVERAGE(OFFSET($H$3,0,0,'Données projet'!$E$11+1,1))</f>
        <v>83.62456509032836</v>
      </c>
      <c r="BJ42" s="59">
        <f t="shared" si="38"/>
        <v>131.53128089847871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6.2788325021961082</v>
      </c>
      <c r="BR42" s="21">
        <f>EXP(-LN(2)/2)*BR41+(1-EXP(-LN(2)/2))/(LN(2)/2)*BL42*BO42*VLOOKUP('Données projet'!$B$11,Paramètres!$A$1:$I$89,3,0)*0.475*44/12</f>
        <v>1.7331949474171156</v>
      </c>
      <c r="BS42" s="22">
        <f t="shared" si="9"/>
        <v>8.0120274496132247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34</v>
      </c>
      <c r="BY42" s="12">
        <f>IF('Données projet'!$A$114&gt;35,BY41+BX42-CG41,IF(A42&lt;'Données projet'!$A$114,$BV$205^A42,IF(A42='Données projet'!$A$114,'Données projet'!$B$114,BY41+BX42-CG41)))</f>
        <v>547.99999999999989</v>
      </c>
      <c r="BZ42" s="13">
        <f>BY42*VLOOKUP('Données projet'!$B$12,Paramètres!$A$1:$I$89,3,0)*VLOOKUP('Données projet'!$B$12,Paramètres!$A$1:$I$89,5,0)</f>
        <v>242.21599999999995</v>
      </c>
      <c r="CA42" s="13">
        <f t="shared" si="39"/>
        <v>58.916058339548016</v>
      </c>
      <c r="CB42" s="20">
        <f t="shared" si="10"/>
        <v>524.47166827471267</v>
      </c>
      <c r="CC42" s="59">
        <f t="shared" si="11"/>
        <v>817.80500160804604</v>
      </c>
      <c r="CD42" s="59">
        <f ca="1">AVERAGE(OFFSET($CC$3,0,0,'Données projet'!$E$12+1,1))-AVERAGE(OFFSET($H$3,0,0,'Données projet'!$E$12+1,1))</f>
        <v>415.83983761562189</v>
      </c>
      <c r="CE42" s="59">
        <f t="shared" si="40"/>
        <v>339.37869344688829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30.005077373656004</v>
      </c>
      <c r="CL42" s="21">
        <f>EXP(-LN(2)/25)*CL41+(1-EXP(-LN(2)/25))/(LN(2)/25)*Calculateur!CG42*Calculateur!CI42*VLOOKUP('Données projet'!$B$12,Paramètres!$A$1:$I$89,3,0)*0.475*44/12</f>
        <v>29.660670839646158</v>
      </c>
      <c r="CM42" s="21">
        <f>EXP(-LN(2)/2)*CM41+(1-EXP(-LN(2)/2))/(LN(2)/2)*CG42*CJ42*VLOOKUP('Données projet'!$B$12,Paramètres!$A$1:$I$89,3,0)*0.475*44/12</f>
        <v>2.585853878833726</v>
      </c>
      <c r="CN42" s="22">
        <f t="shared" si="12"/>
        <v>62.25160209213589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258.68215148478868</v>
      </c>
      <c r="T43" s="59">
        <f t="shared" si="34"/>
        <v>153.16792125610209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0.17200000000000001</v>
      </c>
      <c r="X43" s="16">
        <f>IF(ISNA(VLOOKUP(A43,'Données projet'!$A$35:$I$55,6,0)),0%,VLOOKUP(A43,'Données projet'!$A$35:$I$55,6,0)*VLOOKUP('Données projet'!$B$9,Paramètres!$A$1:$I$89,7,0))</f>
        <v>3.44E-2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6.8850543168026475</v>
      </c>
      <c r="AA43" s="21">
        <f>EXP(-LN(2)/25)*AA42+(1-EXP(-LN(2)/25))/(LN(2)/25)*Calculateur!V43*Calculateur!X43*VLOOKUP('Données projet'!$B$9,Paramètres!$A$1:$I$89,3,0)*0.475*44/12</f>
        <v>1.346274232942263</v>
      </c>
      <c r="AB43" s="21">
        <f>EXP(-LN(2)/2)*AB42+(1-EXP(-LN(2)/2))/(LN(2)/2)*V43*Y43*VLOOKUP('Données projet'!$B$9,Paramètres!$A$1:$I$89,3,0)*0.475*44/12</f>
        <v>2.5316372954100057</v>
      </c>
      <c r="AC43" s="22">
        <f t="shared" si="3"/>
        <v>10.762965845154916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298.68533387773886</v>
      </c>
      <c r="AO43" s="59">
        <f t="shared" si="36"/>
        <v>176.04868734496114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3.44E-2</v>
      </c>
      <c r="AT43" s="16">
        <f>IF(ISNA(VLOOKUP(A43,'Données projet'!$A$61:$I$81,7,0)),0%,VLOOKUP(A43,'Données projet'!$A$61:$I$81,7,0))</f>
        <v>0.12</v>
      </c>
      <c r="AU43" s="21">
        <f>EXP(-LN(2)/35)*AU42+(1-EXP(-LN(2)/35))/(LN(2)/35)*AQ43*AR43*VLOOKUP('Données projet'!$B$10,Paramètres!$A$1:$I$89,3,0)*0.475*44/12</f>
        <v>7.7160091481409001</v>
      </c>
      <c r="AV43" s="21">
        <f>EXP(-LN(2)/25)*AV42+(1-EXP(-LN(2)/25))/(LN(2)/25)*Calculateur!AQ43*Calculateur!AS43*VLOOKUP('Données projet'!$B$10,Paramètres!$A$1:$I$89,3,0)*0.475*44/12</f>
        <v>1.5087556058835703</v>
      </c>
      <c r="AW43" s="21">
        <f>EXP(-LN(2)/2)*AW42+(1-EXP(-LN(2)/2))/(LN(2)/2)*AQ43*AT43*VLOOKUP('Données projet'!$B$10,Paramètres!$A$1:$I$89,3,0)*0.475*44/12</f>
        <v>2.8371797276146626</v>
      </c>
      <c r="AX43" s="21">
        <f t="shared" si="6"/>
        <v>12.061944481639133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8.84375</v>
      </c>
      <c r="BD43" s="12">
        <f>IF('Données projet'!$A$88&gt;35,BD42+BC43-BL42,IF(A43&lt;'Données projet'!$A$88,$BA$205^A43,IF(A43='Données projet'!$A$88,'Données projet'!$B$88,BD42+BC43-BL42)))</f>
        <v>205.46625</v>
      </c>
      <c r="BE43" s="13">
        <f>BD43*VLOOKUP('Données projet'!$B$11,Paramètres!$A$1:$I$89,3,0)*VLOOKUP('Données projet'!$B$11,Paramètres!$A$1:$I$89,5,0)</f>
        <v>96.158204999999995</v>
      </c>
      <c r="BF43" s="13">
        <f t="shared" si="37"/>
        <v>26.044666559641986</v>
      </c>
      <c r="BG43" s="20">
        <f t="shared" si="7"/>
        <v>212.83666796637644</v>
      </c>
      <c r="BH43" s="59">
        <f t="shared" si="8"/>
        <v>506.17000129970972</v>
      </c>
      <c r="BI43" s="59">
        <f ca="1">AVERAGE(OFFSET($BH$3,0,0,'Données projet'!$E$11+1,1))-AVERAGE(OFFSET($H$3,0,0,'Données projet'!$E$11+1,1))</f>
        <v>83.62456509032836</v>
      </c>
      <c r="BJ43" s="59">
        <f t="shared" si="38"/>
        <v>131.53128089847871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6.1071374972341053</v>
      </c>
      <c r="BR43" s="21">
        <f>EXP(-LN(2)/2)*BR42+(1-EXP(-LN(2)/2))/(LN(2)/2)*BL43*BO43*VLOOKUP('Données projet'!$B$11,Paramètres!$A$1:$I$89,3,0)*0.475*44/12</f>
        <v>1.225553900436904</v>
      </c>
      <c r="BS43" s="22">
        <f t="shared" si="9"/>
        <v>7.3326913976710095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582</v>
      </c>
      <c r="BW43" s="12">
        <f>VLOOKUP(A43,'Données projet'!$A$113:$I$133,9,0)</f>
        <v>34</v>
      </c>
      <c r="BX43" s="12">
        <f t="array" ref="BX43">INDEX(BW:BW,MIN(IF(ISNUMBER(BW43:BW239),ROW(BW43:BW239),"")))</f>
        <v>34</v>
      </c>
      <c r="BY43" s="12">
        <f>IF('Données projet'!$A$114&gt;35,BY42+BX43-CG42,IF(A43&lt;'Données projet'!$A$114,$BV$205^A43,IF(A43='Données projet'!$A$114,'Données projet'!$B$114,BY42+BX43-CG42)))</f>
        <v>581.99999999999989</v>
      </c>
      <c r="BZ43" s="13">
        <f>BY43*VLOOKUP('Données projet'!$B$12,Paramètres!$A$1:$I$89,3,0)*VLOOKUP('Données projet'!$B$12,Paramètres!$A$1:$I$89,5,0)</f>
        <v>257.24399999999997</v>
      </c>
      <c r="CA43" s="13">
        <f t="shared" si="39"/>
        <v>62.134546270312008</v>
      </c>
      <c r="CB43" s="20">
        <f t="shared" si="10"/>
        <v>556.25096808745991</v>
      </c>
      <c r="CC43" s="59">
        <f t="shared" si="11"/>
        <v>849.58430142079328</v>
      </c>
      <c r="CD43" s="59">
        <f ca="1">AVERAGE(OFFSET($CC$3,0,0,'Données projet'!$E$12+1,1))-AVERAGE(OFFSET($H$3,0,0,'Données projet'!$E$12+1,1))</f>
        <v>415.83983761562189</v>
      </c>
      <c r="CE43" s="59">
        <f t="shared" si="40"/>
        <v>339.37869344688829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84</v>
      </c>
      <c r="CH43" s="16">
        <f>IF(ISNA(VLOOKUP(A43,'Données projet'!$A$113:$I$133,5,0)),0%,VLOOKUP(A43,'Données projet'!$A$113:$I$133,5,0)*VLOOKUP('Données projet'!$B$12,Paramètres!$A$1:$I$89,7,0))</f>
        <v>0.27500000000000002</v>
      </c>
      <c r="CI43" s="16">
        <f>IF(ISNA(VLOOKUP(A43,'Données projet'!$A$113:$I$133,6,0)),0%,VLOOKUP(A43,'Données projet'!$A$113:$I$133,6,0)*VLOOKUP('Données projet'!$B$12,Paramètres!$A$1:$I$89,7,0))</f>
        <v>0.16500000000000001</v>
      </c>
      <c r="CJ43" s="16">
        <f>IF(ISNA(VLOOKUP(A43,'Données projet'!$A$113:$I$133,7,0)),0%,VLOOKUP(A43,'Données projet'!$A$113:$I$133,7,0))</f>
        <v>0.2</v>
      </c>
      <c r="CK43" s="21">
        <f>EXP(-LN(2)/35)*CK42+(1-EXP(-LN(2)/35))/(LN(2)/35)*CG43*CH43*VLOOKUP('Données projet'!$B$12,Paramètres!$A$1:$I$89,3,0)*0.475*44/12</f>
        <v>42.961184510577496</v>
      </c>
      <c r="CL43" s="21">
        <f>EXP(-LN(2)/25)*CL42+(1-EXP(-LN(2)/25))/(LN(2)/25)*Calculateur!CG43*Calculateur!CI43*VLOOKUP('Données projet'!$B$12,Paramètres!$A$1:$I$89,3,0)*0.475*44/12</f>
        <v>36.944293390488212</v>
      </c>
      <c r="CM43" s="21">
        <f>EXP(-LN(2)/2)*CM42+(1-EXP(-LN(2)/2))/(LN(2)/2)*CG43*CJ43*VLOOKUP('Données projet'!$B$12,Paramètres!$A$1:$I$89,3,0)*0.475*44/12</f>
        <v>10.235978961393389</v>
      </c>
      <c r="CN43" s="22">
        <f t="shared" si="12"/>
        <v>90.141456862459094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258.68215148478868</v>
      </c>
      <c r="T44" s="59">
        <f t="shared" si="34"/>
        <v>153.16792125610209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6.7500426011186176</v>
      </c>
      <c r="AA44" s="21">
        <f>EXP(-LN(2)/25)*AA43+(1-EXP(-LN(2)/25))/(LN(2)/25)*Calculateur!V44*Calculateur!X44*VLOOKUP('Données projet'!$B$9,Paramètres!$A$1:$I$89,3,0)*0.475*44/12</f>
        <v>1.3094602932449719</v>
      </c>
      <c r="AB44" s="21">
        <f>EXP(-LN(2)/2)*AB43+(1-EXP(-LN(2)/2))/(LN(2)/2)*V44*Y44*VLOOKUP('Données projet'!$B$9,Paramètres!$A$1:$I$89,3,0)*0.475*44/12</f>
        <v>1.7901378990891861</v>
      </c>
      <c r="AC44" s="22">
        <f t="shared" si="3"/>
        <v>9.8496407934527763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298.68533387773886</v>
      </c>
      <c r="AO44" s="59">
        <f t="shared" si="36"/>
        <v>176.04868734496114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7.5647029150467286</v>
      </c>
      <c r="AV44" s="21">
        <f>EXP(-LN(2)/25)*AV43+(1-EXP(-LN(2)/25))/(LN(2)/25)*Calculateur!AQ44*Calculateur!AS44*VLOOKUP('Données projet'!$B$10,Paramètres!$A$1:$I$89,3,0)*0.475*44/12</f>
        <v>1.4674986044986751</v>
      </c>
      <c r="AW44" s="21">
        <f>EXP(-LN(2)/2)*AW43+(1-EXP(-LN(2)/2))/(LN(2)/2)*AQ44*AT44*VLOOKUP('Données projet'!$B$10,Paramètres!$A$1:$I$89,3,0)*0.475*44/12</f>
        <v>2.0061890248413299</v>
      </c>
      <c r="AX44" s="21">
        <f t="shared" si="6"/>
        <v>11.038390544386733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214.31</v>
      </c>
      <c r="BB44" s="12">
        <f>VLOOKUP(A44,'Données projet'!$A$87:$I$107,9,0)</f>
        <v>8.84375</v>
      </c>
      <c r="BC44" s="12">
        <f t="array" ref="BC44">INDEX(BB:BB,MIN(IF(ISNUMBER(BB44:BB240),ROW(BB44:BB240),"")))</f>
        <v>8.84375</v>
      </c>
      <c r="BD44" s="12">
        <f>IF('Données projet'!$A$88&gt;35,BD43+BC44-BL43,IF(A44&lt;'Données projet'!$A$88,$BA$205^A44,IF(A44='Données projet'!$A$88,'Données projet'!$B$88,BD43+BC44-BL43)))</f>
        <v>214.31</v>
      </c>
      <c r="BE44" s="13">
        <f>BD44*VLOOKUP('Données projet'!$B$11,Paramètres!$A$1:$I$89,3,0)*VLOOKUP('Données projet'!$B$11,Paramètres!$A$1:$I$89,5,0)</f>
        <v>100.29708000000001</v>
      </c>
      <c r="BF44" s="13">
        <f t="shared" si="37"/>
        <v>27.032760538151237</v>
      </c>
      <c r="BG44" s="20">
        <f t="shared" si="7"/>
        <v>221.76613893728009</v>
      </c>
      <c r="BH44" s="59">
        <f t="shared" si="8"/>
        <v>515.09947227061343</v>
      </c>
      <c r="BI44" s="59">
        <f ca="1">AVERAGE(OFFSET($BH$3,0,0,'Données projet'!$E$11+1,1))-AVERAGE(OFFSET($H$3,0,0,'Données projet'!$E$11+1,1))</f>
        <v>83.62456509032836</v>
      </c>
      <c r="BJ44" s="59">
        <f t="shared" si="38"/>
        <v>131.53128089847871</v>
      </c>
      <c r="BK44" s="15">
        <f>IF(ISNA(VLOOKUP(A44,'Données projet'!$A$87:$I$107,3,0)),0,VLOOKUP(A44,'Données projet'!$A$87:$I$107,3,0))</f>
        <v>3</v>
      </c>
      <c r="BL44" s="15">
        <f>IF(ISNA(VLOOKUP(A44,'Données projet'!$A$87:$I$107,4,0)),0,VLOOKUP(A44,'Données projet'!$A$87:$I$107,4,0))</f>
        <v>85.55</v>
      </c>
      <c r="BM44" s="16">
        <f>IF(ISNA(VLOOKUP(A44,'Données projet'!$A$87:$I$107,5,0)),0%,VLOOKUP(A44,'Données projet'!$A$87:$I$107,5,0)*VLOOKUP('Données projet'!$B$11,Paramètres!$A$1:$I$89,7,0))</f>
        <v>0.22000000000000003</v>
      </c>
      <c r="BN44" s="16">
        <f>IF(ISNA(VLOOKUP(A44,'Données projet'!$A$87:$I$107,6,0)),0%,VLOOKUP(A44,'Données projet'!$A$87:$I$107,6,0)*VLOOKUP('Données projet'!$B$11,Paramètres!$A$1:$I$89,7,0))</f>
        <v>0.13750000000000001</v>
      </c>
      <c r="BO44" s="16">
        <f>IF(ISNA(VLOOKUP(A44,'Données projet'!$A$87:$I$107,7,0)),0%,VLOOKUP(A44,'Données projet'!$A$87:$I$107,7,0))</f>
        <v>0.35</v>
      </c>
      <c r="BP44" s="21">
        <f>EXP(-LN(2)/35)*BP43+(1-EXP(-LN(2)/35))/(LN(2)/35)*BL44*BM44*VLOOKUP('Données projet'!$B$11,Paramètres!$A$1:$I$89,3,0)*0.475*44/12</f>
        <v>11.684682180207313</v>
      </c>
      <c r="BQ44" s="21">
        <f>EXP(-LN(2)/25)*BQ43+(1-EXP(-LN(2)/25))/(LN(2)/25)*Calculateur!BL44*Calculateur!BN44*VLOOKUP('Données projet'!$B$11,Paramètres!$A$1:$I$89,3,0)*0.475*44/12</f>
        <v>13.214309460118635</v>
      </c>
      <c r="BR44" s="21">
        <f>EXP(-LN(2)/2)*BR43+(1-EXP(-LN(2)/2))/(LN(2)/2)*BL44*BO44*VLOOKUP('Données projet'!$B$11,Paramètres!$A$1:$I$89,3,0)*0.475*44/12</f>
        <v>16.732670559853702</v>
      </c>
      <c r="BS44" s="22">
        <f t="shared" si="9"/>
        <v>41.631662200179647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30.6</v>
      </c>
      <c r="BY44" s="12">
        <f>IF('Données projet'!$A$114&gt;35,BY43+BX44-CG43,IF(A44&lt;'Données projet'!$A$114,$BV$205^A44,IF(A44='Données projet'!$A$114,'Données projet'!$B$114,BY43+BX44-CG43)))</f>
        <v>528.59999999999991</v>
      </c>
      <c r="BZ44" s="13">
        <f>BY44*VLOOKUP('Données projet'!$B$12,Paramètres!$A$1:$I$89,3,0)*VLOOKUP('Données projet'!$B$12,Paramètres!$A$1:$I$89,5,0)</f>
        <v>233.6412</v>
      </c>
      <c r="CA44" s="13">
        <f t="shared" si="39"/>
        <v>57.0692729250814</v>
      </c>
      <c r="CB44" s="20">
        <f t="shared" si="10"/>
        <v>506.32074034451671</v>
      </c>
      <c r="CC44" s="59">
        <f t="shared" si="11"/>
        <v>799.65407367784996</v>
      </c>
      <c r="CD44" s="59">
        <f ca="1">AVERAGE(OFFSET($CC$3,0,0,'Données projet'!$E$12+1,1))-AVERAGE(OFFSET($H$3,0,0,'Données projet'!$E$12+1,1))</f>
        <v>415.83983761562189</v>
      </c>
      <c r="CE44" s="59">
        <f t="shared" si="40"/>
        <v>339.37869344688829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42.118741886060221</v>
      </c>
      <c r="CL44" s="21">
        <f>EXP(-LN(2)/25)*CL43+(1-EXP(-LN(2)/25))/(LN(2)/25)*Calculateur!CG44*Calculateur!CI44*VLOOKUP('Données projet'!$B$12,Paramètres!$A$1:$I$89,3,0)*0.475*44/12</f>
        <v>35.934049744909359</v>
      </c>
      <c r="CM44" s="21">
        <f>EXP(-LN(2)/2)*CM43+(1-EXP(-LN(2)/2))/(LN(2)/2)*CG44*CJ44*VLOOKUP('Données projet'!$B$12,Paramètres!$A$1:$I$89,3,0)*0.475*44/12</f>
        <v>7.2379301356840999</v>
      </c>
      <c r="CN44" s="22">
        <f t="shared" si="12"/>
        <v>85.290721766653675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258.68215148478868</v>
      </c>
      <c r="T45" s="59">
        <f t="shared" si="34"/>
        <v>153.16792125610209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6.6176783828301362</v>
      </c>
      <c r="AA45" s="21">
        <f>EXP(-LN(2)/25)*AA44+(1-EXP(-LN(2)/25))/(LN(2)/25)*Calculateur!V45*Calculateur!X45*VLOOKUP('Données projet'!$B$9,Paramètres!$A$1:$I$89,3,0)*0.475*44/12</f>
        <v>1.2736530326646642</v>
      </c>
      <c r="AB45" s="21">
        <f>EXP(-LN(2)/2)*AB44+(1-EXP(-LN(2)/2))/(LN(2)/2)*V45*Y45*VLOOKUP('Données projet'!$B$9,Paramètres!$A$1:$I$89,3,0)*0.475*44/12</f>
        <v>1.2658186477050031</v>
      </c>
      <c r="AC45" s="22">
        <f t="shared" si="3"/>
        <v>9.1571500631998042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298.68533387773886</v>
      </c>
      <c r="AO45" s="59">
        <f t="shared" si="36"/>
        <v>176.04868734496114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7.4163637048958444</v>
      </c>
      <c r="AV45" s="21">
        <f>EXP(-LN(2)/25)*AV44+(1-EXP(-LN(2)/25))/(LN(2)/25)*Calculateur!AQ45*Calculateur!AS45*VLOOKUP('Données projet'!$B$10,Paramètres!$A$1:$I$89,3,0)*0.475*44/12</f>
        <v>1.4273697779862613</v>
      </c>
      <c r="AW45" s="21">
        <f>EXP(-LN(2)/2)*AW44+(1-EXP(-LN(2)/2))/(LN(2)/2)*AQ45*AT45*VLOOKUP('Données projet'!$B$10,Paramètres!$A$1:$I$89,3,0)*0.475*44/12</f>
        <v>1.4185898638073315</v>
      </c>
      <c r="AX45" s="21">
        <f t="shared" si="6"/>
        <v>10.262323346689438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11.062727272727273</v>
      </c>
      <c r="BD45" s="12">
        <f>IF('Données projet'!$A$88&gt;35,BD44+BC45-BL44,IF(A45&lt;'Données projet'!$A$88,$BA$205^A45,IF(A45='Données projet'!$A$88,'Données projet'!$B$88,BD44+BC45-BL44)))</f>
        <v>139.82272727272726</v>
      </c>
      <c r="BE45" s="13">
        <f>BD45*VLOOKUP('Données projet'!$B$11,Paramètres!$A$1:$I$89,3,0)*VLOOKUP('Données projet'!$B$11,Paramètres!$A$1:$I$89,5,0)</f>
        <v>65.437036363636366</v>
      </c>
      <c r="BF45" s="13">
        <f t="shared" si="37"/>
        <v>18.535905951136645</v>
      </c>
      <c r="BG45" s="20">
        <f t="shared" si="7"/>
        <v>146.25287453156298</v>
      </c>
      <c r="BH45" s="59">
        <f t="shared" si="8"/>
        <v>439.58620786489632</v>
      </c>
      <c r="BI45" s="59">
        <f ca="1">AVERAGE(OFFSET($BH$3,0,0,'Données projet'!$E$11+1,1))-AVERAGE(OFFSET($H$3,0,0,'Données projet'!$E$11+1,1))</f>
        <v>83.62456509032836</v>
      </c>
      <c r="BJ45" s="59">
        <f t="shared" si="38"/>
        <v>131.53128089847871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11.455552689605849</v>
      </c>
      <c r="BQ45" s="21">
        <f>EXP(-LN(2)/25)*BQ44+(1-EXP(-LN(2)/25))/(LN(2)/25)*Calculateur!BL45*Calculateur!BN45*VLOOKUP('Données projet'!$B$11,Paramètres!$A$1:$I$89,3,0)*0.475*44/12</f>
        <v>12.852963473021358</v>
      </c>
      <c r="BR45" s="21">
        <f>EXP(-LN(2)/2)*BR44+(1-EXP(-LN(2)/2))/(LN(2)/2)*BL45*BO45*VLOOKUP('Données projet'!$B$11,Paramètres!$A$1:$I$89,3,0)*0.475*44/12</f>
        <v>11.831784820233057</v>
      </c>
      <c r="BS45" s="22">
        <f t="shared" si="9"/>
        <v>36.140300982860268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30.6</v>
      </c>
      <c r="BY45" s="12">
        <f>IF('Données projet'!$A$114&gt;35,BY44+BX45-CG44,IF(A45&lt;'Données projet'!$A$114,$BV$205^A45,IF(A45='Données projet'!$A$114,'Données projet'!$B$114,BY44+BX45-CG44)))</f>
        <v>559.19999999999993</v>
      </c>
      <c r="BZ45" s="13">
        <f>BY45*VLOOKUP('Données projet'!$B$12,Paramètres!$A$1:$I$89,3,0)*VLOOKUP('Données projet'!$B$12,Paramètres!$A$1:$I$89,5,0)</f>
        <v>247.16639999999998</v>
      </c>
      <c r="CA45" s="13">
        <f t="shared" si="39"/>
        <v>59.97876609639065</v>
      </c>
      <c r="CB45" s="20">
        <f t="shared" si="10"/>
        <v>534.9444976178803</v>
      </c>
      <c r="CC45" s="59">
        <f t="shared" si="11"/>
        <v>828.27783095121367</v>
      </c>
      <c r="CD45" s="59">
        <f ca="1">AVERAGE(OFFSET($CC$3,0,0,'Données projet'!$E$12+1,1))-AVERAGE(OFFSET($H$3,0,0,'Données projet'!$E$12+1,1))</f>
        <v>415.83983761562189</v>
      </c>
      <c r="CE45" s="59">
        <f t="shared" si="40"/>
        <v>339.37869344688829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41.292819047570461</v>
      </c>
      <c r="CL45" s="21">
        <f>EXP(-LN(2)/25)*CL44+(1-EXP(-LN(2)/25))/(LN(2)/25)*Calculateur!CG45*Calculateur!CI45*VLOOKUP('Données projet'!$B$12,Paramètres!$A$1:$I$89,3,0)*0.475*44/12</f>
        <v>34.951431264945263</v>
      </c>
      <c r="CM45" s="21">
        <f>EXP(-LN(2)/2)*CM44+(1-EXP(-LN(2)/2))/(LN(2)/2)*CG45*CJ45*VLOOKUP('Données projet'!$B$12,Paramètres!$A$1:$I$89,3,0)*0.475*44/12</f>
        <v>5.1179894806966955</v>
      </c>
      <c r="CN45" s="22">
        <f t="shared" si="12"/>
        <v>81.362239793212424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258.68215148478868</v>
      </c>
      <c r="T46" s="59">
        <f t="shared" si="34"/>
        <v>153.16792125610209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6.487909746128091</v>
      </c>
      <c r="AA46" s="21">
        <f>EXP(-LN(2)/25)*AA45+(1-EXP(-LN(2)/25))/(LN(2)/25)*Calculateur!V46*Calculateur!X46*VLOOKUP('Données projet'!$B$9,Paramètres!$A$1:$I$89,3,0)*0.475*44/12</f>
        <v>1.2388249235079469</v>
      </c>
      <c r="AB46" s="21">
        <f>EXP(-LN(2)/2)*AB45+(1-EXP(-LN(2)/2))/(LN(2)/2)*V46*Y46*VLOOKUP('Données projet'!$B$9,Paramètres!$A$1:$I$89,3,0)*0.475*44/12</f>
        <v>0.89506894954459315</v>
      </c>
      <c r="AC46" s="22">
        <f t="shared" si="3"/>
        <v>8.6218036191806302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298.68533387773886</v>
      </c>
      <c r="AO46" s="59">
        <f t="shared" si="36"/>
        <v>176.04868734496114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7.2709333361780351</v>
      </c>
      <c r="AV46" s="21">
        <f>EXP(-LN(2)/25)*AV45+(1-EXP(-LN(2)/25))/(LN(2)/25)*Calculateur!AQ46*Calculateur!AS46*VLOOKUP('Données projet'!$B$10,Paramètres!$A$1:$I$89,3,0)*0.475*44/12</f>
        <v>1.3883382763451126</v>
      </c>
      <c r="AW46" s="21">
        <f>EXP(-LN(2)/2)*AW45+(1-EXP(-LN(2)/2))/(LN(2)/2)*AQ46*AT46*VLOOKUP('Données projet'!$B$10,Paramètres!$A$1:$I$89,3,0)*0.475*44/12</f>
        <v>1.0030945124206652</v>
      </c>
      <c r="AX46" s="21">
        <f t="shared" si="6"/>
        <v>9.6623661249438122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11.062727272727273</v>
      </c>
      <c r="BD46" s="12">
        <f>IF('Données projet'!$A$88&gt;35,BD45+BC46-BL45,IF(A46&lt;'Données projet'!$A$88,$BA$205^A46,IF(A46='Données projet'!$A$88,'Données projet'!$B$88,BD45+BC46-BL45)))</f>
        <v>150.88545454545454</v>
      </c>
      <c r="BE46" s="13">
        <f>BD46*VLOOKUP('Données projet'!$B$11,Paramètres!$A$1:$I$89,3,0)*VLOOKUP('Données projet'!$B$11,Paramètres!$A$1:$I$89,5,0)</f>
        <v>70.61439272727273</v>
      </c>
      <c r="BF46" s="13">
        <f t="shared" si="37"/>
        <v>19.825955253764139</v>
      </c>
      <c r="BG46" s="20">
        <f t="shared" si="7"/>
        <v>157.51693940030586</v>
      </c>
      <c r="BH46" s="59">
        <f t="shared" si="8"/>
        <v>450.85027273363914</v>
      </c>
      <c r="BI46" s="59">
        <f ca="1">AVERAGE(OFFSET($BH$3,0,0,'Données projet'!$E$11+1,1))-AVERAGE(OFFSET($H$3,0,0,'Données projet'!$E$11+1,1))</f>
        <v>83.62456509032836</v>
      </c>
      <c r="BJ46" s="59">
        <f t="shared" si="38"/>
        <v>131.53128089847871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11.230916288559891</v>
      </c>
      <c r="BQ46" s="21">
        <f>EXP(-LN(2)/25)*BQ45+(1-EXP(-LN(2)/25))/(LN(2)/25)*Calculateur!BL46*Calculateur!BN46*VLOOKUP('Données projet'!$B$11,Paramètres!$A$1:$I$89,3,0)*0.475*44/12</f>
        <v>12.501498510943616</v>
      </c>
      <c r="BR46" s="21">
        <f>EXP(-LN(2)/2)*BR45+(1-EXP(-LN(2)/2))/(LN(2)/2)*BL46*BO46*VLOOKUP('Données projet'!$B$11,Paramètres!$A$1:$I$89,3,0)*0.475*44/12</f>
        <v>8.3663352799268509</v>
      </c>
      <c r="BS46" s="22">
        <f t="shared" si="9"/>
        <v>32.09875007943036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30.6</v>
      </c>
      <c r="BY46" s="12">
        <f>IF('Données projet'!$A$114&gt;35,BY45+BX46-CG45,IF(A46&lt;'Données projet'!$A$114,$BV$205^A46,IF(A46='Données projet'!$A$114,'Données projet'!$B$114,BY45+BX46-CG45)))</f>
        <v>589.79999999999995</v>
      </c>
      <c r="BZ46" s="13">
        <f>BY46*VLOOKUP('Données projet'!$B$12,Paramètres!$A$1:$I$89,3,0)*VLOOKUP('Données projet'!$B$12,Paramètres!$A$1:$I$89,5,0)</f>
        <v>260.69160000000005</v>
      </c>
      <c r="CA46" s="13">
        <f t="shared" si="39"/>
        <v>62.869776327967045</v>
      </c>
      <c r="CB46" s="20">
        <f t="shared" si="10"/>
        <v>563.53606377120934</v>
      </c>
      <c r="CC46" s="59">
        <f t="shared" si="11"/>
        <v>856.86939710454271</v>
      </c>
      <c r="CD46" s="59">
        <f ca="1">AVERAGE(OFFSET($CC$3,0,0,'Données projet'!$E$12+1,1))-AVERAGE(OFFSET($H$3,0,0,'Données projet'!$E$12+1,1))</f>
        <v>415.83983761562189</v>
      </c>
      <c r="CE46" s="59">
        <f t="shared" si="40"/>
        <v>339.37869344688829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40.483092052180297</v>
      </c>
      <c r="CL46" s="21">
        <f>EXP(-LN(2)/25)*CL45+(1-EXP(-LN(2)/25))/(LN(2)/25)*Calculateur!CG46*Calculateur!CI46*VLOOKUP('Données projet'!$B$12,Paramètres!$A$1:$I$89,3,0)*0.475*44/12</f>
        <v>33.995682538989449</v>
      </c>
      <c r="CM46" s="21">
        <f>EXP(-LN(2)/2)*CM45+(1-EXP(-LN(2)/2))/(LN(2)/2)*CG46*CJ46*VLOOKUP('Données projet'!$B$12,Paramètres!$A$1:$I$89,3,0)*0.475*44/12</f>
        <v>3.6189650678420504</v>
      </c>
      <c r="CN46" s="22">
        <f t="shared" si="12"/>
        <v>78.097739659011808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258.68215148478868</v>
      </c>
      <c r="T47" s="59">
        <f t="shared" si="34"/>
        <v>153.16792125610209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6.3606857932407195</v>
      </c>
      <c r="AA47" s="21">
        <f>EXP(-LN(2)/25)*AA46+(1-EXP(-LN(2)/25))/(LN(2)/25)*Calculateur!V47*Calculateur!X47*VLOOKUP('Données projet'!$B$9,Paramètres!$A$1:$I$89,3,0)*0.475*44/12</f>
        <v>1.2049491908276508</v>
      </c>
      <c r="AB47" s="21">
        <f>EXP(-LN(2)/2)*AB46+(1-EXP(-LN(2)/2))/(LN(2)/2)*V47*Y47*VLOOKUP('Données projet'!$B$9,Paramètres!$A$1:$I$89,3,0)*0.475*44/12</f>
        <v>0.63290932385250165</v>
      </c>
      <c r="AC47" s="22">
        <f t="shared" si="3"/>
        <v>8.1985443079208711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298.68533387773886</v>
      </c>
      <c r="AO47" s="59">
        <f t="shared" si="36"/>
        <v>176.04868734496114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7.1283547682870152</v>
      </c>
      <c r="AV47" s="21">
        <f>EXP(-LN(2)/25)*AV46+(1-EXP(-LN(2)/25))/(LN(2)/25)*Calculateur!AQ47*Calculateur!AS47*VLOOKUP('Données projet'!$B$10,Paramètres!$A$1:$I$89,3,0)*0.475*44/12</f>
        <v>1.3503740931689188</v>
      </c>
      <c r="AW47" s="21">
        <f>EXP(-LN(2)/2)*AW46+(1-EXP(-LN(2)/2))/(LN(2)/2)*AQ47*AT47*VLOOKUP('Données projet'!$B$10,Paramètres!$A$1:$I$89,3,0)*0.475*44/12</f>
        <v>0.70929493190366588</v>
      </c>
      <c r="AX47" s="21">
        <f t="shared" si="6"/>
        <v>9.1880237933595996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11.062727272727273</v>
      </c>
      <c r="BD47" s="12">
        <f>IF('Données projet'!$A$88&gt;35,BD46+BC47-BL46,IF(A47&lt;'Données projet'!$A$88,$BA$205^A47,IF(A47='Données projet'!$A$88,'Données projet'!$B$88,BD46+BC47-BL46)))</f>
        <v>161.94818181818181</v>
      </c>
      <c r="BE47" s="13">
        <f>BD47*VLOOKUP('Données projet'!$B$11,Paramètres!$A$1:$I$89,3,0)*VLOOKUP('Données projet'!$B$11,Paramètres!$A$1:$I$89,5,0)</f>
        <v>75.791749090909079</v>
      </c>
      <c r="BF47" s="13">
        <f t="shared" si="37"/>
        <v>21.105031364851143</v>
      </c>
      <c r="BG47" s="20">
        <f t="shared" si="7"/>
        <v>168.76189262711571</v>
      </c>
      <c r="BH47" s="59">
        <f t="shared" si="8"/>
        <v>462.09522596044906</v>
      </c>
      <c r="BI47" s="59">
        <f ca="1">AVERAGE(OFFSET($BH$3,0,0,'Données projet'!$E$11+1,1))-AVERAGE(OFFSET($H$3,0,0,'Données projet'!$E$11+1,1))</f>
        <v>83.62456509032836</v>
      </c>
      <c r="BJ47" s="59">
        <f t="shared" si="38"/>
        <v>131.53128089847871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11.010684870323768</v>
      </c>
      <c r="BQ47" s="21">
        <f>EXP(-LN(2)/25)*BQ46+(1-EXP(-LN(2)/25))/(LN(2)/25)*Calculateur!BL47*Calculateur!BN47*VLOOKUP('Données projet'!$B$11,Paramètres!$A$1:$I$89,3,0)*0.475*44/12</f>
        <v>12.15964437673663</v>
      </c>
      <c r="BR47" s="21">
        <f>EXP(-LN(2)/2)*BR46+(1-EXP(-LN(2)/2))/(LN(2)/2)*BL47*BO47*VLOOKUP('Données projet'!$B$11,Paramètres!$A$1:$I$89,3,0)*0.475*44/12</f>
        <v>5.9158924101165287</v>
      </c>
      <c r="BS47" s="22">
        <f t="shared" si="9"/>
        <v>29.086221657176928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30.6</v>
      </c>
      <c r="BY47" s="12">
        <f>IF('Données projet'!$A$114&gt;35,BY46+BX47-CG46,IF(A47&lt;'Données projet'!$A$114,$BV$205^A47,IF(A47='Données projet'!$A$114,'Données projet'!$B$114,BY46+BX47-CG46)))</f>
        <v>620.4</v>
      </c>
      <c r="BZ47" s="13">
        <f>BY47*VLOOKUP('Données projet'!$B$12,Paramètres!$A$1:$I$89,3,0)*VLOOKUP('Données projet'!$B$12,Paramètres!$A$1:$I$89,5,0)</f>
        <v>274.21680000000003</v>
      </c>
      <c r="CA47" s="13">
        <f t="shared" si="39"/>
        <v>65.743371927752975</v>
      </c>
      <c r="CB47" s="20">
        <f t="shared" si="10"/>
        <v>592.09729944083642</v>
      </c>
      <c r="CC47" s="59">
        <f t="shared" si="11"/>
        <v>885.43063277416968</v>
      </c>
      <c r="CD47" s="59">
        <f ca="1">AVERAGE(OFFSET($CC$3,0,0,'Données projet'!$E$12+1,1))-AVERAGE(OFFSET($H$3,0,0,'Données projet'!$E$12+1,1))</f>
        <v>415.83983761562189</v>
      </c>
      <c r="CE47" s="59">
        <f t="shared" si="40"/>
        <v>339.37869344688829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39.689243309285033</v>
      </c>
      <c r="CL47" s="21">
        <f>EXP(-LN(2)/25)*CL46+(1-EXP(-LN(2)/25))/(LN(2)/25)*Calculateur!CG47*Calculateur!CI47*VLOOKUP('Données projet'!$B$12,Paramètres!$A$1:$I$89,3,0)*0.475*44/12</f>
        <v>33.066068812205536</v>
      </c>
      <c r="CM47" s="21">
        <f>EXP(-LN(2)/2)*CM46+(1-EXP(-LN(2)/2))/(LN(2)/2)*CG47*CJ47*VLOOKUP('Données projet'!$B$12,Paramètres!$A$1:$I$89,3,0)*0.475*44/12</f>
        <v>2.5589947403483482</v>
      </c>
      <c r="CN47" s="22">
        <f t="shared" si="12"/>
        <v>75.314306861838915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258.68215148478868</v>
      </c>
      <c r="T48" s="59">
        <f t="shared" si="34"/>
        <v>153.16792125610209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0.25800000000000001</v>
      </c>
      <c r="X48" s="16">
        <f>IF(ISNA(VLOOKUP(A48,'Données projet'!$A$35:$I$55,6,0)),0%,VLOOKUP(A48,'Données projet'!$A$35:$I$55,6,0)*VLOOKUP('Données projet'!$B$9,Paramètres!$A$1:$I$89,7,0))</f>
        <v>1.72E-2</v>
      </c>
      <c r="Y48" s="16">
        <f>IF(ISNA(VLOOKUP(A48,'Données projet'!$A$35:$I$55,7,0)),0%,VLOOKUP(A48,'Données projet'!$A$35:$I$55,7,0))</f>
        <v>0.06</v>
      </c>
      <c r="Z48" s="21">
        <f>EXP(-LN(2)/35)*Z47+(1-EXP(-LN(2)/35))/(LN(2)/35)*V48*W48*VLOOKUP('Données projet'!$B$9,Paramètres!$A$1:$I$89,3,0)*0.475*44/12</f>
        <v>11.655200594027377</v>
      </c>
      <c r="AA48" s="21">
        <f>EXP(-LN(2)/25)*AA47+(1-EXP(-LN(2)/25))/(LN(2)/25)*Calculateur!V48*Calculateur!X48*VLOOKUP('Données projet'!$B$9,Paramètres!$A$1:$I$89,3,0)*0.475*44/12</f>
        <v>1.531860214582603</v>
      </c>
      <c r="AB48" s="21">
        <f>EXP(-LN(2)/2)*AB47+(1-EXP(-LN(2)/2))/(LN(2)/2)*V48*Y48*VLOOKUP('Données projet'!$B$9,Paramètres!$A$1:$I$89,3,0)*0.475*44/12</f>
        <v>1.5232004467143401</v>
      </c>
      <c r="AC48" s="22">
        <f t="shared" si="3"/>
        <v>14.710261255324319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298.68533387773886</v>
      </c>
      <c r="AO48" s="59">
        <f t="shared" si="36"/>
        <v>176.04868734496114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1.72E-2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13.061862734685857</v>
      </c>
      <c r="AV48" s="21">
        <f>EXP(-LN(2)/25)*AV47+(1-EXP(-LN(2)/25))/(LN(2)/25)*Calculateur!AQ48*Calculateur!AS48*VLOOKUP('Données projet'!$B$10,Paramètres!$A$1:$I$89,3,0)*0.475*44/12</f>
        <v>1.716739895652917</v>
      </c>
      <c r="AW48" s="21">
        <f>EXP(-LN(2)/2)*AW47+(1-EXP(-LN(2)/2))/(LN(2)/2)*AQ48*AT48*VLOOKUP('Données projet'!$B$10,Paramètres!$A$1:$I$89,3,0)*0.475*44/12</f>
        <v>1.7070349833867611</v>
      </c>
      <c r="AX48" s="21">
        <f t="shared" si="6"/>
        <v>16.485637613725537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11.062727272727273</v>
      </c>
      <c r="BD48" s="12">
        <f>IF('Données projet'!$A$88&gt;35,BD47+BC48-BL47,IF(A48&lt;'Données projet'!$A$88,$BA$205^A48,IF(A48='Données projet'!$A$88,'Données projet'!$B$88,BD47+BC48-BL47)))</f>
        <v>173.01090909090908</v>
      </c>
      <c r="BE48" s="13">
        <f>BD48*VLOOKUP('Données projet'!$B$11,Paramètres!$A$1:$I$89,3,0)*VLOOKUP('Données projet'!$B$11,Paramètres!$A$1:$I$89,5,0)</f>
        <v>80.969105454545456</v>
      </c>
      <c r="BF48" s="13">
        <f t="shared" si="37"/>
        <v>22.373969142259156</v>
      </c>
      <c r="BG48" s="20">
        <f t="shared" si="7"/>
        <v>179.98918825610136</v>
      </c>
      <c r="BH48" s="59">
        <f t="shared" si="8"/>
        <v>473.3225215894347</v>
      </c>
      <c r="BI48" s="59">
        <f ca="1">AVERAGE(OFFSET($BH$3,0,0,'Données projet'!$E$11+1,1))-AVERAGE(OFFSET($H$3,0,0,'Données projet'!$E$11+1,1))</f>
        <v>83.62456509032836</v>
      </c>
      <c r="BJ48" s="59">
        <f t="shared" si="38"/>
        <v>131.53128089847871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10.794772055871354</v>
      </c>
      <c r="BQ48" s="21">
        <f>EXP(-LN(2)/25)*BQ47+(1-EXP(-LN(2)/25))/(LN(2)/25)*Calculateur!BL48*Calculateur!BN48*VLOOKUP('Données projet'!$B$11,Paramètres!$A$1:$I$89,3,0)*0.475*44/12</f>
        <v>11.82713826180686</v>
      </c>
      <c r="BR48" s="21">
        <f>EXP(-LN(2)/2)*BR47+(1-EXP(-LN(2)/2))/(LN(2)/2)*BL48*BO48*VLOOKUP('Données projet'!$B$11,Paramètres!$A$1:$I$89,3,0)*0.475*44/12</f>
        <v>4.1831676399634254</v>
      </c>
      <c r="BS48" s="22">
        <f t="shared" si="9"/>
        <v>26.80507795764164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651</v>
      </c>
      <c r="BW48" s="12">
        <f>VLOOKUP(A48,'Données projet'!$A$113:$I$133,9,0)</f>
        <v>30.6</v>
      </c>
      <c r="BX48" s="12">
        <f t="array" ref="BX48">INDEX(BW:BW,MIN(IF(ISNUMBER(BW48:BW244),ROW(BW48:BW244),"")))</f>
        <v>30.6</v>
      </c>
      <c r="BY48" s="12">
        <f>IF('Données projet'!$A$114&gt;35,BY47+BX48-CG47,IF(A48&lt;'Données projet'!$A$114,$BV$205^A48,IF(A48='Données projet'!$A$114,'Données projet'!$B$114,BY47+BX48-CG47)))</f>
        <v>651</v>
      </c>
      <c r="BZ48" s="13">
        <f>BY48*VLOOKUP('Données projet'!$B$12,Paramètres!$A$1:$I$89,3,0)*VLOOKUP('Données projet'!$B$12,Paramètres!$A$1:$I$89,5,0)</f>
        <v>287.74200000000002</v>
      </c>
      <c r="CA48" s="13">
        <f t="shared" si="39"/>
        <v>68.600509865830645</v>
      </c>
      <c r="CB48" s="20">
        <f t="shared" si="10"/>
        <v>620.62987134965499</v>
      </c>
      <c r="CC48" s="59">
        <f t="shared" si="11"/>
        <v>913.96320468298836</v>
      </c>
      <c r="CD48" s="59">
        <f ca="1">AVERAGE(OFFSET($CC$3,0,0,'Données projet'!$E$12+1,1))-AVERAGE(OFFSET($H$3,0,0,'Données projet'!$E$12+1,1))</f>
        <v>415.83983761562189</v>
      </c>
      <c r="CE48" s="59">
        <f t="shared" si="40"/>
        <v>339.37869344688829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69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0.16500000000000001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50.036791215586682</v>
      </c>
      <c r="CL48" s="21">
        <f>EXP(-LN(2)/25)*CL47+(1-EXP(-LN(2)/25))/(LN(2)/25)*Calculateur!CG48*Calculateur!CI48*VLOOKUP('Données projet'!$B$12,Paramètres!$A$1:$I$89,3,0)*0.475*44/12</f>
        <v>38.811089298773879</v>
      </c>
      <c r="CM48" s="21">
        <f>EXP(-LN(2)/2)*CM47+(1-EXP(-LN(2)/2))/(LN(2)/2)*CG48*CJ48*VLOOKUP('Données projet'!$B$12,Paramètres!$A$1:$I$89,3,0)*0.475*44/12</f>
        <v>8.7156466559134564</v>
      </c>
      <c r="CN48" s="22">
        <f t="shared" si="12"/>
        <v>97.563527170274014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258.68215148478868</v>
      </c>
      <c r="T49" s="59">
        <f t="shared" si="34"/>
        <v>153.16792125610209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11.42664921934891</v>
      </c>
      <c r="AA49" s="21">
        <f>EXP(-LN(2)/25)*AA48+(1-EXP(-LN(2)/25))/(LN(2)/25)*Calculateur!V49*Calculateur!X49*VLOOKUP('Données projet'!$B$9,Paramètres!$A$1:$I$89,3,0)*0.475*44/12</f>
        <v>1.4899714164578142</v>
      </c>
      <c r="AB49" s="21">
        <f>EXP(-LN(2)/2)*AB48+(1-EXP(-LN(2)/2))/(LN(2)/2)*V49*Y49*VLOOKUP('Données projet'!$B$9,Paramètres!$A$1:$I$89,3,0)*0.475*44/12</f>
        <v>1.0770653649780884</v>
      </c>
      <c r="AC49" s="22">
        <f t="shared" si="3"/>
        <v>13.993686000784813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298.68533387773886</v>
      </c>
      <c r="AO49" s="59">
        <f t="shared" si="36"/>
        <v>176.04868734496114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12.805727573408264</v>
      </c>
      <c r="AV49" s="21">
        <f>EXP(-LN(2)/25)*AV48+(1-EXP(-LN(2)/25))/(LN(2)/25)*Calculateur!AQ49*Calculateur!AS49*VLOOKUP('Données projet'!$B$10,Paramètres!$A$1:$I$89,3,0)*0.475*44/12</f>
        <v>1.6697955529268604</v>
      </c>
      <c r="AW49" s="21">
        <f>EXP(-LN(2)/2)*AW48+(1-EXP(-LN(2)/2))/(LN(2)/2)*AQ49*AT49*VLOOKUP('Données projet'!$B$10,Paramètres!$A$1:$I$89,3,0)*0.475*44/12</f>
        <v>1.2070560124754444</v>
      </c>
      <c r="AX49" s="21">
        <f t="shared" si="6"/>
        <v>15.682579138810569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11.062727272727273</v>
      </c>
      <c r="BD49" s="12">
        <f>IF('Données projet'!$A$88&gt;35,BD48+BC49-BL48,IF(A49&lt;'Données projet'!$A$88,$BA$205^A49,IF(A49='Données projet'!$A$88,'Données projet'!$B$88,BD48+BC49-BL48)))</f>
        <v>184.07363636363635</v>
      </c>
      <c r="BE49" s="13">
        <f>BD49*VLOOKUP('Données projet'!$B$11,Paramètres!$A$1:$I$89,3,0)*VLOOKUP('Données projet'!$B$11,Paramètres!$A$1:$I$89,5,0)</f>
        <v>86.146461818181805</v>
      </c>
      <c r="BF49" s="13">
        <f t="shared" si="37"/>
        <v>23.63349064212241</v>
      </c>
      <c r="BG49" s="20">
        <f t="shared" si="7"/>
        <v>191.20008386836318</v>
      </c>
      <c r="BH49" s="59">
        <f t="shared" si="8"/>
        <v>484.53341720169647</v>
      </c>
      <c r="BI49" s="59">
        <f ca="1">AVERAGE(OFFSET($BH$3,0,0,'Données projet'!$E$11+1,1))-AVERAGE(OFFSET($H$3,0,0,'Données projet'!$E$11+1,1))</f>
        <v>83.62456509032836</v>
      </c>
      <c r="BJ49" s="59">
        <f t="shared" si="38"/>
        <v>131.53128089847871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10.583093160016539</v>
      </c>
      <c r="BQ49" s="21">
        <f>EXP(-LN(2)/25)*BQ48+(1-EXP(-LN(2)/25))/(LN(2)/25)*Calculateur!BL49*Calculateur!BN49*VLOOKUP('Données projet'!$B$11,Paramètres!$A$1:$I$89,3,0)*0.475*44/12</f>
        <v>11.503724544075581</v>
      </c>
      <c r="BR49" s="21">
        <f>EXP(-LN(2)/2)*BR48+(1-EXP(-LN(2)/2))/(LN(2)/2)*BL49*BO49*VLOOKUP('Données projet'!$B$11,Paramètres!$A$1:$I$89,3,0)*0.475*44/12</f>
        <v>2.9579462050582643</v>
      </c>
      <c r="BS49" s="22">
        <f t="shared" si="9"/>
        <v>25.044763909150383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27.4</v>
      </c>
      <c r="BY49" s="12">
        <f>IF('Données projet'!$A$114&gt;35,BY48+BX49-CG48,IF(A49&lt;'Données projet'!$A$114,$BV$205^A49,IF(A49='Données projet'!$A$114,'Données projet'!$B$114,BY48+BX49-CG48)))</f>
        <v>609.4</v>
      </c>
      <c r="BZ49" s="13">
        <f>BY49*VLOOKUP('Données projet'!$B$12,Paramètres!$A$1:$I$89,3,0)*VLOOKUP('Données projet'!$B$12,Paramètres!$A$1:$I$89,5,0)</f>
        <v>269.35480000000001</v>
      </c>
      <c r="CA49" s="13">
        <f t="shared" si="39"/>
        <v>64.712322503706446</v>
      </c>
      <c r="CB49" s="20">
        <f t="shared" si="10"/>
        <v>581.83357169395538</v>
      </c>
      <c r="CC49" s="59">
        <f t="shared" si="11"/>
        <v>875.16690502728875</v>
      </c>
      <c r="CD49" s="59">
        <f ca="1">AVERAGE(OFFSET($CC$3,0,0,'Données projet'!$E$12+1,1))-AVERAGE(OFFSET($H$3,0,0,'Données projet'!$E$12+1,1))</f>
        <v>415.83983761562189</v>
      </c>
      <c r="CE49" s="59">
        <f t="shared" si="40"/>
        <v>339.37869344688829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49.055600259278123</v>
      </c>
      <c r="CL49" s="21">
        <f>EXP(-LN(2)/25)*CL48+(1-EXP(-LN(2)/25))/(LN(2)/25)*Calculateur!CG49*Calculateur!CI49*VLOOKUP('Données projet'!$B$12,Paramètres!$A$1:$I$89,3,0)*0.475*44/12</f>
        <v>37.749798020912422</v>
      </c>
      <c r="CM49" s="21">
        <f>EXP(-LN(2)/2)*CM48+(1-EXP(-LN(2)/2))/(LN(2)/2)*CG49*CJ49*VLOOKUP('Données projet'!$B$12,Paramètres!$A$1:$I$89,3,0)*0.475*44/12</f>
        <v>6.162892852822262</v>
      </c>
      <c r="CN49" s="22">
        <f t="shared" si="12"/>
        <v>92.968291133012812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258.68215148478868</v>
      </c>
      <c r="T50" s="59">
        <f t="shared" si="34"/>
        <v>153.16792125610209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11.202579597725315</v>
      </c>
      <c r="AA50" s="21">
        <f>EXP(-LN(2)/25)*AA49+(1-EXP(-LN(2)/25))/(LN(2)/25)*Calculateur!V50*Calculateur!X50*VLOOKUP('Données projet'!$B$9,Paramètres!$A$1:$I$89,3,0)*0.475*44/12</f>
        <v>1.4492280697205839</v>
      </c>
      <c r="AB50" s="21">
        <f>EXP(-LN(2)/2)*AB49+(1-EXP(-LN(2)/2))/(LN(2)/2)*V50*Y50*VLOOKUP('Données projet'!$B$9,Paramètres!$A$1:$I$89,3,0)*0.475*44/12</f>
        <v>0.76160022335717015</v>
      </c>
      <c r="AC50" s="22">
        <f t="shared" si="3"/>
        <v>13.41340789080307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298.68533387773886</v>
      </c>
      <c r="AO50" s="59">
        <f t="shared" si="36"/>
        <v>176.04868734496114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12.554615066416304</v>
      </c>
      <c r="AV50" s="21">
        <f>EXP(-LN(2)/25)*AV49+(1-EXP(-LN(2)/25))/(LN(2)/25)*Calculateur!AQ50*Calculateur!AS50*VLOOKUP('Données projet'!$B$10,Paramètres!$A$1:$I$89,3,0)*0.475*44/12</f>
        <v>1.6241349057213437</v>
      </c>
      <c r="AW50" s="21">
        <f>EXP(-LN(2)/2)*AW49+(1-EXP(-LN(2)/2))/(LN(2)/2)*AQ50*AT50*VLOOKUP('Données projet'!$B$10,Paramètres!$A$1:$I$89,3,0)*0.475*44/12</f>
        <v>0.85351749169338065</v>
      </c>
      <c r="AX50" s="21">
        <f t="shared" si="6"/>
        <v>15.032267463831028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11.062727272727273</v>
      </c>
      <c r="BD50" s="12">
        <f>IF('Données projet'!$A$88&gt;35,BD49+BC50-BL49,IF(A50&lt;'Données projet'!$A$88,$BA$205^A50,IF(A50='Données projet'!$A$88,'Données projet'!$B$88,BD49+BC50-BL49)))</f>
        <v>195.13636363636363</v>
      </c>
      <c r="BE50" s="13">
        <f>BD50*VLOOKUP('Données projet'!$B$11,Paramètres!$A$1:$I$89,3,0)*VLOOKUP('Données projet'!$B$11,Paramètres!$A$1:$I$89,5,0)</f>
        <v>91.323818181818169</v>
      </c>
      <c r="BF50" s="13">
        <f t="shared" si="37"/>
        <v>24.884226226629711</v>
      </c>
      <c r="BG50" s="20">
        <f t="shared" si="7"/>
        <v>202.39567734471336</v>
      </c>
      <c r="BH50" s="59">
        <f t="shared" si="8"/>
        <v>495.72901067804668</v>
      </c>
      <c r="BI50" s="59">
        <f ca="1">AVERAGE(OFFSET($BH$3,0,0,'Données projet'!$E$11+1,1))-AVERAGE(OFFSET($H$3,0,0,'Données projet'!$E$11+1,1))</f>
        <v>83.62456509032836</v>
      </c>
      <c r="BJ50" s="59">
        <f t="shared" si="38"/>
        <v>131.53128089847871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10.375565158198059</v>
      </c>
      <c r="BQ50" s="21">
        <f>EXP(-LN(2)/25)*BQ49+(1-EXP(-LN(2)/25))/(LN(2)/25)*Calculateur!BL50*Calculateur!BN50*VLOOKUP('Données projet'!$B$11,Paramètres!$A$1:$I$89,3,0)*0.475*44/12</f>
        <v>11.189154591463252</v>
      </c>
      <c r="BR50" s="21">
        <f>EXP(-LN(2)/2)*BR49+(1-EXP(-LN(2)/2))/(LN(2)/2)*BL50*BO50*VLOOKUP('Données projet'!$B$11,Paramètres!$A$1:$I$89,3,0)*0.475*44/12</f>
        <v>2.0915838199817127</v>
      </c>
      <c r="BS50" s="22">
        <f t="shared" si="9"/>
        <v>23.656303569643022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27.4</v>
      </c>
      <c r="BY50" s="12">
        <f>IF('Données projet'!$A$114&gt;35,BY49+BX50-CG49,IF(A50&lt;'Données projet'!$A$114,$BV$205^A50,IF(A50='Données projet'!$A$114,'Données projet'!$B$114,BY49+BX50-CG49)))</f>
        <v>636.79999999999995</v>
      </c>
      <c r="BZ50" s="13">
        <f>BY50*VLOOKUP('Données projet'!$B$12,Paramètres!$A$1:$I$89,3,0)*VLOOKUP('Données projet'!$B$12,Paramètres!$A$1:$I$89,5,0)</f>
        <v>281.46559999999999</v>
      </c>
      <c r="CA50" s="13">
        <f t="shared" si="39"/>
        <v>67.276638122675294</v>
      </c>
      <c r="CB50" s="20">
        <f t="shared" si="10"/>
        <v>607.39273139699276</v>
      </c>
      <c r="CC50" s="59">
        <f t="shared" si="11"/>
        <v>900.72606473032602</v>
      </c>
      <c r="CD50" s="59">
        <f ca="1">AVERAGE(OFFSET($CC$3,0,0,'Données projet'!$E$12+1,1))-AVERAGE(OFFSET($H$3,0,0,'Données projet'!$E$12+1,1))</f>
        <v>415.83983761562189</v>
      </c>
      <c r="CE50" s="59">
        <f t="shared" si="40"/>
        <v>339.37869344688829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48.093649859155384</v>
      </c>
      <c r="CL50" s="21">
        <f>EXP(-LN(2)/25)*CL49+(1-EXP(-LN(2)/25))/(LN(2)/25)*Calculateur!CG50*Calculateur!CI50*VLOOKUP('Données projet'!$B$12,Paramètres!$A$1:$I$89,3,0)*0.475*44/12</f>
        <v>36.717527808854975</v>
      </c>
      <c r="CM50" s="21">
        <f>EXP(-LN(2)/2)*CM49+(1-EXP(-LN(2)/2))/(LN(2)/2)*CG50*CJ50*VLOOKUP('Données projet'!$B$12,Paramètres!$A$1:$I$89,3,0)*0.475*44/12</f>
        <v>4.3578233279567291</v>
      </c>
      <c r="CN50" s="22">
        <f t="shared" si="12"/>
        <v>89.169000995967082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258.68215148478868</v>
      </c>
      <c r="T51" s="59">
        <f t="shared" si="34"/>
        <v>153.16792125610209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10.982903844712784</v>
      </c>
      <c r="AA51" s="21">
        <f>EXP(-LN(2)/25)*AA50+(1-EXP(-LN(2)/25))/(LN(2)/25)*Calculateur!V51*Calculateur!X51*VLOOKUP('Données projet'!$B$9,Paramètres!$A$1:$I$89,3,0)*0.475*44/12</f>
        <v>1.4095988519424827</v>
      </c>
      <c r="AB51" s="21">
        <f>EXP(-LN(2)/2)*AB50+(1-EXP(-LN(2)/2))/(LN(2)/2)*V51*Y51*VLOOKUP('Données projet'!$B$9,Paramètres!$A$1:$I$89,3,0)*0.475*44/12</f>
        <v>0.53853268248904429</v>
      </c>
      <c r="AC51" s="22">
        <f t="shared" si="3"/>
        <v>12.931035379144312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298.68533387773886</v>
      </c>
      <c r="AO51" s="59">
        <f t="shared" si="36"/>
        <v>176.04868734496114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12.308426722522949</v>
      </c>
      <c r="AV51" s="21">
        <f>EXP(-LN(2)/25)*AV50+(1-EXP(-LN(2)/25))/(LN(2)/25)*Calculateur!AQ51*Calculateur!AS51*VLOOKUP('Données projet'!$B$10,Paramètres!$A$1:$I$89,3,0)*0.475*44/12</f>
        <v>1.5797228513148509</v>
      </c>
      <c r="AW51" s="21">
        <f>EXP(-LN(2)/2)*AW50+(1-EXP(-LN(2)/2))/(LN(2)/2)*AQ51*AT51*VLOOKUP('Données projet'!$B$10,Paramètres!$A$1:$I$89,3,0)*0.475*44/12</f>
        <v>0.60352800623772229</v>
      </c>
      <c r="AX51" s="21">
        <f t="shared" si="6"/>
        <v>14.491677580075523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11.062727272727273</v>
      </c>
      <c r="BD51" s="12">
        <f>IF('Données projet'!$A$88&gt;35,BD50+BC51-BL50,IF(A51&lt;'Données projet'!$A$88,$BA$205^A51,IF(A51='Données projet'!$A$88,'Données projet'!$B$88,BD50+BC51-BL50)))</f>
        <v>206.1990909090909</v>
      </c>
      <c r="BE51" s="13">
        <f>BD51*VLOOKUP('Données projet'!$B$11,Paramètres!$A$1:$I$89,3,0)*VLOOKUP('Données projet'!$B$11,Paramètres!$A$1:$I$89,5,0)</f>
        <v>96.501174545454546</v>
      </c>
      <c r="BF51" s="13">
        <f t="shared" si="37"/>
        <v>26.12673074769458</v>
      </c>
      <c r="BG51" s="20">
        <f t="shared" si="7"/>
        <v>213.57693505223472</v>
      </c>
      <c r="BH51" s="59">
        <f t="shared" si="8"/>
        <v>506.91026838556803</v>
      </c>
      <c r="BI51" s="59">
        <f ca="1">AVERAGE(OFFSET($BH$3,0,0,'Données projet'!$E$11+1,1))-AVERAGE(OFFSET($H$3,0,0,'Données projet'!$E$11+1,1))</f>
        <v>83.62456509032836</v>
      </c>
      <c r="BJ51" s="59">
        <f t="shared" si="38"/>
        <v>131.53128089847871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10.172106653915657</v>
      </c>
      <c r="BQ51" s="21">
        <f>EXP(-LN(2)/25)*BQ50+(1-EXP(-LN(2)/25))/(LN(2)/25)*Calculateur!BL51*Calculateur!BN51*VLOOKUP('Données projet'!$B$11,Paramètres!$A$1:$I$89,3,0)*0.475*44/12</f>
        <v>10.883186570747622</v>
      </c>
      <c r="BR51" s="21">
        <f>EXP(-LN(2)/2)*BR50+(1-EXP(-LN(2)/2))/(LN(2)/2)*BL51*BO51*VLOOKUP('Données projet'!$B$11,Paramètres!$A$1:$I$89,3,0)*0.475*44/12</f>
        <v>1.4789731025291322</v>
      </c>
      <c r="BS51" s="22">
        <f t="shared" si="9"/>
        <v>22.534266327192412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27.4</v>
      </c>
      <c r="BY51" s="12">
        <f>IF('Données projet'!$A$114&gt;35,BY50+BX51-CG50,IF(A51&lt;'Données projet'!$A$114,$BV$205^A51,IF(A51='Données projet'!$A$114,'Données projet'!$B$114,BY50+BX51-CG50)))</f>
        <v>664.19999999999993</v>
      </c>
      <c r="BZ51" s="13">
        <f>BY51*VLOOKUP('Données projet'!$B$12,Paramètres!$A$1:$I$89,3,0)*VLOOKUP('Données projet'!$B$12,Paramètres!$A$1:$I$89,5,0)</f>
        <v>293.57640000000004</v>
      </c>
      <c r="CA51" s="13">
        <f t="shared" si="39"/>
        <v>69.828138511965605</v>
      </c>
      <c r="CB51" s="20">
        <f t="shared" si="10"/>
        <v>632.92957124167344</v>
      </c>
      <c r="CC51" s="59">
        <f t="shared" si="11"/>
        <v>926.26290457500681</v>
      </c>
      <c r="CD51" s="59">
        <f ca="1">AVERAGE(OFFSET($CC$3,0,0,'Données projet'!$E$12+1,1))-AVERAGE(OFFSET($H$3,0,0,'Données projet'!$E$12+1,1))</f>
        <v>415.83983761562189</v>
      </c>
      <c r="CE51" s="59">
        <f t="shared" si="40"/>
        <v>339.37869344688829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47.150562719647247</v>
      </c>
      <c r="CL51" s="21">
        <f>EXP(-LN(2)/25)*CL50+(1-EXP(-LN(2)/25))/(LN(2)/25)*Calculateur!CG51*Calculateur!CI51*VLOOKUP('Données projet'!$B$12,Paramètres!$A$1:$I$89,3,0)*0.475*44/12</f>
        <v>35.713485080030964</v>
      </c>
      <c r="CM51" s="21">
        <f>EXP(-LN(2)/2)*CM50+(1-EXP(-LN(2)/2))/(LN(2)/2)*CG51*CJ51*VLOOKUP('Données projet'!$B$12,Paramètres!$A$1:$I$89,3,0)*0.475*44/12</f>
        <v>3.0814464264111314</v>
      </c>
      <c r="CN51" s="22">
        <f t="shared" si="12"/>
        <v>85.945494226089352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258.68215148478868</v>
      </c>
      <c r="T52" s="59">
        <f t="shared" si="34"/>
        <v>153.16792125610209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10.767535799227849</v>
      </c>
      <c r="AA52" s="21">
        <f>EXP(-LN(2)/25)*AA51+(1-EXP(-LN(2)/25))/(LN(2)/25)*Calculateur!V52*Calculateur!X52*VLOOKUP('Données projet'!$B$9,Paramètres!$A$1:$I$89,3,0)*0.475*44/12</f>
        <v>1.3710532972085336</v>
      </c>
      <c r="AB52" s="21">
        <f>EXP(-LN(2)/2)*AB51+(1-EXP(-LN(2)/2))/(LN(2)/2)*V52*Y52*VLOOKUP('Données projet'!$B$9,Paramètres!$A$1:$I$89,3,0)*0.475*44/12</f>
        <v>0.38080011167858513</v>
      </c>
      <c r="AC52" s="22">
        <f t="shared" si="3"/>
        <v>12.519389208114967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298.68533387773886</v>
      </c>
      <c r="AO52" s="59">
        <f t="shared" si="36"/>
        <v>176.04868734496114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12.067065981893281</v>
      </c>
      <c r="AV52" s="21">
        <f>EXP(-LN(2)/25)*AV51+(1-EXP(-LN(2)/25))/(LN(2)/25)*Calculateur!AQ52*Calculateur!AS52*VLOOKUP('Données projet'!$B$10,Paramètres!$A$1:$I$89,3,0)*0.475*44/12</f>
        <v>1.5365252468716322</v>
      </c>
      <c r="AW52" s="21">
        <f>EXP(-LN(2)/2)*AW51+(1-EXP(-LN(2)/2))/(LN(2)/2)*AQ52*AT52*VLOOKUP('Données projet'!$B$10,Paramètres!$A$1:$I$89,3,0)*0.475*44/12</f>
        <v>0.42675874584669043</v>
      </c>
      <c r="AX52" s="21">
        <f t="shared" si="6"/>
        <v>14.030349974611603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11.062727272727273</v>
      </c>
      <c r="BD52" s="12">
        <f>IF('Données projet'!$A$88&gt;35,BD51+BC52-BL51,IF(A52&lt;'Données projet'!$A$88,$BA$205^A52,IF(A52='Données projet'!$A$88,'Données projet'!$B$88,BD51+BC52-BL51)))</f>
        <v>217.26181818181817</v>
      </c>
      <c r="BE52" s="13">
        <f>BD52*VLOOKUP('Données projet'!$B$11,Paramètres!$A$1:$I$89,3,0)*VLOOKUP('Données projet'!$B$11,Paramètres!$A$1:$I$89,5,0)</f>
        <v>101.6785309090909</v>
      </c>
      <c r="BF52" s="13">
        <f t="shared" si="37"/>
        <v>27.361496158322545</v>
      </c>
      <c r="BG52" s="20">
        <f t="shared" si="7"/>
        <v>224.74471380907838</v>
      </c>
      <c r="BH52" s="59">
        <f t="shared" si="8"/>
        <v>518.07804714241172</v>
      </c>
      <c r="BI52" s="59">
        <f ca="1">AVERAGE(OFFSET($BH$3,0,0,'Données projet'!$E$11+1,1))-AVERAGE(OFFSET($H$3,0,0,'Données projet'!$E$11+1,1))</f>
        <v>83.62456509032836</v>
      </c>
      <c r="BJ52" s="59">
        <f t="shared" si="38"/>
        <v>131.53128089847871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9.9726378468047994</v>
      </c>
      <c r="BQ52" s="21">
        <f>EXP(-LN(2)/25)*BQ51+(1-EXP(-LN(2)/25))/(LN(2)/25)*Calculateur!BL52*Calculateur!BN52*VLOOKUP('Données projet'!$B$11,Paramètres!$A$1:$I$89,3,0)*0.475*44/12</f>
        <v>10.585585261648621</v>
      </c>
      <c r="BR52" s="21">
        <f>EXP(-LN(2)/2)*BR51+(1-EXP(-LN(2)/2))/(LN(2)/2)*BL52*BO52*VLOOKUP('Données projet'!$B$11,Paramètres!$A$1:$I$89,3,0)*0.475*44/12</f>
        <v>1.0457919099908564</v>
      </c>
      <c r="BS52" s="22">
        <f t="shared" si="9"/>
        <v>21.604015018444276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27.4</v>
      </c>
      <c r="BY52" s="12">
        <f>IF('Données projet'!$A$114&gt;35,BY51+BX52-CG51,IF(A52&lt;'Données projet'!$A$114,$BV$205^A52,IF(A52='Données projet'!$A$114,'Données projet'!$B$114,BY51+BX52-CG51)))</f>
        <v>691.59999999999991</v>
      </c>
      <c r="BZ52" s="13">
        <f>BY52*VLOOKUP('Données projet'!$B$12,Paramètres!$A$1:$I$89,3,0)*VLOOKUP('Données projet'!$B$12,Paramètres!$A$1:$I$89,5,0)</f>
        <v>305.68719999999996</v>
      </c>
      <c r="CA52" s="13">
        <f t="shared" si="39"/>
        <v>72.367412795802267</v>
      </c>
      <c r="CB52" s="20">
        <f t="shared" si="10"/>
        <v>658.44511728602208</v>
      </c>
      <c r="CC52" s="59">
        <f t="shared" si="11"/>
        <v>951.77845061935545</v>
      </c>
      <c r="CD52" s="59">
        <f ca="1">AVERAGE(OFFSET($CC$3,0,0,'Données projet'!$E$12+1,1))-AVERAGE(OFFSET($H$3,0,0,'Données projet'!$E$12+1,1))</f>
        <v>415.83983761562189</v>
      </c>
      <c r="CE52" s="59">
        <f t="shared" si="40"/>
        <v>339.37869344688829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46.225968943718506</v>
      </c>
      <c r="CL52" s="21">
        <f>EXP(-LN(2)/25)*CL51+(1-EXP(-LN(2)/25))/(LN(2)/25)*Calculateur!CG52*Calculateur!CI52*VLOOKUP('Données projet'!$B$12,Paramètres!$A$1:$I$89,3,0)*0.475*44/12</f>
        <v>34.736897952426958</v>
      </c>
      <c r="CM52" s="21">
        <f>EXP(-LN(2)/2)*CM51+(1-EXP(-LN(2)/2))/(LN(2)/2)*CG52*CJ52*VLOOKUP('Données projet'!$B$12,Paramètres!$A$1:$I$89,3,0)*0.475*44/12</f>
        <v>2.178911663978365</v>
      </c>
      <c r="CN52" s="22">
        <f t="shared" si="12"/>
        <v>83.141778560123839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258.68215148478868</v>
      </c>
      <c r="T53" s="59">
        <f t="shared" si="34"/>
        <v>153.16792125610209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1.72E-2</v>
      </c>
      <c r="Y53" s="16">
        <f>IF(ISNA(VLOOKUP(A53,'Données projet'!$A$35:$I$55,7,0)),0%,VLOOKUP(A53,'Données projet'!$A$35:$I$55,7,0))</f>
        <v>0.06</v>
      </c>
      <c r="Z53" s="21">
        <f>EXP(-LN(2)/35)*Z52+(1-EXP(-LN(2)/35))/(LN(2)/35)*V53*W53*VLOOKUP('Données projet'!$B$9,Paramètres!$A$1:$I$89,3,0)*0.475*44/12</f>
        <v>15.975634959310195</v>
      </c>
      <c r="AA53" s="21">
        <f>EXP(-LN(2)/25)*AA52+(1-EXP(-LN(2)/25))/(LN(2)/25)*Calculateur!V53*Calculateur!X53*VLOOKUP('Données projet'!$B$9,Paramètres!$A$1:$I$89,3,0)*0.475*44/12</f>
        <v>1.6934221954394653</v>
      </c>
      <c r="AB53" s="21">
        <f>EXP(-LN(2)/2)*AB52+(1-EXP(-LN(2)/2))/(LN(2)/2)*V53*Y53*VLOOKUP('Données projet'!$B$9,Paramètres!$A$1:$I$89,3,0)*0.475*44/12</f>
        <v>1.3449323131865656</v>
      </c>
      <c r="AC53" s="22">
        <f t="shared" si="3"/>
        <v>19.013989467936224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298.68533387773886</v>
      </c>
      <c r="AO53" s="59">
        <f t="shared" si="36"/>
        <v>176.04868734496114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1.72E-2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17.9037288337097</v>
      </c>
      <c r="AV53" s="21">
        <f>EXP(-LN(2)/25)*AV52+(1-EXP(-LN(2)/25))/(LN(2)/25)*Calculateur!AQ53*Calculateur!AS53*VLOOKUP('Données projet'!$B$10,Paramètres!$A$1:$I$89,3,0)*0.475*44/12</f>
        <v>1.897800736268366</v>
      </c>
      <c r="AW53" s="21">
        <f>EXP(-LN(2)/2)*AW52+(1-EXP(-LN(2)/2))/(LN(2)/2)*AQ53*AT53*VLOOKUP('Données projet'!$B$10,Paramètres!$A$1:$I$89,3,0)*0.475*44/12</f>
        <v>1.5072517302952897</v>
      </c>
      <c r="AX53" s="21">
        <f t="shared" si="6"/>
        <v>21.308781300273356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11.062727272727273</v>
      </c>
      <c r="BD53" s="12">
        <f>IF('Données projet'!$A$88&gt;35,BD52+BC53-BL52,IF(A53&lt;'Données projet'!$A$88,$BA$205^A53,IF(A53='Données projet'!$A$88,'Données projet'!$B$88,BD52+BC53-BL52)))</f>
        <v>228.32454545454544</v>
      </c>
      <c r="BE53" s="13">
        <f>BD53*VLOOKUP('Données projet'!$B$11,Paramètres!$A$1:$I$89,3,0)*VLOOKUP('Données projet'!$B$11,Paramètres!$A$1:$I$89,5,0)</f>
        <v>106.85588727272726</v>
      </c>
      <c r="BF53" s="13">
        <f t="shared" si="37"/>
        <v>28.58896148226243</v>
      </c>
      <c r="BG53" s="20">
        <f t="shared" si="7"/>
        <v>235.89977824827369</v>
      </c>
      <c r="BH53" s="59">
        <f t="shared" si="8"/>
        <v>529.23311158160698</v>
      </c>
      <c r="BI53" s="59">
        <f ca="1">AVERAGE(OFFSET($BH$3,0,0,'Données projet'!$E$11+1,1))-AVERAGE(OFFSET($H$3,0,0,'Données projet'!$E$11+1,1))</f>
        <v>83.62456509032836</v>
      </c>
      <c r="BJ53" s="59">
        <f t="shared" si="38"/>
        <v>131.53128089847871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9.7770805013374265</v>
      </c>
      <c r="BQ53" s="21">
        <f>EXP(-LN(2)/25)*BQ52+(1-EXP(-LN(2)/25))/(LN(2)/25)*Calculateur!BL53*Calculateur!BN53*VLOOKUP('Données projet'!$B$11,Paramètres!$A$1:$I$89,3,0)*0.475*44/12</f>
        <v>10.296121875997104</v>
      </c>
      <c r="BR53" s="21">
        <f>EXP(-LN(2)/2)*BR52+(1-EXP(-LN(2)/2))/(LN(2)/2)*BL53*BO53*VLOOKUP('Données projet'!$B$11,Paramètres!$A$1:$I$89,3,0)*0.475*44/12</f>
        <v>0.73948655126456608</v>
      </c>
      <c r="BS53" s="22">
        <f t="shared" si="9"/>
        <v>20.812688928599098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719</v>
      </c>
      <c r="BW53" s="12">
        <f>VLOOKUP(A53,'Données projet'!$A$113:$I$133,9,0)</f>
        <v>27.4</v>
      </c>
      <c r="BX53" s="12">
        <f t="array" ref="BX53">INDEX(BW:BW,MIN(IF(ISNUMBER(BW53:BW249),ROW(BW53:BW249),"")))</f>
        <v>27.4</v>
      </c>
      <c r="BY53" s="12">
        <f>IF('Données projet'!$A$114&gt;35,BY52+BX53-CG52,IF(A53&lt;'Données projet'!$A$114,$BV$205^A53,IF(A53='Données projet'!$A$114,'Données projet'!$B$114,BY52+BX53-CG52)))</f>
        <v>718.99999999999989</v>
      </c>
      <c r="BZ53" s="13">
        <f>BY53*VLOOKUP('Données projet'!$B$12,Paramètres!$A$1:$I$89,3,0)*VLOOKUP('Données projet'!$B$12,Paramètres!$A$1:$I$89,5,0)</f>
        <v>317.798</v>
      </c>
      <c r="CA53" s="13">
        <f t="shared" si="39"/>
        <v>74.895000775677957</v>
      </c>
      <c r="CB53" s="20">
        <f t="shared" si="10"/>
        <v>683.9403096843057</v>
      </c>
      <c r="CC53" s="59">
        <f t="shared" si="11"/>
        <v>977.27364301763896</v>
      </c>
      <c r="CD53" s="59">
        <f ca="1">AVERAGE(OFFSET($CC$3,0,0,'Données projet'!$E$12+1,1))-AVERAGE(OFFSET($H$3,0,0,'Données projet'!$E$12+1,1))</f>
        <v>415.83983761562189</v>
      </c>
      <c r="CE53" s="59">
        <f t="shared" si="40"/>
        <v>339.37869344688829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59</v>
      </c>
      <c r="CH53" s="16">
        <f>IF(ISNA(VLOOKUP(A53,'Données projet'!$A$113:$I$133,5,0)),0%,VLOOKUP(A53,'Données projet'!$A$113:$I$133,5,0)*VLOOKUP('Données projet'!$B$12,Paramètres!$A$1:$I$89,7,0))</f>
        <v>0.33</v>
      </c>
      <c r="CI53" s="16">
        <f>IF(ISNA(VLOOKUP(A53,'Données projet'!$A$113:$I$133,6,0)),0%,VLOOKUP(A53,'Données projet'!$A$113:$I$133,6,0)*VLOOKUP('Données projet'!$B$12,Paramètres!$A$1:$I$89,7,0))</f>
        <v>0.13750000000000001</v>
      </c>
      <c r="CJ53" s="16">
        <f>IF(ISNA(VLOOKUP(A53,'Données projet'!$A$113:$I$133,7,0)),0%,VLOOKUP(A53,'Données projet'!$A$113:$I$133,7,0))</f>
        <v>0.15</v>
      </c>
      <c r="CK53" s="21">
        <f>EXP(-LN(2)/35)*CK52+(1-EXP(-LN(2)/35))/(LN(2)/35)*CG53*CH53*VLOOKUP('Données projet'!$B$12,Paramètres!$A$1:$I$89,3,0)*0.475*44/12</f>
        <v>56.735574684543479</v>
      </c>
      <c r="CL53" s="21">
        <f>EXP(-LN(2)/25)*CL52+(1-EXP(-LN(2)/25))/(LN(2)/25)*Calculateur!CG53*Calculateur!CI53*VLOOKUP('Données projet'!$B$12,Paramètres!$A$1:$I$89,3,0)*0.475*44/12</f>
        <v>38.524982061199694</v>
      </c>
      <c r="CM53" s="21">
        <f>EXP(-LN(2)/2)*CM52+(1-EXP(-LN(2)/2))/(LN(2)/2)*CG53*CJ53*VLOOKUP('Données projet'!$B$12,Paramètres!$A$1:$I$89,3,0)*0.475*44/12</f>
        <v>5.9696762914398427</v>
      </c>
      <c r="CN53" s="22">
        <f t="shared" si="12"/>
        <v>101.23023303718301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258.68215148478868</v>
      </c>
      <c r="T54" s="59">
        <f t="shared" si="34"/>
        <v>153.16792125610209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15.662362501933289</v>
      </c>
      <c r="AA54" s="21">
        <f>EXP(-LN(2)/25)*AA53+(1-EXP(-LN(2)/25))/(LN(2)/25)*Calculateur!V54*Calculateur!X54*VLOOKUP('Données projet'!$B$9,Paramètres!$A$1:$I$89,3,0)*0.475*44/12</f>
        <v>1.6471154764519702</v>
      </c>
      <c r="AB54" s="21">
        <f>EXP(-LN(2)/2)*AB53+(1-EXP(-LN(2)/2))/(LN(2)/2)*V54*Y54*VLOOKUP('Données projet'!$B$9,Paramètres!$A$1:$I$89,3,0)*0.475*44/12</f>
        <v>0.95101075889113007</v>
      </c>
      <c r="AC54" s="22">
        <f t="shared" si="3"/>
        <v>18.26048873727639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298.68533387773886</v>
      </c>
      <c r="AO54" s="59">
        <f t="shared" si="36"/>
        <v>176.04868734496114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17.552647631476962</v>
      </c>
      <c r="AV54" s="21">
        <f>EXP(-LN(2)/25)*AV53+(1-EXP(-LN(2)/25))/(LN(2)/25)*Calculateur!AQ54*Calculateur!AS54*VLOOKUP('Données projet'!$B$10,Paramètres!$A$1:$I$89,3,0)*0.475*44/12</f>
        <v>1.8459052753341043</v>
      </c>
      <c r="AW54" s="21">
        <f>EXP(-LN(2)/2)*AW53+(1-EXP(-LN(2)/2))/(LN(2)/2)*AQ54*AT54*VLOOKUP('Données projet'!$B$10,Paramètres!$A$1:$I$89,3,0)*0.475*44/12</f>
        <v>1.0657879194469566</v>
      </c>
      <c r="AX54" s="21">
        <f t="shared" si="6"/>
        <v>20.464340826258024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11.062727272727273</v>
      </c>
      <c r="BD54" s="12">
        <f>IF('Données projet'!$A$88&gt;35,BD53+BC54-BL53,IF(A54&lt;'Données projet'!$A$88,$BA$205^A54,IF(A54='Données projet'!$A$88,'Données projet'!$B$88,BD53+BC54-BL53)))</f>
        <v>239.38727272727272</v>
      </c>
      <c r="BE54" s="13">
        <f>BD54*VLOOKUP('Données projet'!$B$11,Paramètres!$A$1:$I$89,3,0)*VLOOKUP('Données projet'!$B$11,Paramètres!$A$1:$I$89,5,0)</f>
        <v>112.03324363636364</v>
      </c>
      <c r="BF54" s="13">
        <f t="shared" si="37"/>
        <v>29.809520796669084</v>
      </c>
      <c r="BG54" s="20">
        <f t="shared" si="7"/>
        <v>247.04281472086529</v>
      </c>
      <c r="BH54" s="59">
        <f t="shared" si="8"/>
        <v>540.37614805419867</v>
      </c>
      <c r="BI54" s="59">
        <f ca="1">AVERAGE(OFFSET($BH$3,0,0,'Données projet'!$E$11+1,1))-AVERAGE(OFFSET($H$3,0,0,'Données projet'!$E$11+1,1))</f>
        <v>83.62456509032836</v>
      </c>
      <c r="BJ54" s="59">
        <f t="shared" si="38"/>
        <v>131.53128089847871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9.5853579161364664</v>
      </c>
      <c r="BQ54" s="21">
        <f>EXP(-LN(2)/25)*BQ53+(1-EXP(-LN(2)/25))/(LN(2)/25)*Calculateur!BL54*Calculateur!BN54*VLOOKUP('Données projet'!$B$11,Paramètres!$A$1:$I$89,3,0)*0.475*44/12</f>
        <v>10.014573881848445</v>
      </c>
      <c r="BR54" s="21">
        <f>EXP(-LN(2)/2)*BR53+(1-EXP(-LN(2)/2))/(LN(2)/2)*BL54*BO54*VLOOKUP('Données projet'!$B$11,Paramètres!$A$1:$I$89,3,0)*0.475*44/12</f>
        <v>0.52289595499542818</v>
      </c>
      <c r="BS54" s="22">
        <f t="shared" si="9"/>
        <v>20.122827752980339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24.2</v>
      </c>
      <c r="BY54" s="12">
        <f>IF('Données projet'!$A$114&gt;35,BY53+BX54-CG53,IF(A54&lt;'Données projet'!$A$114,$BV$205^A54,IF(A54='Données projet'!$A$114,'Données projet'!$B$114,BY53+BX54-CG53)))</f>
        <v>684.19999999999993</v>
      </c>
      <c r="BZ54" s="13">
        <f>BY54*VLOOKUP('Données projet'!$B$12,Paramètres!$A$1:$I$89,3,0)*VLOOKUP('Données projet'!$B$12,Paramètres!$A$1:$I$89,5,0)</f>
        <v>302.41640000000001</v>
      </c>
      <c r="CA54" s="13">
        <f t="shared" si="39"/>
        <v>71.682796968600584</v>
      </c>
      <c r="CB54" s="20">
        <f t="shared" si="10"/>
        <v>651.55610138697932</v>
      </c>
      <c r="CC54" s="59">
        <f t="shared" si="11"/>
        <v>944.88943472031269</v>
      </c>
      <c r="CD54" s="59">
        <f ca="1">AVERAGE(OFFSET($CC$3,0,0,'Données projet'!$E$12+1,1))-AVERAGE(OFFSET($H$3,0,0,'Données projet'!$E$12+1,1))</f>
        <v>415.83983761562189</v>
      </c>
      <c r="CE54" s="59">
        <f t="shared" si="40"/>
        <v>339.37869344688829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55.623024670263149</v>
      </c>
      <c r="CL54" s="21">
        <f>EXP(-LN(2)/25)*CL53+(1-EXP(-LN(2)/25))/(LN(2)/25)*Calculateur!CG54*Calculateur!CI54*VLOOKUP('Données projet'!$B$12,Paramètres!$A$1:$I$89,3,0)*0.475*44/12</f>
        <v>37.471514400795435</v>
      </c>
      <c r="CM54" s="21">
        <f>EXP(-LN(2)/2)*CM53+(1-EXP(-LN(2)/2))/(LN(2)/2)*CG54*CJ54*VLOOKUP('Données projet'!$B$12,Paramètres!$A$1:$I$89,3,0)*0.475*44/12</f>
        <v>4.2211985871656736</v>
      </c>
      <c r="CN54" s="22">
        <f t="shared" si="12"/>
        <v>97.315737658224265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258.68215148478868</v>
      </c>
      <c r="T55" s="59">
        <f t="shared" si="34"/>
        <v>153.16792125610209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15.355233126368214</v>
      </c>
      <c r="AA55" s="21">
        <f>EXP(-LN(2)/25)*AA54+(1-EXP(-LN(2)/25))/(LN(2)/25)*Calculateur!V55*Calculateur!X55*VLOOKUP('Données projet'!$B$9,Paramètres!$A$1:$I$89,3,0)*0.475*44/12</f>
        <v>1.6020750171303526</v>
      </c>
      <c r="AB55" s="21">
        <f>EXP(-LN(2)/2)*AB54+(1-EXP(-LN(2)/2))/(LN(2)/2)*V55*Y55*VLOOKUP('Données projet'!$B$9,Paramètres!$A$1:$I$89,3,0)*0.475*44/12</f>
        <v>0.6724661565932829</v>
      </c>
      <c r="AC55" s="22">
        <f t="shared" si="3"/>
        <v>17.629774300091849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298.68533387773886</v>
      </c>
      <c r="AO55" s="59">
        <f t="shared" si="36"/>
        <v>176.04868734496114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17.208450917481617</v>
      </c>
      <c r="AV55" s="21">
        <f>EXP(-LN(2)/25)*AV54+(1-EXP(-LN(2)/25))/(LN(2)/25)*Calculateur!AQ55*Calculateur!AS55*VLOOKUP('Données projet'!$B$10,Paramètres!$A$1:$I$89,3,0)*0.475*44/12</f>
        <v>1.7954288985081537</v>
      </c>
      <c r="AW55" s="21">
        <f>EXP(-LN(2)/2)*AW54+(1-EXP(-LN(2)/2))/(LN(2)/2)*AQ55*AT55*VLOOKUP('Données projet'!$B$10,Paramètres!$A$1:$I$89,3,0)*0.475*44/12</f>
        <v>0.75362586514764496</v>
      </c>
      <c r="AX55" s="21">
        <f t="shared" si="6"/>
        <v>19.757505681137413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250.45</v>
      </c>
      <c r="BB55" s="12">
        <f>VLOOKUP(A55,'Données projet'!$A$87:$I$107,9,0)</f>
        <v>11.062727272727273</v>
      </c>
      <c r="BC55" s="12">
        <f t="array" ref="BC55">INDEX(BB:BB,MIN(IF(ISNUMBER(BB55:BB251),ROW(BB55:BB251),"")))</f>
        <v>11.062727272727273</v>
      </c>
      <c r="BD55" s="12">
        <f>IF('Données projet'!$A$88&gt;35,BD54+BC55-BL54,IF(A55&lt;'Données projet'!$A$88,$BA$205^A55,IF(A55='Données projet'!$A$88,'Données projet'!$B$88,BD54+BC55-BL54)))</f>
        <v>250.45</v>
      </c>
      <c r="BE55" s="13">
        <f>BD55*VLOOKUP('Données projet'!$B$11,Paramètres!$A$1:$I$89,3,0)*VLOOKUP('Données projet'!$B$11,Paramètres!$A$1:$I$89,5,0)</f>
        <v>117.2106</v>
      </c>
      <c r="BF55" s="13">
        <f t="shared" si="37"/>
        <v>31.023529697420976</v>
      </c>
      <c r="BG55" s="20">
        <f t="shared" si="7"/>
        <v>258.17444255634149</v>
      </c>
      <c r="BH55" s="59">
        <f t="shared" si="8"/>
        <v>551.5077758896748</v>
      </c>
      <c r="BI55" s="59">
        <f ca="1">AVERAGE(OFFSET($BH$3,0,0,'Données projet'!$E$11+1,1))-AVERAGE(OFFSET($H$3,0,0,'Données projet'!$E$11+1,1))</f>
        <v>83.62456509032836</v>
      </c>
      <c r="BJ55" s="59">
        <f t="shared" si="38"/>
        <v>131.53128089847871</v>
      </c>
      <c r="BK55" s="15">
        <f>IF(ISNA(VLOOKUP(A55,'Données projet'!$A$87:$I$107,3,0)),0,VLOOKUP(A55,'Données projet'!$A$87:$I$107,3,0))</f>
        <v>4</v>
      </c>
      <c r="BL55" s="15">
        <f>IF(ISNA(VLOOKUP(A55,'Données projet'!$A$87:$I$107,4,0)),0,VLOOKUP(A55,'Données projet'!$A$87:$I$107,4,0))</f>
        <v>135.63999999999999</v>
      </c>
      <c r="BM55" s="16">
        <f>IF(ISNA(VLOOKUP(A55,'Données projet'!$A$87:$I$107,5,0)),0%,VLOOKUP(A55,'Données projet'!$A$87:$I$107,5,0)*VLOOKUP('Données projet'!$B$11,Paramètres!$A$1:$I$89,7,0))</f>
        <v>0.27500000000000002</v>
      </c>
      <c r="BN55" s="16">
        <f>IF(ISNA(VLOOKUP(A55,'Données projet'!$A$87:$I$107,6,0)),0%,VLOOKUP(A55,'Données projet'!$A$87:$I$107,6,0)*VLOOKUP('Données projet'!$B$11,Paramètres!$A$1:$I$89,7,0))</f>
        <v>0.11000000000000001</v>
      </c>
      <c r="BO55" s="16">
        <f>IF(ISNA(VLOOKUP(A55,'Données projet'!$A$87:$I$107,7,0)),0%,VLOOKUP(A55,'Données projet'!$A$87:$I$107,7,0))</f>
        <v>0.3</v>
      </c>
      <c r="BP55" s="21">
        <f>EXP(-LN(2)/35)*BP54+(1-EXP(-LN(2)/35))/(LN(2)/35)*BL55*BM55*VLOOKUP('Données projet'!$B$11,Paramètres!$A$1:$I$89,3,0)*0.475*44/12</f>
        <v>32.555055485992</v>
      </c>
      <c r="BQ55" s="21">
        <f>EXP(-LN(2)/25)*BQ54+(1-EXP(-LN(2)/25))/(LN(2)/25)*Calculateur!BL55*Calculateur!BN55*VLOOKUP('Données projet'!$B$11,Paramètres!$A$1:$I$89,3,0)*0.475*44/12</f>
        <v>18.967316855841101</v>
      </c>
      <c r="BR55" s="21">
        <f>EXP(-LN(2)/2)*BR54+(1-EXP(-LN(2)/2))/(LN(2)/2)*BL55*BO55*VLOOKUP('Données projet'!$B$11,Paramètres!$A$1:$I$89,3,0)*0.475*44/12</f>
        <v>21.931812108275452</v>
      </c>
      <c r="BS55" s="22">
        <f t="shared" si="9"/>
        <v>73.454184450108556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24.2</v>
      </c>
      <c r="BY55" s="12">
        <f>IF('Données projet'!$A$114&gt;35,BY54+BX55-CG54,IF(A55&lt;'Données projet'!$A$114,$BV$205^A55,IF(A55='Données projet'!$A$114,'Données projet'!$B$114,BY54+BX55-CG54)))</f>
        <v>708.4</v>
      </c>
      <c r="BZ55" s="13">
        <f>BY55*VLOOKUP('Données projet'!$B$12,Paramètres!$A$1:$I$89,3,0)*VLOOKUP('Données projet'!$B$12,Paramètres!$A$1:$I$89,5,0)</f>
        <v>313.11280000000005</v>
      </c>
      <c r="CA55" s="13">
        <f t="shared" si="39"/>
        <v>73.918528209995586</v>
      </c>
      <c r="CB55" s="20">
        <f t="shared" si="10"/>
        <v>674.07956329907574</v>
      </c>
      <c r="CC55" s="59">
        <f t="shared" si="11"/>
        <v>967.412896632409</v>
      </c>
      <c r="CD55" s="59">
        <f ca="1">AVERAGE(OFFSET($CC$3,0,0,'Données projet'!$E$12+1,1))-AVERAGE(OFFSET($H$3,0,0,'Données projet'!$E$12+1,1))</f>
        <v>415.83983761562189</v>
      </c>
      <c r="CE55" s="59">
        <f t="shared" si="40"/>
        <v>339.37869344688829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54.532291083174357</v>
      </c>
      <c r="CL55" s="21">
        <f>EXP(-LN(2)/25)*CL54+(1-EXP(-LN(2)/25))/(LN(2)/25)*Calculateur!CG55*Calculateur!CI55*VLOOKUP('Données projet'!$B$12,Paramètres!$A$1:$I$89,3,0)*0.475*44/12</f>
        <v>36.446853868964382</v>
      </c>
      <c r="CM55" s="21">
        <f>EXP(-LN(2)/2)*CM54+(1-EXP(-LN(2)/2))/(LN(2)/2)*CG55*CJ55*VLOOKUP('Données projet'!$B$12,Paramètres!$A$1:$I$89,3,0)*0.475*44/12</f>
        <v>2.9848381457199218</v>
      </c>
      <c r="CN55" s="22">
        <f t="shared" si="12"/>
        <v>93.963983097858659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258.68215148478868</v>
      </c>
      <c r="T56" s="59">
        <f t="shared" si="34"/>
        <v>153.16792125610209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15.054126370527548</v>
      </c>
      <c r="AA56" s="21">
        <f>EXP(-LN(2)/25)*AA55+(1-EXP(-LN(2)/25))/(LN(2)/25)*Calculateur!V56*Calculateur!X56*VLOOKUP('Données projet'!$B$9,Paramètres!$A$1:$I$89,3,0)*0.475*44/12</f>
        <v>1.5582661915374596</v>
      </c>
      <c r="AB56" s="21">
        <f>EXP(-LN(2)/2)*AB55+(1-EXP(-LN(2)/2))/(LN(2)/2)*V56*Y56*VLOOKUP('Données projet'!$B$9,Paramètres!$A$1:$I$89,3,0)*0.475*44/12</f>
        <v>0.47550537944556515</v>
      </c>
      <c r="AC56" s="22">
        <f t="shared" si="3"/>
        <v>17.087897941510573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298.68533387773886</v>
      </c>
      <c r="AO56" s="59">
        <f t="shared" si="36"/>
        <v>176.04868734496114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16.871003691108456</v>
      </c>
      <c r="AV56" s="21">
        <f>EXP(-LN(2)/25)*AV55+(1-EXP(-LN(2)/25))/(LN(2)/25)*Calculateur!AQ56*Calculateur!AS56*VLOOKUP('Données projet'!$B$10,Paramètres!$A$1:$I$89,3,0)*0.475*44/12</f>
        <v>1.746332800860946</v>
      </c>
      <c r="AW56" s="21">
        <f>EXP(-LN(2)/2)*AW55+(1-EXP(-LN(2)/2))/(LN(2)/2)*AQ56*AT56*VLOOKUP('Données projet'!$B$10,Paramètres!$A$1:$I$89,3,0)*0.475*44/12</f>
        <v>0.53289395972347842</v>
      </c>
      <c r="AX56" s="21">
        <f t="shared" si="6"/>
        <v>19.150230451692877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18.686250000000001</v>
      </c>
      <c r="BD56" s="12">
        <f>IF('Données projet'!$A$88&gt;35,BD55+BC56-BL55,IF(A56&lt;'Données projet'!$A$88,$BA$205^A56,IF(A56='Données projet'!$A$88,'Données projet'!$B$88,BD55+BC56-BL55)))</f>
        <v>133.49625000000003</v>
      </c>
      <c r="BE56" s="13">
        <f>BD56*VLOOKUP('Données projet'!$B$11,Paramètres!$A$1:$I$89,3,0)*VLOOKUP('Données projet'!$B$11,Paramètres!$A$1:$I$89,5,0)</f>
        <v>62.476245000000013</v>
      </c>
      <c r="BF56" s="13">
        <f t="shared" si="37"/>
        <v>17.792860245179224</v>
      </c>
      <c r="BG56" s="20">
        <f t="shared" si="7"/>
        <v>139.80202496868716</v>
      </c>
      <c r="BH56" s="59">
        <f t="shared" si="8"/>
        <v>433.13535830202045</v>
      </c>
      <c r="BI56" s="59">
        <f ca="1">AVERAGE(OFFSET($BH$3,0,0,'Données projet'!$E$11+1,1))-AVERAGE(OFFSET($H$3,0,0,'Données projet'!$E$11+1,1))</f>
        <v>83.62456509032836</v>
      </c>
      <c r="BJ56" s="59">
        <f t="shared" si="38"/>
        <v>131.53128089847871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31.916670704534866</v>
      </c>
      <c r="BQ56" s="21">
        <f>EXP(-LN(2)/25)*BQ55+(1-EXP(-LN(2)/25))/(LN(2)/25)*Calculateur!BL56*Calculateur!BN56*VLOOKUP('Données projet'!$B$11,Paramètres!$A$1:$I$89,3,0)*0.475*44/12</f>
        <v>18.448654578970284</v>
      </c>
      <c r="BR56" s="21">
        <f>EXP(-LN(2)/2)*BR55+(1-EXP(-LN(2)/2))/(LN(2)/2)*BL56*BO56*VLOOKUP('Données projet'!$B$11,Paramètres!$A$1:$I$89,3,0)*0.475*44/12</f>
        <v>15.508133065470805</v>
      </c>
      <c r="BS56" s="22">
        <f t="shared" si="9"/>
        <v>65.873458348975959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24.2</v>
      </c>
      <c r="BY56" s="12">
        <f>IF('Données projet'!$A$114&gt;35,BY55+BX56-CG55,IF(A56&lt;'Données projet'!$A$114,$BV$205^A56,IF(A56='Données projet'!$A$114,'Données projet'!$B$114,BY55+BX56-CG55)))</f>
        <v>732.6</v>
      </c>
      <c r="BZ56" s="13">
        <f>BY56*VLOOKUP('Données projet'!$B$12,Paramètres!$A$1:$I$89,3,0)*VLOOKUP('Données projet'!$B$12,Paramètres!$A$1:$I$89,5,0)</f>
        <v>323.80920000000003</v>
      </c>
      <c r="CA56" s="13">
        <f t="shared" si="39"/>
        <v>76.145385123817718</v>
      </c>
      <c r="CB56" s="20">
        <f t="shared" si="10"/>
        <v>696.58756909064925</v>
      </c>
      <c r="CC56" s="59">
        <f t="shared" si="11"/>
        <v>989.92090242398262</v>
      </c>
      <c r="CD56" s="59">
        <f ca="1">AVERAGE(OFFSET($CC$3,0,0,'Données projet'!$E$12+1,1))-AVERAGE(OFFSET($H$3,0,0,'Données projet'!$E$12+1,1))</f>
        <v>415.83983761562189</v>
      </c>
      <c r="CE56" s="59">
        <f t="shared" si="40"/>
        <v>339.37869344688829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53.462946116446574</v>
      </c>
      <c r="CL56" s="21">
        <f>EXP(-LN(2)/25)*CL55+(1-EXP(-LN(2)/25))/(LN(2)/25)*Calculateur!CG56*Calculateur!CI56*VLOOKUP('Données projet'!$B$12,Paramètres!$A$1:$I$89,3,0)*0.475*44/12</f>
        <v>35.450212733260805</v>
      </c>
      <c r="CM56" s="21">
        <f>EXP(-LN(2)/2)*CM55+(1-EXP(-LN(2)/2))/(LN(2)/2)*CG56*CJ56*VLOOKUP('Données projet'!$B$12,Paramètres!$A$1:$I$89,3,0)*0.475*44/12</f>
        <v>2.1105992935828373</v>
      </c>
      <c r="CN56" s="22">
        <f t="shared" si="12"/>
        <v>91.023758143290209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258.68215148478868</v>
      </c>
      <c r="T57" s="59">
        <f t="shared" si="34"/>
        <v>153.16792125610209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14.758924134511931</v>
      </c>
      <c r="AA57" s="21">
        <f>EXP(-LN(2)/25)*AA56+(1-EXP(-LN(2)/25))/(LN(2)/25)*Calculateur!V57*Calculateur!X57*VLOOKUP('Données projet'!$B$9,Paramètres!$A$1:$I$89,3,0)*0.475*44/12</f>
        <v>1.5156553205842103</v>
      </c>
      <c r="AB57" s="21">
        <f>EXP(-LN(2)/2)*AB56+(1-EXP(-LN(2)/2))/(LN(2)/2)*V57*Y57*VLOOKUP('Données projet'!$B$9,Paramètres!$A$1:$I$89,3,0)*0.475*44/12</f>
        <v>0.33623307829664151</v>
      </c>
      <c r="AC57" s="22">
        <f t="shared" si="3"/>
        <v>16.610812533392782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298.68533387773886</v>
      </c>
      <c r="AO57" s="59">
        <f t="shared" si="36"/>
        <v>176.04868734496114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16.540173599021987</v>
      </c>
      <c r="AV57" s="21">
        <f>EXP(-LN(2)/25)*AV56+(1-EXP(-LN(2)/25))/(LN(2)/25)*Calculateur!AQ57*Calculateur!AS57*VLOOKUP('Données projet'!$B$10,Paramètres!$A$1:$I$89,3,0)*0.475*44/12</f>
        <v>1.6985792385857528</v>
      </c>
      <c r="AW57" s="21">
        <f>EXP(-LN(2)/2)*AW56+(1-EXP(-LN(2)/2))/(LN(2)/2)*AQ57*AT57*VLOOKUP('Données projet'!$B$10,Paramètres!$A$1:$I$89,3,0)*0.475*44/12</f>
        <v>0.37681293257382253</v>
      </c>
      <c r="AX57" s="21">
        <f t="shared" si="6"/>
        <v>18.615565770181565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18.686250000000001</v>
      </c>
      <c r="BD57" s="12">
        <f>IF('Données projet'!$A$88&gt;35,BD56+BC57-BL56,IF(A57&lt;'Données projet'!$A$88,$BA$205^A57,IF(A57='Données projet'!$A$88,'Données projet'!$B$88,BD56+BC57-BL56)))</f>
        <v>152.18250000000003</v>
      </c>
      <c r="BE57" s="13">
        <f>BD57*VLOOKUP('Données projet'!$B$11,Paramètres!$A$1:$I$89,3,0)*VLOOKUP('Données projet'!$B$11,Paramètres!$A$1:$I$89,5,0)</f>
        <v>71.22141000000002</v>
      </c>
      <c r="BF57" s="13">
        <f t="shared" si="37"/>
        <v>19.976470678895758</v>
      </c>
      <c r="BG57" s="20">
        <f t="shared" si="7"/>
        <v>158.83630884907683</v>
      </c>
      <c r="BH57" s="59">
        <f t="shared" si="8"/>
        <v>452.16964218241014</v>
      </c>
      <c r="BI57" s="59">
        <f ca="1">AVERAGE(OFFSET($BH$3,0,0,'Données projet'!$E$11+1,1))-AVERAGE(OFFSET($H$3,0,0,'Données projet'!$E$11+1,1))</f>
        <v>83.62456509032836</v>
      </c>
      <c r="BJ57" s="59">
        <f t="shared" si="38"/>
        <v>131.53128089847871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31.290804259265837</v>
      </c>
      <c r="BQ57" s="21">
        <f>EXP(-LN(2)/25)*BQ56+(1-EXP(-LN(2)/25))/(LN(2)/25)*Calculateur!BL57*Calculateur!BN57*VLOOKUP('Données projet'!$B$11,Paramètres!$A$1:$I$89,3,0)*0.475*44/12</f>
        <v>17.944175149335763</v>
      </c>
      <c r="BR57" s="21">
        <f>EXP(-LN(2)/2)*BR56+(1-EXP(-LN(2)/2))/(LN(2)/2)*BL57*BO57*VLOOKUP('Données projet'!$B$11,Paramètres!$A$1:$I$89,3,0)*0.475*44/12</f>
        <v>10.965906054137728</v>
      </c>
      <c r="BS57" s="22">
        <f t="shared" si="9"/>
        <v>60.200885462739329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24.2</v>
      </c>
      <c r="BY57" s="12">
        <f>IF('Données projet'!$A$114&gt;35,BY56+BX57-CG56,IF(A57&lt;'Données projet'!$A$114,$BV$205^A57,IF(A57='Données projet'!$A$114,'Données projet'!$B$114,BY56+BX57-CG56)))</f>
        <v>756.80000000000007</v>
      </c>
      <c r="BZ57" s="13">
        <f>BY57*VLOOKUP('Données projet'!$B$12,Paramètres!$A$1:$I$89,3,0)*VLOOKUP('Données projet'!$B$12,Paramètres!$A$1:$I$89,5,0)</f>
        <v>334.50560000000013</v>
      </c>
      <c r="CA57" s="13">
        <f t="shared" si="39"/>
        <v>78.363694470523086</v>
      </c>
      <c r="CB57" s="20">
        <f t="shared" si="10"/>
        <v>719.08068786949445</v>
      </c>
      <c r="CC57" s="59">
        <f t="shared" si="11"/>
        <v>1012.4140212028278</v>
      </c>
      <c r="CD57" s="59">
        <f ca="1">AVERAGE(OFFSET($CC$3,0,0,'Données projet'!$E$12+1,1))-AVERAGE(OFFSET($H$3,0,0,'Données projet'!$E$12+1,1))</f>
        <v>415.83983761562189</v>
      </c>
      <c r="CE57" s="59">
        <f t="shared" si="40"/>
        <v>339.37869344688829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52.4145703522803</v>
      </c>
      <c r="CL57" s="21">
        <f>EXP(-LN(2)/25)*CL56+(1-EXP(-LN(2)/25))/(LN(2)/25)*Calculateur!CG57*Calculateur!CI57*VLOOKUP('Données projet'!$B$12,Paramètres!$A$1:$I$89,3,0)*0.475*44/12</f>
        <v>34.48082480182412</v>
      </c>
      <c r="CM57" s="21">
        <f>EXP(-LN(2)/2)*CM56+(1-EXP(-LN(2)/2))/(LN(2)/2)*CG57*CJ57*VLOOKUP('Données projet'!$B$12,Paramètres!$A$1:$I$89,3,0)*0.475*44/12</f>
        <v>1.4924190728599611</v>
      </c>
      <c r="CN57" s="22">
        <f t="shared" si="12"/>
        <v>88.38781422696438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258.68215148478868</v>
      </c>
      <c r="T58" s="59">
        <f t="shared" si="34"/>
        <v>153.16792125610209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0.34400000000000003</v>
      </c>
      <c r="X58" s="16">
        <f>IF(ISNA(VLOOKUP(A58,'Données projet'!$A$35:$I$55,6,0)),0%,VLOOKUP(A58,'Données projet'!$A$35:$I$55,6,0)*VLOOKUP('Données projet'!$B$9,Paramètres!$A$1:$I$89,7,0))</f>
        <v>1.72E-2</v>
      </c>
      <c r="Y58" s="16">
        <f>IF(ISNA(VLOOKUP(A58,'Données projet'!$A$35:$I$55,7,0)),0%,VLOOKUP(A58,'Données projet'!$A$35:$I$55,7,0))</f>
        <v>0.06</v>
      </c>
      <c r="Z58" s="21">
        <f>EXP(-LN(2)/35)*Z57+(1-EXP(-LN(2)/35))/(LN(2)/35)*V58*W58*VLOOKUP('Données projet'!$B$9,Paramètres!$A$1:$I$89,3,0)*0.475*44/12</f>
        <v>21.695169260364803</v>
      </c>
      <c r="AA58" s="21">
        <f>EXP(-LN(2)/25)*AA57+(1-EXP(-LN(2)/25))/(LN(2)/25)*Calculateur!V58*Calculateur!X58*VLOOKUP('Données projet'!$B$9,Paramètres!$A$1:$I$89,3,0)*0.475*44/12</f>
        <v>1.8340700688816443</v>
      </c>
      <c r="AB58" s="21">
        <f>EXP(-LN(2)/2)*AB57+(1-EXP(-LN(2)/2))/(LN(2)/2)*V58*Y58*VLOOKUP('Données projet'!$B$9,Paramètres!$A$1:$I$89,3,0)*0.475*44/12</f>
        <v>1.313418661664826</v>
      </c>
      <c r="AC58" s="22">
        <f t="shared" si="3"/>
        <v>24.842657990911274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298.68533387773886</v>
      </c>
      <c r="AO58" s="59">
        <f t="shared" si="36"/>
        <v>176.04868734496114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0.34400000000000003</v>
      </c>
      <c r="AS58" s="16">
        <f>IF(ISNA(VLOOKUP(A58,'Données projet'!$A$61:$I$81,6,0)),0%,VLOOKUP(A58,'Données projet'!$A$61:$I$81,6,0)*VLOOKUP('Données projet'!$B$10,Paramètres!$A$1:$I$89,7,0))</f>
        <v>1.72E-2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24.313551757305383</v>
      </c>
      <c r="AV58" s="21">
        <f>EXP(-LN(2)/25)*AV57+(1-EXP(-LN(2)/25))/(LN(2)/25)*Calculateur!AQ58*Calculateur!AS58*VLOOKUP('Données projet'!$B$10,Paramètres!$A$1:$I$89,3,0)*0.475*44/12</f>
        <v>2.055423353057015</v>
      </c>
      <c r="AW58" s="21">
        <f>EXP(-LN(2)/2)*AW57+(1-EXP(-LN(2)/2))/(LN(2)/2)*AQ58*AT58*VLOOKUP('Données projet'!$B$10,Paramètres!$A$1:$I$89,3,0)*0.475*44/12</f>
        <v>1.4719347070381676</v>
      </c>
      <c r="AX58" s="21">
        <f t="shared" si="6"/>
        <v>27.840909817400565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18.686250000000001</v>
      </c>
      <c r="BD58" s="12">
        <f>IF('Données projet'!$A$88&gt;35,BD57+BC58-BL57,IF(A58&lt;'Données projet'!$A$88,$BA$205^A58,IF(A58='Données projet'!$A$88,'Données projet'!$B$88,BD57+BC58-BL57)))</f>
        <v>170.86875000000003</v>
      </c>
      <c r="BE58" s="13">
        <f>BD58*VLOOKUP('Données projet'!$B$11,Paramètres!$A$1:$I$89,3,0)*VLOOKUP('Données projet'!$B$11,Paramètres!$A$1:$I$89,5,0)</f>
        <v>79.96657500000002</v>
      </c>
      <c r="BF58" s="13">
        <f t="shared" si="37"/>
        <v>22.129011343633632</v>
      </c>
      <c r="BG58" s="20">
        <f t="shared" si="7"/>
        <v>177.81647954849529</v>
      </c>
      <c r="BH58" s="59">
        <f t="shared" si="8"/>
        <v>471.14981288182861</v>
      </c>
      <c r="BI58" s="59">
        <f ca="1">AVERAGE(OFFSET($BH$3,0,0,'Données projet'!$E$11+1,1))-AVERAGE(OFFSET($H$3,0,0,'Données projet'!$E$11+1,1))</f>
        <v>83.62456509032836</v>
      </c>
      <c r="BJ58" s="59">
        <f t="shared" si="38"/>
        <v>131.53128089847871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30.677210673247696</v>
      </c>
      <c r="BQ58" s="21">
        <f>EXP(-LN(2)/25)*BQ57+(1-EXP(-LN(2)/25))/(LN(2)/25)*Calculateur!BL58*Calculateur!BN58*VLOOKUP('Données projet'!$B$11,Paramètres!$A$1:$I$89,3,0)*0.475*44/12</f>
        <v>17.453490736234016</v>
      </c>
      <c r="BR58" s="21">
        <f>EXP(-LN(2)/2)*BR57+(1-EXP(-LN(2)/2))/(LN(2)/2)*BL58*BO58*VLOOKUP('Données projet'!$B$11,Paramètres!$A$1:$I$89,3,0)*0.475*44/12</f>
        <v>7.7540665327354032</v>
      </c>
      <c r="BS58" s="22">
        <f t="shared" si="9"/>
        <v>55.884767942217117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781</v>
      </c>
      <c r="BW58" s="12">
        <f>VLOOKUP(A58,'Données projet'!$A$113:$I$133,9,0)</f>
        <v>24.2</v>
      </c>
      <c r="BX58" s="12">
        <f t="array" ref="BX58">INDEX(BW:BW,MIN(IF(ISNUMBER(BW58:BW254),ROW(BW58:BW254),"")))</f>
        <v>24.2</v>
      </c>
      <c r="BY58" s="12">
        <f>IF('Données projet'!$A$114&gt;35,BY57+BX58-CG57,IF(A58&lt;'Données projet'!$A$114,$BV$205^A58,IF(A58='Données projet'!$A$114,'Données projet'!$B$114,BY57+BX58-CG57)))</f>
        <v>781.00000000000011</v>
      </c>
      <c r="BZ58" s="13">
        <f>BY58*VLOOKUP('Données projet'!$B$12,Paramètres!$A$1:$I$89,3,0)*VLOOKUP('Données projet'!$B$12,Paramètres!$A$1:$I$89,5,0)</f>
        <v>345.20200000000011</v>
      </c>
      <c r="CA58" s="13">
        <f t="shared" si="39"/>
        <v>80.573760926539379</v>
      </c>
      <c r="CB58" s="20">
        <f t="shared" si="10"/>
        <v>741.55945028038957</v>
      </c>
      <c r="CC58" s="59">
        <f t="shared" si="11"/>
        <v>1034.8927836137229</v>
      </c>
      <c r="CD58" s="59">
        <f ca="1">AVERAGE(OFFSET($CC$3,0,0,'Données projet'!$E$12+1,1))-AVERAGE(OFFSET($H$3,0,0,'Données projet'!$E$12+1,1))</f>
        <v>415.83983761562189</v>
      </c>
      <c r="CE58" s="59">
        <f t="shared" si="40"/>
        <v>339.37869344688829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51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0.13750000000000001</v>
      </c>
      <c r="CJ58" s="16">
        <f>IF(ISNA(VLOOKUP(A58,'Données projet'!$A$113:$I$133,7,0)),0%,VLOOKUP(A58,'Données projet'!$A$113:$I$133,7,0))</f>
        <v>0.15</v>
      </c>
      <c r="CK58" s="21">
        <f>EXP(-LN(2)/35)*CK57+(1-EXP(-LN(2)/35))/(LN(2)/35)*CG58*CH58*VLOOKUP('Données projet'!$B$12,Paramètres!$A$1:$I$89,3,0)*0.475*44/12</f>
        <v>61.254879862394233</v>
      </c>
      <c r="CL58" s="21">
        <f>EXP(-LN(2)/25)*CL57+(1-EXP(-LN(2)/25))/(LN(2)/25)*Calculateur!CG58*Calculateur!CI58*VLOOKUP('Données projet'!$B$12,Paramètres!$A$1:$I$89,3,0)*0.475*44/12</f>
        <v>37.633475120974403</v>
      </c>
      <c r="CM58" s="21">
        <f>EXP(-LN(2)/2)*CM57+(1-EXP(-LN(2)/2))/(LN(2)/2)*CG58*CJ58*VLOOKUP('Données projet'!$B$12,Paramètres!$A$1:$I$89,3,0)*0.475*44/12</f>
        <v>4.8837167144176581</v>
      </c>
      <c r="CN58" s="22">
        <f t="shared" si="12"/>
        <v>103.77207169778629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258.68215148478868</v>
      </c>
      <c r="T59" s="59">
        <f t="shared" si="34"/>
        <v>153.16792125610209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21.269740223915672</v>
      </c>
      <c r="AA59" s="21">
        <f>EXP(-LN(2)/25)*AA58+(1-EXP(-LN(2)/25))/(LN(2)/25)*Calculateur!V59*Calculateur!X59*VLOOKUP('Données projet'!$B$9,Paramètres!$A$1:$I$89,3,0)*0.475*44/12</f>
        <v>1.7839173263985226</v>
      </c>
      <c r="AB59" s="21">
        <f>EXP(-LN(2)/2)*AB58+(1-EXP(-LN(2)/2))/(LN(2)/2)*V59*Y59*VLOOKUP('Données projet'!$B$9,Paramètres!$A$1:$I$89,3,0)*0.475*44/12</f>
        <v>0.92872724220015834</v>
      </c>
      <c r="AC59" s="22">
        <f t="shared" si="3"/>
        <v>23.982384792514353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298.68533387773886</v>
      </c>
      <c r="AO59" s="59">
        <f t="shared" si="36"/>
        <v>176.04868734496114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23.836777837146876</v>
      </c>
      <c r="AV59" s="21">
        <f>EXP(-LN(2)/25)*AV58+(1-EXP(-LN(2)/25))/(LN(2)/25)*Calculateur!AQ59*Calculateur!AS59*VLOOKUP('Données projet'!$B$10,Paramètres!$A$1:$I$89,3,0)*0.475*44/12</f>
        <v>1.9992176933776544</v>
      </c>
      <c r="AW59" s="21">
        <f>EXP(-LN(2)/2)*AW58+(1-EXP(-LN(2)/2))/(LN(2)/2)*AQ59*AT59*VLOOKUP('Données projet'!$B$10,Paramètres!$A$1:$I$89,3,0)*0.475*44/12</f>
        <v>1.0408150128105227</v>
      </c>
      <c r="AX59" s="21">
        <f t="shared" si="6"/>
        <v>26.876810543335054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18.686250000000001</v>
      </c>
      <c r="BD59" s="12">
        <f>IF('Données projet'!$A$88&gt;35,BD58+BC59-BL58,IF(A59&lt;'Données projet'!$A$88,$BA$205^A59,IF(A59='Données projet'!$A$88,'Données projet'!$B$88,BD58+BC59-BL58)))</f>
        <v>189.55500000000004</v>
      </c>
      <c r="BE59" s="13">
        <f>BD59*VLOOKUP('Données projet'!$B$11,Paramètres!$A$1:$I$89,3,0)*VLOOKUP('Données projet'!$B$11,Paramètres!$A$1:$I$89,5,0)</f>
        <v>88.71174000000002</v>
      </c>
      <c r="BF59" s="13">
        <f t="shared" si="37"/>
        <v>24.254267479788986</v>
      </c>
      <c r="BG59" s="20">
        <f t="shared" si="7"/>
        <v>196.74912969396584</v>
      </c>
      <c r="BH59" s="59">
        <f t="shared" si="8"/>
        <v>490.08246302729913</v>
      </c>
      <c r="BI59" s="59">
        <f ca="1">AVERAGE(OFFSET($BH$3,0,0,'Données projet'!$E$11+1,1))-AVERAGE(OFFSET($H$3,0,0,'Données projet'!$E$11+1,1))</f>
        <v>83.62456509032836</v>
      </c>
      <c r="BJ59" s="59">
        <f t="shared" si="38"/>
        <v>131.53128089847871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30.075649283196238</v>
      </c>
      <c r="BQ59" s="21">
        <f>EXP(-LN(2)/25)*BQ58+(1-EXP(-LN(2)/25))/(LN(2)/25)*Calculateur!BL59*Calculateur!BN59*VLOOKUP('Données projet'!$B$11,Paramètres!$A$1:$I$89,3,0)*0.475*44/12</f>
        <v>16.97622411421251</v>
      </c>
      <c r="BR59" s="21">
        <f>EXP(-LN(2)/2)*BR58+(1-EXP(-LN(2)/2))/(LN(2)/2)*BL59*BO59*VLOOKUP('Données projet'!$B$11,Paramètres!$A$1:$I$89,3,0)*0.475*44/12</f>
        <v>5.4829530270688647</v>
      </c>
      <c r="BS59" s="22">
        <f t="shared" si="9"/>
        <v>52.534826424477615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21</v>
      </c>
      <c r="BY59" s="12">
        <f>IF('Données projet'!$A$114&gt;35,BY58+BX59-CG58,IF(A59&lt;'Données projet'!$A$114,$BV$205^A59,IF(A59='Données projet'!$A$114,'Données projet'!$B$114,BY58+BX59-CG58)))</f>
        <v>751.00000000000011</v>
      </c>
      <c r="BZ59" s="13">
        <f>BY59*VLOOKUP('Données projet'!$B$12,Paramètres!$A$1:$I$89,3,0)*VLOOKUP('Données projet'!$B$12,Paramètres!$A$1:$I$89,5,0)</f>
        <v>331.94200000000006</v>
      </c>
      <c r="CA59" s="13">
        <f t="shared" si="39"/>
        <v>77.832795721146297</v>
      </c>
      <c r="CB59" s="20">
        <f t="shared" si="10"/>
        <v>713.69110254766326</v>
      </c>
      <c r="CC59" s="59">
        <f t="shared" si="11"/>
        <v>1007.0244358809966</v>
      </c>
      <c r="CD59" s="59">
        <f ca="1">AVERAGE(OFFSET($CC$3,0,0,'Données projet'!$E$12+1,1))-AVERAGE(OFFSET($H$3,0,0,'Données projet'!$E$12+1,1))</f>
        <v>415.83983761562189</v>
      </c>
      <c r="CE59" s="59">
        <f t="shared" si="40"/>
        <v>339.37869344688829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60.053709030080228</v>
      </c>
      <c r="CL59" s="21">
        <f>EXP(-LN(2)/25)*CL58+(1-EXP(-LN(2)/25))/(LN(2)/25)*Calculateur!CG59*Calculateur!CI59*VLOOKUP('Données projet'!$B$12,Paramètres!$A$1:$I$89,3,0)*0.475*44/12</f>
        <v>36.604385764732911</v>
      </c>
      <c r="CM59" s="21">
        <f>EXP(-LN(2)/2)*CM58+(1-EXP(-LN(2)/2))/(LN(2)/2)*CG59*CJ59*VLOOKUP('Données projet'!$B$12,Paramètres!$A$1:$I$89,3,0)*0.475*44/12</f>
        <v>3.4533092061588122</v>
      </c>
      <c r="CN59" s="22">
        <f t="shared" si="12"/>
        <v>100.11140400097194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258.68215148478868</v>
      </c>
      <c r="T60" s="59">
        <f t="shared" si="34"/>
        <v>153.16792125610209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20.85265359138522</v>
      </c>
      <c r="AA60" s="21">
        <f>EXP(-LN(2)/25)*AA59+(1-EXP(-LN(2)/25))/(LN(2)/25)*Calculateur!V60*Calculateur!X60*VLOOKUP('Données projet'!$B$9,Paramètres!$A$1:$I$89,3,0)*0.475*44/12</f>
        <v>1.7351360132960201</v>
      </c>
      <c r="AB60" s="21">
        <f>EXP(-LN(2)/2)*AB59+(1-EXP(-LN(2)/2))/(LN(2)/2)*V60*Y60*VLOOKUP('Données projet'!$B$9,Paramètres!$A$1:$I$89,3,0)*0.475*44/12</f>
        <v>0.65670933083241312</v>
      </c>
      <c r="AC60" s="22">
        <f t="shared" si="3"/>
        <v>23.244498935513654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298.68533387773886</v>
      </c>
      <c r="AO60" s="59">
        <f t="shared" si="36"/>
        <v>176.04868734496114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23.3693531627593</v>
      </c>
      <c r="AV60" s="21">
        <f>EXP(-LN(2)/25)*AV59+(1-EXP(-LN(2)/25))/(LN(2)/25)*Calculateur!AQ60*Calculateur!AS60*VLOOKUP('Données projet'!$B$10,Paramètres!$A$1:$I$89,3,0)*0.475*44/12</f>
        <v>1.9445489804179532</v>
      </c>
      <c r="AW60" s="21">
        <f>EXP(-LN(2)/2)*AW59+(1-EXP(-LN(2)/2))/(LN(2)/2)*AQ60*AT60*VLOOKUP('Données projet'!$B$10,Paramètres!$A$1:$I$89,3,0)*0.475*44/12</f>
        <v>0.73596735351908393</v>
      </c>
      <c r="AX60" s="21">
        <f t="shared" si="6"/>
        <v>26.049869496696335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18.686250000000001</v>
      </c>
      <c r="BD60" s="12">
        <f>IF('Données projet'!$A$88&gt;35,BD59+BC60-BL59,IF(A60&lt;'Données projet'!$A$88,$BA$205^A60,IF(A60='Données projet'!$A$88,'Données projet'!$B$88,BD59+BC60-BL59)))</f>
        <v>208.24125000000004</v>
      </c>
      <c r="BE60" s="13">
        <f>BD60*VLOOKUP('Données projet'!$B$11,Paramètres!$A$1:$I$89,3,0)*VLOOKUP('Données projet'!$B$11,Paramètres!$A$1:$I$89,5,0)</f>
        <v>97.45690500000002</v>
      </c>
      <c r="BF60" s="13">
        <f t="shared" si="37"/>
        <v>26.355234912642679</v>
      </c>
      <c r="BG60" s="20">
        <f t="shared" si="7"/>
        <v>215.63947701451934</v>
      </c>
      <c r="BH60" s="59">
        <f t="shared" si="8"/>
        <v>508.97281034785266</v>
      </c>
      <c r="BI60" s="59">
        <f ca="1">AVERAGE(OFFSET($BH$3,0,0,'Données projet'!$E$11+1,1))-AVERAGE(OFFSET($H$3,0,0,'Données projet'!$E$11+1,1))</f>
        <v>83.62456509032836</v>
      </c>
      <c r="BJ60" s="59">
        <f t="shared" si="38"/>
        <v>131.53128089847871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29.485884145087471</v>
      </c>
      <c r="BQ60" s="21">
        <f>EXP(-LN(2)/25)*BQ59+(1-EXP(-LN(2)/25))/(LN(2)/25)*Calculateur!BL60*Calculateur!BN60*VLOOKUP('Données projet'!$B$11,Paramètres!$A$1:$I$89,3,0)*0.475*44/12</f>
        <v>16.512008373068543</v>
      </c>
      <c r="BR60" s="21">
        <f>EXP(-LN(2)/2)*BR59+(1-EXP(-LN(2)/2))/(LN(2)/2)*BL60*BO60*VLOOKUP('Données projet'!$B$11,Paramètres!$A$1:$I$89,3,0)*0.475*44/12</f>
        <v>3.8770332663677025</v>
      </c>
      <c r="BS60" s="22">
        <f t="shared" si="9"/>
        <v>49.874925784523718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21</v>
      </c>
      <c r="BY60" s="12">
        <f>IF('Données projet'!$A$114&gt;35,BY59+BX60-CG59,IF(A60&lt;'Données projet'!$A$114,$BV$205^A60,IF(A60='Données projet'!$A$114,'Données projet'!$B$114,BY59+BX60-CG59)))</f>
        <v>772.00000000000011</v>
      </c>
      <c r="BZ60" s="13">
        <f>BY60*VLOOKUP('Données projet'!$B$12,Paramètres!$A$1:$I$89,3,0)*VLOOKUP('Données projet'!$B$12,Paramètres!$A$1:$I$89,5,0)</f>
        <v>341.2240000000001</v>
      </c>
      <c r="CA60" s="13">
        <f t="shared" si="39"/>
        <v>79.752779657506935</v>
      </c>
      <c r="CB60" s="20">
        <f t="shared" si="10"/>
        <v>733.20122457015805</v>
      </c>
      <c r="CC60" s="59">
        <f t="shared" si="11"/>
        <v>1026.5345579034913</v>
      </c>
      <c r="CD60" s="59">
        <f ca="1">AVERAGE(OFFSET($CC$3,0,0,'Données projet'!$E$12+1,1))-AVERAGE(OFFSET($H$3,0,0,'Données projet'!$E$12+1,1))</f>
        <v>415.83983761562189</v>
      </c>
      <c r="CE60" s="59">
        <f t="shared" si="40"/>
        <v>339.37869344688829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58.876092425146034</v>
      </c>
      <c r="CL60" s="21">
        <f>EXP(-LN(2)/25)*CL59+(1-EXP(-LN(2)/25))/(LN(2)/25)*Calculateur!CG60*Calculateur!CI60*VLOOKUP('Données projet'!$B$12,Paramètres!$A$1:$I$89,3,0)*0.475*44/12</f>
        <v>35.603436911055304</v>
      </c>
      <c r="CM60" s="21">
        <f>EXP(-LN(2)/2)*CM59+(1-EXP(-LN(2)/2))/(LN(2)/2)*CG60*CJ60*VLOOKUP('Données projet'!$B$12,Paramètres!$A$1:$I$89,3,0)*0.475*44/12</f>
        <v>2.4418583572088295</v>
      </c>
      <c r="CN60" s="22">
        <f t="shared" si="12"/>
        <v>96.921387693410168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258.68215148478868</v>
      </c>
      <c r="T61" s="59">
        <f t="shared" si="34"/>
        <v>153.16792125610209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20.443745773320963</v>
      </c>
      <c r="AA61" s="21">
        <f>EXP(-LN(2)/25)*AA60+(1-EXP(-LN(2)/25))/(LN(2)/25)*Calculateur!V61*Calculateur!X61*VLOOKUP('Données projet'!$B$9,Paramètres!$A$1:$I$89,3,0)*0.475*44/12</f>
        <v>1.6876886277656031</v>
      </c>
      <c r="AB61" s="21">
        <f>EXP(-LN(2)/2)*AB60+(1-EXP(-LN(2)/2))/(LN(2)/2)*V61*Y61*VLOOKUP('Données projet'!$B$9,Paramètres!$A$1:$I$89,3,0)*0.475*44/12</f>
        <v>0.46436362110007923</v>
      </c>
      <c r="AC61" s="22">
        <f t="shared" si="3"/>
        <v>22.595798022186646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298.68533387773886</v>
      </c>
      <c r="AO61" s="59">
        <f t="shared" si="36"/>
        <v>176.04868734496114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22.911094401135564</v>
      </c>
      <c r="AV61" s="21">
        <f>EXP(-LN(2)/25)*AV60+(1-EXP(-LN(2)/25))/(LN(2)/25)*Calculateur!AQ61*Calculateur!AS61*VLOOKUP('Données projet'!$B$10,Paramètres!$A$1:$I$89,3,0)*0.475*44/12</f>
        <v>1.8913751862890378</v>
      </c>
      <c r="AW61" s="21">
        <f>EXP(-LN(2)/2)*AW60+(1-EXP(-LN(2)/2))/(LN(2)/2)*AQ61*AT61*VLOOKUP('Données projet'!$B$10,Paramètres!$A$1:$I$89,3,0)*0.475*44/12</f>
        <v>0.52040750640526134</v>
      </c>
      <c r="AX61" s="21">
        <f t="shared" si="6"/>
        <v>25.322877093829867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18.686250000000001</v>
      </c>
      <c r="BD61" s="12">
        <f>IF('Données projet'!$A$88&gt;35,BD60+BC61-BL60,IF(A61&lt;'Données projet'!$A$88,$BA$205^A61,IF(A61='Données projet'!$A$88,'Données projet'!$B$88,BD60+BC61-BL60)))</f>
        <v>226.92750000000004</v>
      </c>
      <c r="BE61" s="13">
        <f>BD61*VLOOKUP('Données projet'!$B$11,Paramètres!$A$1:$I$89,3,0)*VLOOKUP('Données projet'!$B$11,Paramètres!$A$1:$I$89,5,0)</f>
        <v>106.20207000000002</v>
      </c>
      <c r="BF61" s="13">
        <f t="shared" si="37"/>
        <v>28.434341007399052</v>
      </c>
      <c r="BG61" s="20">
        <f t="shared" si="7"/>
        <v>234.49174917122002</v>
      </c>
      <c r="BH61" s="59">
        <f t="shared" si="8"/>
        <v>527.82508250455339</v>
      </c>
      <c r="BI61" s="59">
        <f ca="1">AVERAGE(OFFSET($BH$3,0,0,'Données projet'!$E$11+1,1))-AVERAGE(OFFSET($H$3,0,0,'Données projet'!$E$11+1,1))</f>
        <v>83.62456509032836</v>
      </c>
      <c r="BJ61" s="59">
        <f t="shared" si="38"/>
        <v>131.53128089847871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28.907683941615801</v>
      </c>
      <c r="BQ61" s="21">
        <f>EXP(-LN(2)/25)*BQ60+(1-EXP(-LN(2)/25))/(LN(2)/25)*Calculateur!BL61*Calculateur!BN61*VLOOKUP('Données projet'!$B$11,Paramètres!$A$1:$I$89,3,0)*0.475*44/12</f>
        <v>16.060486635778201</v>
      </c>
      <c r="BR61" s="21">
        <f>EXP(-LN(2)/2)*BR60+(1-EXP(-LN(2)/2))/(LN(2)/2)*BL61*BO61*VLOOKUP('Données projet'!$B$11,Paramètres!$A$1:$I$89,3,0)*0.475*44/12</f>
        <v>2.7414765135344328</v>
      </c>
      <c r="BS61" s="22">
        <f t="shared" si="9"/>
        <v>47.709647090928435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21</v>
      </c>
      <c r="BY61" s="12">
        <f>IF('Données projet'!$A$114&gt;35,BY60+BX61-CG60,IF(A61&lt;'Données projet'!$A$114,$BV$205^A61,IF(A61='Données projet'!$A$114,'Données projet'!$B$114,BY60+BX61-CG60)))</f>
        <v>793.00000000000011</v>
      </c>
      <c r="BZ61" s="13">
        <f>BY61*VLOOKUP('Données projet'!$B$12,Paramètres!$A$1:$I$89,3,0)*VLOOKUP('Données projet'!$B$12,Paramètres!$A$1:$I$89,5,0)</f>
        <v>350.50600000000009</v>
      </c>
      <c r="CA61" s="13">
        <f t="shared" si="39"/>
        <v>81.666693131176757</v>
      </c>
      <c r="CB61" s="20">
        <f t="shared" si="10"/>
        <v>752.70077387013305</v>
      </c>
      <c r="CC61" s="59">
        <f t="shared" si="11"/>
        <v>1046.0341072034664</v>
      </c>
      <c r="CD61" s="59">
        <f ca="1">AVERAGE(OFFSET($CC$3,0,0,'Données projet'!$E$12+1,1))-AVERAGE(OFFSET($H$3,0,0,'Données projet'!$E$12+1,1))</f>
        <v>415.83983761562189</v>
      </c>
      <c r="CE61" s="59">
        <f t="shared" si="40"/>
        <v>339.37869344688829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57.721568163559397</v>
      </c>
      <c r="CL61" s="21">
        <f>EXP(-LN(2)/25)*CL60+(1-EXP(-LN(2)/25))/(LN(2)/25)*Calculateur!CG61*Calculateur!CI61*VLOOKUP('Données projet'!$B$12,Paramètres!$A$1:$I$89,3,0)*0.475*44/12</f>
        <v>34.629859056419122</v>
      </c>
      <c r="CM61" s="21">
        <f>EXP(-LN(2)/2)*CM60+(1-EXP(-LN(2)/2))/(LN(2)/2)*CG61*CJ61*VLOOKUP('Données projet'!$B$12,Paramètres!$A$1:$I$89,3,0)*0.475*44/12</f>
        <v>1.7266546030794063</v>
      </c>
      <c r="CN61" s="22">
        <f t="shared" si="12"/>
        <v>94.078081823057929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258.68215148478868</v>
      </c>
      <c r="T62" s="59">
        <f t="shared" si="34"/>
        <v>153.16792125610209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20.042856388159805</v>
      </c>
      <c r="AA62" s="21">
        <f>EXP(-LN(2)/25)*AA61+(1-EXP(-LN(2)/25))/(LN(2)/25)*Calculateur!V62*Calculateur!X62*VLOOKUP('Données projet'!$B$9,Paramètres!$A$1:$I$89,3,0)*0.475*44/12</f>
        <v>1.641538693487665</v>
      </c>
      <c r="AB62" s="21">
        <f>EXP(-LN(2)/2)*AB61+(1-EXP(-LN(2)/2))/(LN(2)/2)*V62*Y62*VLOOKUP('Données projet'!$B$9,Paramètres!$A$1:$I$89,3,0)*0.475*44/12</f>
        <v>0.32835466541620661</v>
      </c>
      <c r="AC62" s="22">
        <f t="shared" si="3"/>
        <v>22.012749747063676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298.68533387773886</v>
      </c>
      <c r="AO62" s="59">
        <f t="shared" si="36"/>
        <v>176.04868734496114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22.461821814317023</v>
      </c>
      <c r="AV62" s="21">
        <f>EXP(-LN(2)/25)*AV61+(1-EXP(-LN(2)/25))/(LN(2)/25)*Calculateur!AQ62*Calculateur!AS62*VLOOKUP('Données projet'!$B$10,Paramètres!$A$1:$I$89,3,0)*0.475*44/12</f>
        <v>1.8396554323568657</v>
      </c>
      <c r="AW62" s="21">
        <f>EXP(-LN(2)/2)*AW61+(1-EXP(-LN(2)/2))/(LN(2)/2)*AQ62*AT62*VLOOKUP('Données projet'!$B$10,Paramètres!$A$1:$I$89,3,0)*0.475*44/12</f>
        <v>0.36798367675954197</v>
      </c>
      <c r="AX62" s="21">
        <f t="shared" si="6"/>
        <v>24.669460923433434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18.686250000000001</v>
      </c>
      <c r="BD62" s="12">
        <f>IF('Données projet'!$A$88&gt;35,BD61+BC62-BL61,IF(A62&lt;'Données projet'!$A$88,$BA$205^A62,IF(A62='Données projet'!$A$88,'Données projet'!$B$88,BD61+BC62-BL61)))</f>
        <v>245.61375000000004</v>
      </c>
      <c r="BE62" s="13">
        <f>BD62*VLOOKUP('Données projet'!$B$11,Paramètres!$A$1:$I$89,3,0)*VLOOKUP('Données projet'!$B$11,Paramètres!$A$1:$I$89,5,0)</f>
        <v>114.94723500000001</v>
      </c>
      <c r="BF62" s="13">
        <f t="shared" si="37"/>
        <v>30.493590587401801</v>
      </c>
      <c r="BG62" s="20">
        <f t="shared" si="7"/>
        <v>253.30943789805815</v>
      </c>
      <c r="BH62" s="59">
        <f t="shared" si="8"/>
        <v>546.64277123139141</v>
      </c>
      <c r="BI62" s="59">
        <f ca="1">AVERAGE(OFFSET($BH$3,0,0,'Données projet'!$E$11+1,1))-AVERAGE(OFFSET($H$3,0,0,'Données projet'!$E$11+1,1))</f>
        <v>83.62456509032836</v>
      </c>
      <c r="BJ62" s="59">
        <f t="shared" si="38"/>
        <v>131.53128089847871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28.340821891466909</v>
      </c>
      <c r="BQ62" s="21">
        <f>EXP(-LN(2)/25)*BQ61+(1-EXP(-LN(2)/25))/(LN(2)/25)*Calculateur!BL62*Calculateur!BN62*VLOOKUP('Données projet'!$B$11,Paramètres!$A$1:$I$89,3,0)*0.475*44/12</f>
        <v>15.621311784138561</v>
      </c>
      <c r="BR62" s="21">
        <f>EXP(-LN(2)/2)*BR61+(1-EXP(-LN(2)/2))/(LN(2)/2)*BL62*BO62*VLOOKUP('Données projet'!$B$11,Paramètres!$A$1:$I$89,3,0)*0.475*44/12</f>
        <v>1.9385166331838515</v>
      </c>
      <c r="BS62" s="22">
        <f t="shared" si="9"/>
        <v>45.900650308789324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21</v>
      </c>
      <c r="BY62" s="12">
        <f>IF('Données projet'!$A$114&gt;35,BY61+BX62-CG61,IF(A62&lt;'Données projet'!$A$114,$BV$205^A62,IF(A62='Données projet'!$A$114,'Données projet'!$B$114,BY61+BX62-CG61)))</f>
        <v>814.00000000000011</v>
      </c>
      <c r="BZ62" s="13">
        <f>BY62*VLOOKUP('Données projet'!$B$12,Paramètres!$A$1:$I$89,3,0)*VLOOKUP('Données projet'!$B$12,Paramètres!$A$1:$I$89,5,0)</f>
        <v>359.78800000000007</v>
      </c>
      <c r="CA62" s="13">
        <f t="shared" si="39"/>
        <v>83.574715376538705</v>
      </c>
      <c r="CB62" s="20">
        <f t="shared" si="10"/>
        <v>772.19006261413824</v>
      </c>
      <c r="CC62" s="59">
        <f t="shared" si="11"/>
        <v>1065.5233959474715</v>
      </c>
      <c r="CD62" s="59">
        <f ca="1">AVERAGE(OFFSET($CC$3,0,0,'Données projet'!$E$12+1,1))-AVERAGE(OFFSET($H$3,0,0,'Données projet'!$E$12+1,1))</f>
        <v>415.83983761562189</v>
      </c>
      <c r="CE62" s="59">
        <f t="shared" si="40"/>
        <v>339.37869344688829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56.589683418552205</v>
      </c>
      <c r="CL62" s="21">
        <f>EXP(-LN(2)/25)*CL61+(1-EXP(-LN(2)/25))/(LN(2)/25)*Calculateur!CG62*Calculateur!CI62*VLOOKUP('Données projet'!$B$12,Paramètres!$A$1:$I$89,3,0)*0.475*44/12</f>
        <v>33.682903739416197</v>
      </c>
      <c r="CM62" s="21">
        <f>EXP(-LN(2)/2)*CM61+(1-EXP(-LN(2)/2))/(LN(2)/2)*CG62*CJ62*VLOOKUP('Données projet'!$B$12,Paramètres!$A$1:$I$89,3,0)*0.475*44/12</f>
        <v>1.220929178604415</v>
      </c>
      <c r="CN62" s="22">
        <f t="shared" si="12"/>
        <v>91.493516336572824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258.68215148478868</v>
      </c>
      <c r="T63" s="59">
        <f t="shared" si="34"/>
        <v>153.16792125610209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0.34400000000000003</v>
      </c>
      <c r="X63" s="16">
        <f>IF(ISNA(VLOOKUP(A63,'Données projet'!$A$35:$I$55,6,0)),0%,VLOOKUP(A63,'Données projet'!$A$35:$I$55,6,0)*VLOOKUP('Données projet'!$B$9,Paramètres!$A$1:$I$89,7,0))</f>
        <v>1.72E-2</v>
      </c>
      <c r="Y63" s="16">
        <f>IF(ISNA(VLOOKUP(A63,'Données projet'!$A$35:$I$55,7,0)),0%,VLOOKUP(A63,'Données projet'!$A$35:$I$55,7,0))</f>
        <v>0.06</v>
      </c>
      <c r="Z63" s="21">
        <f>EXP(-LN(2)/35)*Z62+(1-EXP(-LN(2)/35))/(LN(2)/35)*V63*W63*VLOOKUP('Données projet'!$B$9,Paramètres!$A$1:$I$89,3,0)*0.475*44/12</f>
        <v>26.875486825399086</v>
      </c>
      <c r="AA63" s="21">
        <f>EXP(-LN(2)/25)*AA62+(1-EXP(-LN(2)/25))/(LN(2)/25)*Calculateur!V63*Calculateur!X63*VLOOKUP('Données projet'!$B$9,Paramètres!$A$1:$I$89,3,0)*0.475*44/12</f>
        <v>1.956511154333135</v>
      </c>
      <c r="AB63" s="21">
        <f>EXP(-LN(2)/2)*AB62+(1-EXP(-LN(2)/2))/(LN(2)/2)*V63*Y63*VLOOKUP('Données projet'!$B$9,Paramètres!$A$1:$I$89,3,0)*0.475*44/12</f>
        <v>1.3078477824920831</v>
      </c>
      <c r="AC63" s="22">
        <f t="shared" si="3"/>
        <v>30.139845762224304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298.68533387773886</v>
      </c>
      <c r="AO63" s="59">
        <f t="shared" si="36"/>
        <v>176.04868734496114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0.34400000000000003</v>
      </c>
      <c r="AS63" s="16">
        <f>IF(ISNA(VLOOKUP(A63,'Données projet'!$A$61:$I$81,6,0)),0%,VLOOKUP(A63,'Données projet'!$A$61:$I$81,6,0)*VLOOKUP('Données projet'!$B$10,Paramètres!$A$1:$I$89,7,0))</f>
        <v>1.72E-2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30.119080062947255</v>
      </c>
      <c r="AV63" s="21">
        <f>EXP(-LN(2)/25)*AV62+(1-EXP(-LN(2)/25))/(LN(2)/25)*Calculateur!AQ63*Calculateur!AS63*VLOOKUP('Données projet'!$B$10,Paramètres!$A$1:$I$89,3,0)*0.475*44/12</f>
        <v>2.1926418108905819</v>
      </c>
      <c r="AW63" s="21">
        <f>EXP(-LN(2)/2)*AW62+(1-EXP(-LN(2)/2))/(LN(2)/2)*AQ63*AT63*VLOOKUP('Données projet'!$B$10,Paramètres!$A$1:$I$89,3,0)*0.475*44/12</f>
        <v>1.4656914803790591</v>
      </c>
      <c r="AX63" s="21">
        <f t="shared" si="6"/>
        <v>33.777413354216897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264.3</v>
      </c>
      <c r="BB63" s="12">
        <f>VLOOKUP(A63,'Données projet'!$A$87:$I$107,9,0)</f>
        <v>18.686250000000001</v>
      </c>
      <c r="BC63" s="12">
        <f t="array" ref="BC63">INDEX(BB:BB,MIN(IF(ISNUMBER(BB63:BB259),ROW(BB63:BB259),"")))</f>
        <v>18.686250000000001</v>
      </c>
      <c r="BD63" s="12">
        <f>IF('Données projet'!$A$88&gt;35,BD62+BC63-BL62,IF(A63&lt;'Données projet'!$A$88,$BA$205^A63,IF(A63='Données projet'!$A$88,'Données projet'!$B$88,BD62+BC63-BL62)))</f>
        <v>264.30000000000007</v>
      </c>
      <c r="BE63" s="13">
        <f>BD63*VLOOKUP('Données projet'!$B$11,Paramètres!$A$1:$I$89,3,0)*VLOOKUP('Données projet'!$B$11,Paramètres!$A$1:$I$89,5,0)</f>
        <v>123.69240000000003</v>
      </c>
      <c r="BF63" s="13">
        <f t="shared" si="37"/>
        <v>32.534666101257706</v>
      </c>
      <c r="BG63" s="20">
        <f t="shared" si="7"/>
        <v>272.0954734596906</v>
      </c>
      <c r="BH63" s="59">
        <f t="shared" si="8"/>
        <v>565.42880679302391</v>
      </c>
      <c r="BI63" s="59">
        <f ca="1">AVERAGE(OFFSET($BH$3,0,0,'Données projet'!$E$11+1,1))-AVERAGE(OFFSET($H$3,0,0,'Données projet'!$E$11+1,1))</f>
        <v>83.62456509032836</v>
      </c>
      <c r="BJ63" s="59">
        <f t="shared" si="38"/>
        <v>131.53128089847871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264.36</v>
      </c>
      <c r="BM63" s="16">
        <f>IF(ISNA(VLOOKUP(A63,'Données projet'!$A$87:$I$107,5,0)),0%,VLOOKUP(A63,'Données projet'!$A$87:$I$107,5,0)*VLOOKUP('Données projet'!$B$11,Paramètres!$A$1:$I$89,7,0))</f>
        <v>0.27500000000000002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0.3</v>
      </c>
      <c r="BP63" s="21">
        <f>EXP(-LN(2)/35)*BP62+(1-EXP(-LN(2)/35))/(LN(2)/35)*BL63*BM63*VLOOKUP('Données projet'!$B$11,Paramètres!$A$1:$I$89,3,0)*0.475*44/12</f>
        <v>72.918953234297334</v>
      </c>
      <c r="BQ63" s="21">
        <f>EXP(-LN(2)/25)*BQ62+(1-EXP(-LN(2)/25))/(LN(2)/25)*Calculateur!BL63*Calculateur!BN63*VLOOKUP('Données projet'!$B$11,Paramètres!$A$1:$I$89,3,0)*0.475*44/12</f>
        <v>33.176613512137585</v>
      </c>
      <c r="BR63" s="21">
        <f>EXP(-LN(2)/2)*BR62+(1-EXP(-LN(2)/2))/(LN(2)/2)*BL63*BO63*VLOOKUP('Données projet'!$B$11,Paramètres!$A$1:$I$89,3,0)*0.475*44/12</f>
        <v>43.394835253210367</v>
      </c>
      <c r="BS63" s="22">
        <f t="shared" si="9"/>
        <v>149.49040199964529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835</v>
      </c>
      <c r="BW63" s="12">
        <f>VLOOKUP(A63,'Données projet'!$A$113:$I$133,9,0)</f>
        <v>21</v>
      </c>
      <c r="BX63" s="12">
        <f t="array" ref="BX63">INDEX(BW:BW,MIN(IF(ISNUMBER(BW63:BW259),ROW(BW63:BW259),"")))</f>
        <v>21</v>
      </c>
      <c r="BY63" s="12">
        <f>IF('Données projet'!$A$114&gt;35,BY62+BX63-CG62,IF(A63&lt;'Données projet'!$A$114,$BV$205^A63,IF(A63='Données projet'!$A$114,'Données projet'!$B$114,BY62+BX63-CG62)))</f>
        <v>835.00000000000011</v>
      </c>
      <c r="BZ63" s="13">
        <f>BY63*VLOOKUP('Données projet'!$B$12,Paramètres!$A$1:$I$89,3,0)*VLOOKUP('Données projet'!$B$12,Paramètres!$A$1:$I$89,5,0)</f>
        <v>369.07000000000005</v>
      </c>
      <c r="CA63" s="13">
        <f t="shared" si="39"/>
        <v>85.477015853186089</v>
      </c>
      <c r="CB63" s="20">
        <f t="shared" si="10"/>
        <v>791.66938594429928</v>
      </c>
      <c r="CC63" s="59">
        <f t="shared" si="11"/>
        <v>1085.0027192776327</v>
      </c>
      <c r="CD63" s="59">
        <f ca="1">AVERAGE(OFFSET($CC$3,0,0,'Données projet'!$E$12+1,1))-AVERAGE(OFFSET($H$3,0,0,'Données projet'!$E$12+1,1))</f>
        <v>415.83983761562189</v>
      </c>
      <c r="CE63" s="59">
        <f t="shared" si="40"/>
        <v>339.37869344688829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45</v>
      </c>
      <c r="CH63" s="16">
        <f>IF(ISNA(VLOOKUP(A63,'Données projet'!$A$113:$I$133,5,0)),0%,VLOOKUP(A63,'Données projet'!$A$113:$I$133,5,0)*VLOOKUP('Données projet'!$B$12,Paramètres!$A$1:$I$89,7,0))</f>
        <v>0.33</v>
      </c>
      <c r="CI63" s="16">
        <f>IF(ISNA(VLOOKUP(A63,'Données projet'!$A$113:$I$133,6,0)),0%,VLOOKUP(A63,'Données projet'!$A$113:$I$133,6,0)*VLOOKUP('Données projet'!$B$12,Paramètres!$A$1:$I$89,7,0))</f>
        <v>0.13750000000000001</v>
      </c>
      <c r="CJ63" s="16">
        <f>IF(ISNA(VLOOKUP(A63,'Données projet'!$A$113:$I$133,7,0)),0%,VLOOKUP(A63,'Données projet'!$A$113:$I$133,7,0))</f>
        <v>0.15</v>
      </c>
      <c r="CK63" s="21">
        <f>EXP(-LN(2)/35)*CK62+(1-EXP(-LN(2)/35))/(LN(2)/35)*CG63*CH63*VLOOKUP('Données projet'!$B$12,Paramètres!$A$1:$I$89,3,0)*0.475*44/12</f>
        <v>64.187165359181591</v>
      </c>
      <c r="CL63" s="21">
        <f>EXP(-LN(2)/25)*CL62+(1-EXP(-LN(2)/25))/(LN(2)/25)*Calculateur!CG63*Calculateur!CI63*VLOOKUP('Données projet'!$B$12,Paramètres!$A$1:$I$89,3,0)*0.475*44/12</f>
        <v>36.375546159434876</v>
      </c>
      <c r="CM63" s="21">
        <f>EXP(-LN(2)/2)*CM62+(1-EXP(-LN(2)/2))/(LN(2)/2)*CG63*CJ63*VLOOKUP('Données projet'!$B$12,Paramètres!$A$1:$I$89,3,0)*0.475*44/12</f>
        <v>4.2413423612099139</v>
      </c>
      <c r="CN63" s="22">
        <f t="shared" si="12"/>
        <v>104.80405387982638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258.68215148478868</v>
      </c>
      <c r="T64" s="59">
        <f t="shared" si="34"/>
        <v>153.16792125610209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26.348474921181356</v>
      </c>
      <c r="AA64" s="21">
        <f>EXP(-LN(2)/25)*AA63+(1-EXP(-LN(2)/25))/(LN(2)/25)*Calculateur!V64*Calculateur!X64*VLOOKUP('Données projet'!$B$9,Paramètres!$A$1:$I$89,3,0)*0.475*44/12</f>
        <v>1.9030102539294456</v>
      </c>
      <c r="AB64" s="21">
        <f>EXP(-LN(2)/2)*AB63+(1-EXP(-LN(2)/2))/(LN(2)/2)*V64*Y64*VLOOKUP('Données projet'!$B$9,Paramètres!$A$1:$I$89,3,0)*0.475*44/12</f>
        <v>0.92478803575994084</v>
      </c>
      <c r="AC64" s="22">
        <f t="shared" si="3"/>
        <v>29.176273210870743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298.68533387773886</v>
      </c>
      <c r="AO64" s="59">
        <f t="shared" si="36"/>
        <v>176.04868734496114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29.528463273737728</v>
      </c>
      <c r="AV64" s="21">
        <f>EXP(-LN(2)/25)*AV63+(1-EXP(-LN(2)/25))/(LN(2)/25)*Calculateur!AQ64*Calculateur!AS64*VLOOKUP('Données projet'!$B$10,Paramètres!$A$1:$I$89,3,0)*0.475*44/12</f>
        <v>2.1326839052657576</v>
      </c>
      <c r="AW64" s="21">
        <f>EXP(-LN(2)/2)*AW63+(1-EXP(-LN(2)/2))/(LN(2)/2)*AQ64*AT64*VLOOKUP('Données projet'!$B$10,Paramètres!$A$1:$I$89,3,0)*0.475*44/12</f>
        <v>1.0364003849033823</v>
      </c>
      <c r="AX64" s="21">
        <f t="shared" si="6"/>
        <v>32.697547563906866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-5.999999999994543E-2</v>
      </c>
      <c r="BE64" s="13">
        <f>BD64*VLOOKUP('Données projet'!$B$11,Paramètres!$A$1:$I$89,3,0)*VLOOKUP('Données projet'!$B$11,Paramètres!$A$1:$I$89,5,0)</f>
        <v>-2.8079999999974462E-2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83.62456509032836</v>
      </c>
      <c r="BJ64" s="59">
        <f t="shared" si="38"/>
        <v>131.53128089847871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71.48905703754258</v>
      </c>
      <c r="BQ64" s="21">
        <f>EXP(-LN(2)/25)*BQ63+(1-EXP(-LN(2)/25))/(LN(2)/25)*Calculateur!BL64*Calculateur!BN64*VLOOKUP('Données projet'!$B$11,Paramètres!$A$1:$I$89,3,0)*0.475*44/12</f>
        <v>32.269397270965904</v>
      </c>
      <c r="BR64" s="21">
        <f>EXP(-LN(2)/2)*BR63+(1-EXP(-LN(2)/2))/(LN(2)/2)*BL64*BO64*VLOOKUP('Données projet'!$B$11,Paramètres!$A$1:$I$89,3,0)*0.475*44/12</f>
        <v>30.684782276018105</v>
      </c>
      <c r="BS64" s="22">
        <f t="shared" si="9"/>
        <v>134.44323658452657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17.600000000000001</v>
      </c>
      <c r="BY64" s="12">
        <f>IF('Données projet'!$A$114&gt;35,BY63+BX64-CG63,IF(A64&lt;'Données projet'!$A$114,$BV$205^A64,IF(A64='Données projet'!$A$114,'Données projet'!$B$114,BY63+BX64-CG63)))</f>
        <v>807.60000000000014</v>
      </c>
      <c r="BZ64" s="13">
        <f>BY64*VLOOKUP('Données projet'!$B$12,Paramètres!$A$1:$I$89,3,0)*VLOOKUP('Données projet'!$B$12,Paramètres!$A$1:$I$89,5,0)</f>
        <v>356.95920000000007</v>
      </c>
      <c r="CA64" s="13">
        <f t="shared" si="39"/>
        <v>82.993836678382237</v>
      </c>
      <c r="CB64" s="20">
        <f t="shared" si="10"/>
        <v>766.2515388815159</v>
      </c>
      <c r="CC64" s="59">
        <f t="shared" si="11"/>
        <v>1059.5848722148492</v>
      </c>
      <c r="CD64" s="59">
        <f ca="1">AVERAGE(OFFSET($CC$3,0,0,'Données projet'!$E$12+1,1))-AVERAGE(OFFSET($H$3,0,0,'Données projet'!$E$12+1,1))</f>
        <v>415.83983761562189</v>
      </c>
      <c r="CE64" s="59">
        <f t="shared" si="40"/>
        <v>339.37869344688829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62.928494196793139</v>
      </c>
      <c r="CL64" s="21">
        <f>EXP(-LN(2)/25)*CL63+(1-EXP(-LN(2)/25))/(LN(2)/25)*Calculateur!CG64*Calculateur!CI64*VLOOKUP('Données projet'!$B$12,Paramètres!$A$1:$I$89,3,0)*0.475*44/12</f>
        <v>35.380854936798293</v>
      </c>
      <c r="CM64" s="21">
        <f>EXP(-LN(2)/2)*CM63+(1-EXP(-LN(2)/2))/(LN(2)/2)*CG64*CJ64*VLOOKUP('Données projet'!$B$12,Paramètres!$A$1:$I$89,3,0)*0.475*44/12</f>
        <v>2.9990819449452935</v>
      </c>
      <c r="CN64" s="22">
        <f t="shared" si="12"/>
        <v>101.30843107853673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258.68215148478868</v>
      </c>
      <c r="T65" s="59">
        <f t="shared" si="34"/>
        <v>153.16792125610209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25.831797398959814</v>
      </c>
      <c r="AA65" s="21">
        <f>EXP(-LN(2)/25)*AA64+(1-EXP(-LN(2)/25))/(LN(2)/25)*Calculateur!V65*Calculateur!X65*VLOOKUP('Données projet'!$B$9,Paramètres!$A$1:$I$89,3,0)*0.475*44/12</f>
        <v>1.850972338460785</v>
      </c>
      <c r="AB65" s="21">
        <f>EXP(-LN(2)/2)*AB64+(1-EXP(-LN(2)/2))/(LN(2)/2)*V65*Y65*VLOOKUP('Données projet'!$B$9,Paramètres!$A$1:$I$89,3,0)*0.475*44/12</f>
        <v>0.65392389124604167</v>
      </c>
      <c r="AC65" s="22">
        <f t="shared" si="3"/>
        <v>28.336693628666641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298.68533387773886</v>
      </c>
      <c r="AO65" s="59">
        <f t="shared" si="36"/>
        <v>176.04868734496114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28.94942811952393</v>
      </c>
      <c r="AV65" s="21">
        <f>EXP(-LN(2)/25)*AV64+(1-EXP(-LN(2)/25))/(LN(2)/25)*Calculateur!AQ65*Calculateur!AS65*VLOOKUP('Données projet'!$B$10,Paramètres!$A$1:$I$89,3,0)*0.475*44/12</f>
        <v>2.0743655517232931</v>
      </c>
      <c r="AW65" s="21">
        <f>EXP(-LN(2)/2)*AW64+(1-EXP(-LN(2)/2))/(LN(2)/2)*AQ65*AT65*VLOOKUP('Données projet'!$B$10,Paramètres!$A$1:$I$89,3,0)*0.475*44/12</f>
        <v>0.73284574018952964</v>
      </c>
      <c r="AX65" s="21">
        <f t="shared" si="6"/>
        <v>31.756639411436751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-5.999999999994543E-2</v>
      </c>
      <c r="BE65" s="13">
        <f>BD65*VLOOKUP('Données projet'!$B$11,Paramètres!$A$1:$I$89,3,0)*VLOOKUP('Données projet'!$B$11,Paramètres!$A$1:$I$89,5,0)</f>
        <v>-2.8079999999974462E-2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83.62456509032836</v>
      </c>
      <c r="BJ65" s="59">
        <f t="shared" si="38"/>
        <v>131.53128089847871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70.087200233055626</v>
      </c>
      <c r="BQ65" s="21">
        <f>EXP(-LN(2)/25)*BQ64+(1-EXP(-LN(2)/25))/(LN(2)/25)*Calculateur!BL65*Calculateur!BN65*VLOOKUP('Données projet'!$B$11,Paramètres!$A$1:$I$89,3,0)*0.475*44/12</f>
        <v>31.386988905617493</v>
      </c>
      <c r="BR65" s="21">
        <f>EXP(-LN(2)/2)*BR64+(1-EXP(-LN(2)/2))/(LN(2)/2)*BL65*BO65*VLOOKUP('Données projet'!$B$11,Paramètres!$A$1:$I$89,3,0)*0.475*44/12</f>
        <v>21.697417626605187</v>
      </c>
      <c r="BS65" s="22">
        <f t="shared" si="9"/>
        <v>123.17160676527831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17.600000000000001</v>
      </c>
      <c r="BY65" s="12">
        <f>IF('Données projet'!$A$114&gt;35,BY64+BX65-CG64,IF(A65&lt;'Données projet'!$A$114,$BV$205^A65,IF(A65='Données projet'!$A$114,'Données projet'!$B$114,BY64+BX65-CG64)))</f>
        <v>825.20000000000016</v>
      </c>
      <c r="BZ65" s="13">
        <f>BY65*VLOOKUP('Données projet'!$B$12,Paramètres!$A$1:$I$89,3,0)*VLOOKUP('Données projet'!$B$12,Paramètres!$A$1:$I$89,5,0)</f>
        <v>364.73840000000013</v>
      </c>
      <c r="CA65" s="13">
        <f t="shared" si="39"/>
        <v>84.58997726602351</v>
      </c>
      <c r="CB65" s="20">
        <f t="shared" si="10"/>
        <v>782.5802570716578</v>
      </c>
      <c r="CC65" s="59">
        <f t="shared" si="11"/>
        <v>1075.9135904049911</v>
      </c>
      <c r="CD65" s="59">
        <f ca="1">AVERAGE(OFFSET($CC$3,0,0,'Données projet'!$E$12+1,1))-AVERAGE(OFFSET($H$3,0,0,'Données projet'!$E$12+1,1))</f>
        <v>415.83983761562189</v>
      </c>
      <c r="CE65" s="59">
        <f t="shared" si="40"/>
        <v>339.37869344688829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61.694504808185521</v>
      </c>
      <c r="CL65" s="21">
        <f>EXP(-LN(2)/25)*CL64+(1-EXP(-LN(2)/25))/(LN(2)/25)*Calculateur!CG65*Calculateur!CI65*VLOOKUP('Données projet'!$B$12,Paramètres!$A$1:$I$89,3,0)*0.475*44/12</f>
        <v>34.41336359795325</v>
      </c>
      <c r="CM65" s="21">
        <f>EXP(-LN(2)/2)*CM64+(1-EXP(-LN(2)/2))/(LN(2)/2)*CG65*CJ65*VLOOKUP('Données projet'!$B$12,Paramètres!$A$1:$I$89,3,0)*0.475*44/12</f>
        <v>2.120671180604957</v>
      </c>
      <c r="CN65" s="22">
        <f t="shared" si="12"/>
        <v>98.228539586743736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258.68215148478868</v>
      </c>
      <c r="T66" s="59">
        <f t="shared" si="34"/>
        <v>153.16792125610209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25.325251607806866</v>
      </c>
      <c r="AA66" s="21">
        <f>EXP(-LN(2)/25)*AA65+(1-EXP(-LN(2)/25))/(LN(2)/25)*Calculateur!V66*Calculateur!X66*VLOOKUP('Données projet'!$B$9,Paramètres!$A$1:$I$89,3,0)*0.475*44/12</f>
        <v>1.80035740252717</v>
      </c>
      <c r="AB66" s="21">
        <f>EXP(-LN(2)/2)*AB65+(1-EXP(-LN(2)/2))/(LN(2)/2)*V66*Y66*VLOOKUP('Données projet'!$B$9,Paramètres!$A$1:$I$89,3,0)*0.475*44/12</f>
        <v>0.46239401787997053</v>
      </c>
      <c r="AC66" s="22">
        <f t="shared" si="3"/>
        <v>27.588003028214004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298.68533387773886</v>
      </c>
      <c r="AO66" s="59">
        <f t="shared" si="36"/>
        <v>176.04868734496114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28.381747491507696</v>
      </c>
      <c r="AV66" s="21">
        <f>EXP(-LN(2)/25)*AV65+(1-EXP(-LN(2)/25))/(LN(2)/25)*Calculateur!AQ66*Calculateur!AS66*VLOOKUP('Données projet'!$B$10,Paramètres!$A$1:$I$89,3,0)*0.475*44/12</f>
        <v>2.0176419166252764</v>
      </c>
      <c r="AW66" s="21">
        <f>EXP(-LN(2)/2)*AW65+(1-EXP(-LN(2)/2))/(LN(2)/2)*AQ66*AT66*VLOOKUP('Données projet'!$B$10,Paramètres!$A$1:$I$89,3,0)*0.475*44/12</f>
        <v>0.51820019245169124</v>
      </c>
      <c r="AX66" s="21">
        <f t="shared" si="6"/>
        <v>30.917589600584662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-5.999999999994543E-2</v>
      </c>
      <c r="BE66" s="13">
        <f>BD66*VLOOKUP('Données projet'!$B$11,Paramètres!$A$1:$I$89,3,0)*VLOOKUP('Données projet'!$B$11,Paramètres!$A$1:$I$89,5,0)</f>
        <v>-2.8079999999974462E-2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83.62456509032836</v>
      </c>
      <c r="BJ66" s="59">
        <f t="shared" si="38"/>
        <v>131.53128089847871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68.71283298545643</v>
      </c>
      <c r="BQ66" s="21">
        <f>EXP(-LN(2)/25)*BQ65+(1-EXP(-LN(2)/25))/(LN(2)/25)*Calculateur!BL66*Calculateur!BN66*VLOOKUP('Données projet'!$B$11,Paramètres!$A$1:$I$89,3,0)*0.475*44/12</f>
        <v>30.52871004342337</v>
      </c>
      <c r="BR66" s="21">
        <f>EXP(-LN(2)/2)*BR65+(1-EXP(-LN(2)/2))/(LN(2)/2)*BL66*BO66*VLOOKUP('Données projet'!$B$11,Paramètres!$A$1:$I$89,3,0)*0.475*44/12</f>
        <v>15.342391138009054</v>
      </c>
      <c r="BS66" s="22">
        <f t="shared" si="9"/>
        <v>114.58393416688885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17.600000000000001</v>
      </c>
      <c r="BY66" s="12">
        <f>IF('Données projet'!$A$114&gt;35,BY65+BX66-CG65,IF(A66&lt;'Données projet'!$A$114,$BV$205^A66,IF(A66='Données projet'!$A$114,'Données projet'!$B$114,BY65+BX66-CG65)))</f>
        <v>842.80000000000018</v>
      </c>
      <c r="BZ66" s="13">
        <f>BY66*VLOOKUP('Données projet'!$B$12,Paramètres!$A$1:$I$89,3,0)*VLOOKUP('Données projet'!$B$12,Paramètres!$A$1:$I$89,5,0)</f>
        <v>372.51760000000013</v>
      </c>
      <c r="CA66" s="13">
        <f t="shared" si="39"/>
        <v>86.182159875475833</v>
      </c>
      <c r="CB66" s="20">
        <f t="shared" si="10"/>
        <v>798.90208178312059</v>
      </c>
      <c r="CC66" s="59">
        <f t="shared" si="11"/>
        <v>1092.2354151164539</v>
      </c>
      <c r="CD66" s="59">
        <f ca="1">AVERAGE(OFFSET($CC$3,0,0,'Données projet'!$E$12+1,1))-AVERAGE(OFFSET($H$3,0,0,'Données projet'!$E$12+1,1))</f>
        <v>415.83983761562189</v>
      </c>
      <c r="CE66" s="59">
        <f t="shared" si="40"/>
        <v>339.37869344688829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60.48471319882929</v>
      </c>
      <c r="CL66" s="21">
        <f>EXP(-LN(2)/25)*CL65+(1-EXP(-LN(2)/25))/(LN(2)/25)*Calculateur!CG66*Calculateur!CI66*VLOOKUP('Données projet'!$B$12,Paramètres!$A$1:$I$89,3,0)*0.475*44/12</f>
        <v>33.472328360647083</v>
      </c>
      <c r="CM66" s="21">
        <f>EXP(-LN(2)/2)*CM65+(1-EXP(-LN(2)/2))/(LN(2)/2)*CG66*CJ66*VLOOKUP('Données projet'!$B$12,Paramètres!$A$1:$I$89,3,0)*0.475*44/12</f>
        <v>1.4995409724726467</v>
      </c>
      <c r="CN66" s="22">
        <f t="shared" si="12"/>
        <v>95.456582531949024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258.68215148478868</v>
      </c>
      <c r="T67" s="59">
        <f t="shared" si="34"/>
        <v>153.16792125610209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24.828638870656</v>
      </c>
      <c r="AA67" s="21">
        <f>EXP(-LN(2)/25)*AA66+(1-EXP(-LN(2)/25))/(LN(2)/25)*Calculateur!V67*Calculateur!X67*VLOOKUP('Données projet'!$B$9,Paramètres!$A$1:$I$89,3,0)*0.475*44/12</f>
        <v>1.7511265346783835</v>
      </c>
      <c r="AB67" s="21">
        <f>EXP(-LN(2)/2)*AB66+(1-EXP(-LN(2)/2))/(LN(2)/2)*V67*Y67*VLOOKUP('Données projet'!$B$9,Paramètres!$A$1:$I$89,3,0)*0.475*44/12</f>
        <v>0.32696194562302089</v>
      </c>
      <c r="AC67" s="22">
        <f t="shared" si="3"/>
        <v>26.906727350957407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298.68533387773886</v>
      </c>
      <c r="AO67" s="59">
        <f t="shared" si="36"/>
        <v>176.04868734496114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27.825198734355865</v>
      </c>
      <c r="AV67" s="21">
        <f>EXP(-LN(2)/25)*AV66+(1-EXP(-LN(2)/25))/(LN(2)/25)*Calculateur!AQ67*Calculateur!AS67*VLOOKUP('Données projet'!$B$10,Paramètres!$A$1:$I$89,3,0)*0.475*44/12</f>
        <v>1.9624693923119811</v>
      </c>
      <c r="AW67" s="21">
        <f>EXP(-LN(2)/2)*AW66+(1-EXP(-LN(2)/2))/(LN(2)/2)*AQ67*AT67*VLOOKUP('Données projet'!$B$10,Paramètres!$A$1:$I$89,3,0)*0.475*44/12</f>
        <v>0.36642287009476487</v>
      </c>
      <c r="AX67" s="21">
        <f t="shared" si="6"/>
        <v>30.154090996762612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-5.999999999994543E-2</v>
      </c>
      <c r="BE67" s="13">
        <f>BD67*VLOOKUP('Données projet'!$B$11,Paramètres!$A$1:$I$89,3,0)*VLOOKUP('Données projet'!$B$11,Paramètres!$A$1:$I$89,5,0)</f>
        <v>-2.8079999999974462E-2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83.62456509032836</v>
      </c>
      <c r="BJ67" s="59">
        <f t="shared" si="38"/>
        <v>131.53128089847871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67.365416241301418</v>
      </c>
      <c r="BQ67" s="21">
        <f>EXP(-LN(2)/25)*BQ66+(1-EXP(-LN(2)/25))/(LN(2)/25)*Calculateur!BL67*Calculateur!BN67*VLOOKUP('Données projet'!$B$11,Paramètres!$A$1:$I$89,3,0)*0.475*44/12</f>
        <v>29.693900861850871</v>
      </c>
      <c r="BR67" s="21">
        <f>EXP(-LN(2)/2)*BR66+(1-EXP(-LN(2)/2))/(LN(2)/2)*BL67*BO67*VLOOKUP('Données projet'!$B$11,Paramètres!$A$1:$I$89,3,0)*0.475*44/12</f>
        <v>10.848708813302595</v>
      </c>
      <c r="BS67" s="22">
        <f t="shared" si="9"/>
        <v>107.90802591645489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17.600000000000001</v>
      </c>
      <c r="BY67" s="12">
        <f>IF('Données projet'!$A$114&gt;35,BY66+BX67-CG66,IF(A67&lt;'Données projet'!$A$114,$BV$205^A67,IF(A67='Données projet'!$A$114,'Données projet'!$B$114,BY66+BX67-CG66)))</f>
        <v>860.4000000000002</v>
      </c>
      <c r="BZ67" s="13">
        <f>BY67*VLOOKUP('Données projet'!$B$12,Paramètres!$A$1:$I$89,3,0)*VLOOKUP('Données projet'!$B$12,Paramètres!$A$1:$I$89,5,0)</f>
        <v>380.29680000000019</v>
      </c>
      <c r="CA67" s="13">
        <f t="shared" si="39"/>
        <v>87.770476682637394</v>
      </c>
      <c r="CB67" s="20">
        <f t="shared" si="10"/>
        <v>815.21717355559383</v>
      </c>
      <c r="CC67" s="59">
        <f t="shared" si="11"/>
        <v>1108.5505068889272</v>
      </c>
      <c r="CD67" s="59">
        <f ca="1">AVERAGE(OFFSET($CC$3,0,0,'Données projet'!$E$12+1,1))-AVERAGE(OFFSET($H$3,0,0,'Données projet'!$E$12+1,1))</f>
        <v>415.83983761562189</v>
      </c>
      <c r="CE67" s="59">
        <f t="shared" si="40"/>
        <v>339.37869344688829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59.298644865032514</v>
      </c>
      <c r="CL67" s="21">
        <f>EXP(-LN(2)/25)*CL66+(1-EXP(-LN(2)/25))/(LN(2)/25)*Calculateur!CG67*Calculateur!CI67*VLOOKUP('Données projet'!$B$12,Paramètres!$A$1:$I$89,3,0)*0.475*44/12</f>
        <v>32.557025781391943</v>
      </c>
      <c r="CM67" s="21">
        <f>EXP(-LN(2)/2)*CM66+(1-EXP(-LN(2)/2))/(LN(2)/2)*CG67*CJ67*VLOOKUP('Données projet'!$B$12,Paramètres!$A$1:$I$89,3,0)*0.475*44/12</f>
        <v>1.0603355903024785</v>
      </c>
      <c r="CN67" s="22">
        <f t="shared" si="12"/>
        <v>92.916006236726929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258.68215148478868</v>
      </c>
      <c r="T68" s="59">
        <f t="shared" si="34"/>
        <v>153.16792125610209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0.34400000000000003</v>
      </c>
      <c r="X68" s="16">
        <f>IF(ISNA(VLOOKUP(A68,'Données projet'!$A$35:$I$55,6,0)),0%,VLOOKUP(A68,'Données projet'!$A$35:$I$55,6,0)*VLOOKUP('Données projet'!$B$9,Paramètres!$A$1:$I$89,7,0))</f>
        <v>1.72E-2</v>
      </c>
      <c r="Y68" s="16">
        <f>IF(ISNA(VLOOKUP(A68,'Données projet'!$A$35:$I$55,7,0)),0%,VLOOKUP(A68,'Données projet'!$A$35:$I$55,7,0))</f>
        <v>0.06</v>
      </c>
      <c r="Z68" s="21">
        <f>EXP(-LN(2)/35)*Z67+(1-EXP(-LN(2)/35))/(LN(2)/35)*V68*W68*VLOOKUP('Données projet'!$B$9,Paramètres!$A$1:$I$89,3,0)*0.475*44/12</f>
        <v>31.567423032452613</v>
      </c>
      <c r="AA68" s="21">
        <f>EXP(-LN(2)/25)*AA67+(1-EXP(-LN(2)/25))/(LN(2)/25)*Calculateur!V68*Calculateur!X68*VLOOKUP('Données projet'!$B$9,Paramètres!$A$1:$I$89,3,0)*0.475*44/12</f>
        <v>2.0631023102435191</v>
      </c>
      <c r="AB68" s="21">
        <f>EXP(-LN(2)/2)*AB67+(1-EXP(-LN(2)/2))/(LN(2)/2)*V68*Y68*VLOOKUP('Données projet'!$B$9,Paramètres!$A$1:$I$89,3,0)*0.475*44/12</f>
        <v>1.3068629808820287</v>
      </c>
      <c r="AC68" s="22">
        <f t="shared" ref="AC68:AC131" si="57">SUM(Z68:AB68)</f>
        <v>34.937388323578162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298.68533387773886</v>
      </c>
      <c r="AO68" s="59">
        <f t="shared" si="36"/>
        <v>176.04868734496114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0.34400000000000003</v>
      </c>
      <c r="AS68" s="16">
        <f>IF(ISNA(VLOOKUP(A68,'Données projet'!$A$61:$I$81,6,0)),0%,VLOOKUP(A68,'Données projet'!$A$61:$I$81,6,0)*VLOOKUP('Données projet'!$B$10,Paramètres!$A$1:$I$89,7,0))</f>
        <v>1.72E-2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35.377284432921037</v>
      </c>
      <c r="AV68" s="21">
        <f>EXP(-LN(2)/25)*AV67+(1-EXP(-LN(2)/25))/(LN(2)/25)*Calculateur!AQ68*Calculateur!AS68*VLOOKUP('Données projet'!$B$10,Paramètres!$A$1:$I$89,3,0)*0.475*44/12</f>
        <v>2.3120974166522195</v>
      </c>
      <c r="AW68" s="21">
        <f>EXP(-LN(2)/2)*AW67+(1-EXP(-LN(2)/2))/(LN(2)/2)*AQ68*AT68*VLOOKUP('Données projet'!$B$10,Paramètres!$A$1:$I$89,3,0)*0.475*44/12</f>
        <v>1.464587823402274</v>
      </c>
      <c r="AX68" s="21">
        <f t="shared" ref="AX68:AX131" si="60">SUM(AU68:AW68)</f>
        <v>39.153969672975535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-5.999999999994543E-2</v>
      </c>
      <c r="BE68" s="13">
        <f>BD68*VLOOKUP('Données projet'!$B$11,Paramètres!$A$1:$I$89,3,0)*VLOOKUP('Données projet'!$B$11,Paramètres!$A$1:$I$89,5,0)</f>
        <v>-2.8079999999974462E-2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83.62456509032836</v>
      </c>
      <c r="BJ68" s="59">
        <f t="shared" si="38"/>
        <v>131.53128089847871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66.044421517656218</v>
      </c>
      <c r="BQ68" s="21">
        <f>EXP(-LN(2)/25)*BQ67+(1-EXP(-LN(2)/25))/(LN(2)/25)*Calculateur!BL68*Calculateur!BN68*VLOOKUP('Données projet'!$B$11,Paramètres!$A$1:$I$89,3,0)*0.475*44/12</f>
        <v>28.881919581249178</v>
      </c>
      <c r="BR68" s="21">
        <f>EXP(-LN(2)/2)*BR67+(1-EXP(-LN(2)/2))/(LN(2)/2)*BL68*BO68*VLOOKUP('Données projet'!$B$11,Paramètres!$A$1:$I$89,3,0)*0.475*44/12</f>
        <v>7.6711955690045288</v>
      </c>
      <c r="BS68" s="22">
        <f t="shared" ref="BS68:BS131" si="63">SUM(BP68:BR68)</f>
        <v>102.59753666790992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878</v>
      </c>
      <c r="BW68" s="12">
        <f>VLOOKUP(A68,'Données projet'!$A$113:$I$133,9,0)</f>
        <v>17.600000000000001</v>
      </c>
      <c r="BX68" s="12">
        <f t="array" ref="BX68">INDEX(BW:BW,MIN(IF(ISNUMBER(BW68:BW264),ROW(BW68:BW264),"")))</f>
        <v>17.600000000000001</v>
      </c>
      <c r="BY68" s="12">
        <f>IF('Données projet'!$A$114&gt;35,BY67+BX68-CG67,IF(A68&lt;'Données projet'!$A$114,$BV$205^A68,IF(A68='Données projet'!$A$114,'Données projet'!$B$114,BY67+BX68-CG67)))</f>
        <v>878.00000000000023</v>
      </c>
      <c r="BZ68" s="13">
        <f>BY68*VLOOKUP('Données projet'!$B$12,Paramètres!$A$1:$I$89,3,0)*VLOOKUP('Données projet'!$B$12,Paramètres!$A$1:$I$89,5,0)</f>
        <v>388.07600000000014</v>
      </c>
      <c r="CA68" s="13">
        <f t="shared" si="39"/>
        <v>89.355015876818186</v>
      </c>
      <c r="CB68" s="20">
        <f t="shared" ref="CB68:CB131" si="64">(BZ68+CA68)*0.475*44/12</f>
        <v>831.52568598545849</v>
      </c>
      <c r="CC68" s="59">
        <f t="shared" ref="CC68:CC131" si="65">CB68+(BT68+BU68)*44/12</f>
        <v>1124.8590193187918</v>
      </c>
      <c r="CD68" s="59">
        <f ca="1">AVERAGE(OFFSET($CC$3,0,0,'Données projet'!$E$12+1,1))-AVERAGE(OFFSET($H$3,0,0,'Données projet'!$E$12+1,1))</f>
        <v>415.83983761562189</v>
      </c>
      <c r="CE68" s="59">
        <f t="shared" si="40"/>
        <v>339.37869344688829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40</v>
      </c>
      <c r="CH68" s="16">
        <f>IF(ISNA(VLOOKUP(A68,'Données projet'!$A$113:$I$133,5,0)),0%,VLOOKUP(A68,'Données projet'!$A$113:$I$133,5,0)*VLOOKUP('Données projet'!$B$12,Paramètres!$A$1:$I$89,7,0))</f>
        <v>0.38500000000000001</v>
      </c>
      <c r="CI68" s="16">
        <f>IF(ISNA(VLOOKUP(A68,'Données projet'!$A$113:$I$133,6,0)),0%,VLOOKUP(A68,'Données projet'!$A$113:$I$133,6,0)*VLOOKUP('Données projet'!$B$12,Paramètres!$A$1:$I$89,7,0))</f>
        <v>0.13750000000000001</v>
      </c>
      <c r="CJ68" s="16">
        <f>IF(ISNA(VLOOKUP(A68,'Données projet'!$A$113:$I$133,7,0)),0%,VLOOKUP(A68,'Données projet'!$A$113:$I$133,7,0))</f>
        <v>0.15</v>
      </c>
      <c r="CK68" s="21">
        <f>EXP(-LN(2)/35)*CK67+(1-EXP(-LN(2)/35))/(LN(2)/35)*CG68*CH68*VLOOKUP('Données projet'!$B$12,Paramètres!$A$1:$I$89,3,0)*0.475*44/12</f>
        <v>67.165493543117108</v>
      </c>
      <c r="CL68" s="21">
        <f>EXP(-LN(2)/25)*CL67+(1-EXP(-LN(2)/25))/(LN(2)/25)*Calculateur!CG68*Calculateur!CI68*VLOOKUP('Données projet'!$B$12,Paramètres!$A$1:$I$89,3,0)*0.475*44/12</f>
        <v>34.878932816260154</v>
      </c>
      <c r="CM68" s="21">
        <f>EXP(-LN(2)/2)*CM67+(1-EXP(-LN(2)/2))/(LN(2)/2)*CG68*CJ68*VLOOKUP('Données projet'!$B$12,Paramètres!$A$1:$I$89,3,0)*0.475*44/12</f>
        <v>3.7524505392765106</v>
      </c>
      <c r="CN68" s="22">
        <f t="shared" ref="CN68:CN131" si="66">SUM(CK68:CM68)</f>
        <v>105.79687689865378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258.68215148478868</v>
      </c>
      <c r="T69" s="59">
        <f t="shared" ref="T69:T132" si="88">$T$3</f>
        <v>153.16792125610209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30.948405121013071</v>
      </c>
      <c r="AA69" s="21">
        <f>EXP(-LN(2)/25)*AA68+(1-EXP(-LN(2)/25))/(LN(2)/25)*Calculateur!V69*Calculateur!X69*VLOOKUP('Données projet'!$B$9,Paramètres!$A$1:$I$89,3,0)*0.475*44/12</f>
        <v>2.0066866690760747</v>
      </c>
      <c r="AB69" s="21">
        <f>EXP(-LN(2)/2)*AB68+(1-EXP(-LN(2)/2))/(LN(2)/2)*V69*Y69*VLOOKUP('Données projet'!$B$9,Paramètres!$A$1:$I$89,3,0)*0.475*44/12</f>
        <v>0.92409167586334795</v>
      </c>
      <c r="AC69" s="22">
        <f t="shared" si="57"/>
        <v>33.879183465952487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298.68533387773886</v>
      </c>
      <c r="AO69" s="59">
        <f t="shared" ref="AO69:AO132" si="90">$AO$3</f>
        <v>176.04868734496114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34.683557463204309</v>
      </c>
      <c r="AV69" s="21">
        <f>EXP(-LN(2)/25)*AV68+(1-EXP(-LN(2)/25))/(LN(2)/25)*Calculateur!AQ69*Calculateur!AS69*VLOOKUP('Données projet'!$B$10,Paramètres!$A$1:$I$89,3,0)*0.475*44/12</f>
        <v>2.2488729912059457</v>
      </c>
      <c r="AW69" s="21">
        <f>EXP(-LN(2)/2)*AW68+(1-EXP(-LN(2)/2))/(LN(2)/2)*AQ69*AT69*VLOOKUP('Données projet'!$B$10,Paramètres!$A$1:$I$89,3,0)*0.475*44/12</f>
        <v>1.0356199815709937</v>
      </c>
      <c r="AX69" s="21">
        <f t="shared" si="60"/>
        <v>37.968050435981247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-5.999999999994543E-2</v>
      </c>
      <c r="BE69" s="13">
        <f>BD69*VLOOKUP('Données projet'!$B$11,Paramètres!$A$1:$I$89,3,0)*VLOOKUP('Données projet'!$B$11,Paramètres!$A$1:$I$89,5,0)</f>
        <v>-2.8079999999974462E-2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83.62456509032836</v>
      </c>
      <c r="BJ69" s="59">
        <f t="shared" ref="BJ69:BJ132" si="92">$BJ$3</f>
        <v>131.53128089847871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64.749330694814475</v>
      </c>
      <c r="BQ69" s="21">
        <f>EXP(-LN(2)/25)*BQ68+(1-EXP(-LN(2)/25))/(LN(2)/25)*Calculateur!BL69*Calculateur!BN69*VLOOKUP('Données projet'!$B$11,Paramètres!$A$1:$I$89,3,0)*0.475*44/12</f>
        <v>28.092141971465779</v>
      </c>
      <c r="BR69" s="21">
        <f>EXP(-LN(2)/2)*BR68+(1-EXP(-LN(2)/2))/(LN(2)/2)*BL69*BO69*VLOOKUP('Données projet'!$B$11,Paramètres!$A$1:$I$89,3,0)*0.475*44/12</f>
        <v>5.4243544066512985</v>
      </c>
      <c r="BS69" s="22">
        <f t="shared" si="63"/>
        <v>98.265827072931557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14.6</v>
      </c>
      <c r="BY69" s="12">
        <f>IF('Données projet'!$A$114&gt;35,BY68+BX69-CG68,IF(A69&lt;'Données projet'!$A$114,$BV$205^A69,IF(A69='Données projet'!$A$114,'Données projet'!$B$114,BY68+BX69-CG68)))</f>
        <v>852.60000000000025</v>
      </c>
      <c r="BZ69" s="13">
        <f>BY69*VLOOKUP('Données projet'!$B$12,Paramètres!$A$1:$I$89,3,0)*VLOOKUP('Données projet'!$B$12,Paramètres!$A$1:$I$89,5,0)</f>
        <v>376.84920000000017</v>
      </c>
      <c r="CA69" s="13">
        <f t="shared" ref="CA69:CA132" si="93">EXP(-1.0587+0.8836*LN(BZ69)+0.284)</f>
        <v>87.067034801683633</v>
      </c>
      <c r="CB69" s="20">
        <f t="shared" si="64"/>
        <v>807.98744227959924</v>
      </c>
      <c r="CC69" s="59">
        <f t="shared" si="65"/>
        <v>1101.3207756129325</v>
      </c>
      <c r="CD69" s="59">
        <f ca="1">AVERAGE(OFFSET($CC$3,0,0,'Données projet'!$E$12+1,1))-AVERAGE(OFFSET($H$3,0,0,'Données projet'!$E$12+1,1))</f>
        <v>415.83983761562189</v>
      </c>
      <c r="CE69" s="59">
        <f t="shared" ref="CE69:CE132" si="94">$CE$3</f>
        <v>339.37869344688829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65.848419181642498</v>
      </c>
      <c r="CL69" s="21">
        <f>EXP(-LN(2)/25)*CL68+(1-EXP(-LN(2)/25))/(LN(2)/25)*Calculateur!CG69*Calculateur!CI69*VLOOKUP('Données projet'!$B$12,Paramètres!$A$1:$I$89,3,0)*0.475*44/12</f>
        <v>33.925166564196161</v>
      </c>
      <c r="CM69" s="21">
        <f>EXP(-LN(2)/2)*CM68+(1-EXP(-LN(2)/2))/(LN(2)/2)*CG69*CJ69*VLOOKUP('Données projet'!$B$12,Paramètres!$A$1:$I$89,3,0)*0.475*44/12</f>
        <v>2.6533832223895382</v>
      </c>
      <c r="CN69" s="22">
        <f t="shared" si="66"/>
        <v>102.42696896822819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258.68215148478868</v>
      </c>
      <c r="T70" s="59">
        <f t="shared" si="88"/>
        <v>153.16792125610209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30.341525773253213</v>
      </c>
      <c r="AA70" s="21">
        <f>EXP(-LN(2)/25)*AA69+(1-EXP(-LN(2)/25))/(LN(2)/25)*Calculateur!V70*Calculateur!X70*VLOOKUP('Données projet'!$B$9,Paramètres!$A$1:$I$89,3,0)*0.475*44/12</f>
        <v>1.951813716583124</v>
      </c>
      <c r="AB70" s="21">
        <f>EXP(-LN(2)/2)*AB69+(1-EXP(-LN(2)/2))/(LN(2)/2)*V70*Y70*VLOOKUP('Données projet'!$B$9,Paramètres!$A$1:$I$89,3,0)*0.475*44/12</f>
        <v>0.65343149044101445</v>
      </c>
      <c r="AC70" s="22">
        <f t="shared" si="57"/>
        <v>32.94677098027735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298.68533387773886</v>
      </c>
      <c r="AO70" s="59">
        <f t="shared" si="90"/>
        <v>176.04868734496114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34.003434056232052</v>
      </c>
      <c r="AV70" s="21">
        <f>EXP(-LN(2)/25)*AV69+(1-EXP(-LN(2)/25))/(LN(2)/25)*Calculateur!AQ70*Calculateur!AS70*VLOOKUP('Données projet'!$B$10,Paramètres!$A$1:$I$89,3,0)*0.475*44/12</f>
        <v>2.1873774409983282</v>
      </c>
      <c r="AW70" s="21">
        <f>EXP(-LN(2)/2)*AW69+(1-EXP(-LN(2)/2))/(LN(2)/2)*AQ70*AT70*VLOOKUP('Données projet'!$B$10,Paramètres!$A$1:$I$89,3,0)*0.475*44/12</f>
        <v>0.732293911701137</v>
      </c>
      <c r="AX70" s="21">
        <f t="shared" si="60"/>
        <v>36.923105408931512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-5.999999999994543E-2</v>
      </c>
      <c r="BE70" s="13">
        <f>BD70*VLOOKUP('Données projet'!$B$11,Paramètres!$A$1:$I$89,3,0)*VLOOKUP('Données projet'!$B$11,Paramètres!$A$1:$I$89,5,0)</f>
        <v>-2.8079999999974462E-2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83.62456509032836</v>
      </c>
      <c r="BJ70" s="59">
        <f t="shared" si="92"/>
        <v>131.53128089847871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63.479635813081259</v>
      </c>
      <c r="BQ70" s="21">
        <f>EXP(-LN(2)/25)*BQ69+(1-EXP(-LN(2)/25))/(LN(2)/25)*Calculateur!BL70*Calculateur!BN70*VLOOKUP('Données projet'!$B$11,Paramètres!$A$1:$I$89,3,0)*0.475*44/12</f>
        <v>27.323960871954505</v>
      </c>
      <c r="BR70" s="21">
        <f>EXP(-LN(2)/2)*BR69+(1-EXP(-LN(2)/2))/(LN(2)/2)*BL70*BO70*VLOOKUP('Données projet'!$B$11,Paramètres!$A$1:$I$89,3,0)*0.475*44/12</f>
        <v>3.8355977845022649</v>
      </c>
      <c r="BS70" s="22">
        <f t="shared" si="63"/>
        <v>94.639194469538026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14.6</v>
      </c>
      <c r="BY70" s="12">
        <f>IF('Données projet'!$A$114&gt;35,BY69+BX70-CG69,IF(A70&lt;'Données projet'!$A$114,$BV$205^A70,IF(A70='Données projet'!$A$114,'Données projet'!$B$114,BY69+BX70-CG69)))</f>
        <v>867.20000000000027</v>
      </c>
      <c r="BZ70" s="13">
        <f>BY70*VLOOKUP('Données projet'!$B$12,Paramètres!$A$1:$I$89,3,0)*VLOOKUP('Données projet'!$B$12,Paramètres!$A$1:$I$89,5,0)</f>
        <v>383.3024000000002</v>
      </c>
      <c r="CA70" s="13">
        <f t="shared" si="93"/>
        <v>88.383128112227695</v>
      </c>
      <c r="CB70" s="20">
        <f t="shared" si="64"/>
        <v>821.51896146213005</v>
      </c>
      <c r="CC70" s="59">
        <f t="shared" si="65"/>
        <v>1114.8522947954634</v>
      </c>
      <c r="CD70" s="59">
        <f ca="1">AVERAGE(OFFSET($CC$3,0,0,'Données projet'!$E$12+1,1))-AVERAGE(OFFSET($H$3,0,0,'Données projet'!$E$12+1,1))</f>
        <v>415.83983761562189</v>
      </c>
      <c r="CE70" s="59">
        <f t="shared" si="94"/>
        <v>339.37869344688829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64.557171845060367</v>
      </c>
      <c r="CL70" s="21">
        <f>EXP(-LN(2)/25)*CL69+(1-EXP(-LN(2)/25))/(LN(2)/25)*Calculateur!CG70*Calculateur!CI70*VLOOKUP('Données projet'!$B$12,Paramètres!$A$1:$I$89,3,0)*0.475*44/12</f>
        <v>32.997481100451246</v>
      </c>
      <c r="CM70" s="21">
        <f>EXP(-LN(2)/2)*CM69+(1-EXP(-LN(2)/2))/(LN(2)/2)*CG70*CJ70*VLOOKUP('Données projet'!$B$12,Paramètres!$A$1:$I$89,3,0)*0.475*44/12</f>
        <v>1.8762252696382558</v>
      </c>
      <c r="CN70" s="22">
        <f t="shared" si="66"/>
        <v>99.43087821514986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258.68215148478868</v>
      </c>
      <c r="T71" s="59">
        <f t="shared" si="88"/>
        <v>153.16792125610209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29.746546959343075</v>
      </c>
      <c r="AA71" s="21">
        <f>EXP(-LN(2)/25)*AA70+(1-EXP(-LN(2)/25))/(LN(2)/25)*Calculateur!V71*Calculateur!X71*VLOOKUP('Données projet'!$B$9,Paramètres!$A$1:$I$89,3,0)*0.475*44/12</f>
        <v>1.8984412678617359</v>
      </c>
      <c r="AB71" s="21">
        <f>EXP(-LN(2)/2)*AB70+(1-EXP(-LN(2)/2))/(LN(2)/2)*V71*Y71*VLOOKUP('Données projet'!$B$9,Paramètres!$A$1:$I$89,3,0)*0.475*44/12</f>
        <v>0.46204583793167403</v>
      </c>
      <c r="AC71" s="22">
        <f t="shared" si="57"/>
        <v>32.107034065136482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298.68533387773886</v>
      </c>
      <c r="AO71" s="59">
        <f t="shared" si="90"/>
        <v>176.04868734496114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33.336647454436203</v>
      </c>
      <c r="AV71" s="21">
        <f>EXP(-LN(2)/25)*AV70+(1-EXP(-LN(2)/25))/(LN(2)/25)*Calculateur!AQ71*Calculateur!AS71*VLOOKUP('Données projet'!$B$10,Paramètres!$A$1:$I$89,3,0)*0.475*44/12</f>
        <v>2.1275634898450484</v>
      </c>
      <c r="AW71" s="21">
        <f>EXP(-LN(2)/2)*AW70+(1-EXP(-LN(2)/2))/(LN(2)/2)*AQ71*AT71*VLOOKUP('Données projet'!$B$10,Paramètres!$A$1:$I$89,3,0)*0.475*44/12</f>
        <v>0.51780999078549683</v>
      </c>
      <c r="AX71" s="21">
        <f t="shared" si="60"/>
        <v>35.982020935066743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-5.999999999994543E-2</v>
      </c>
      <c r="BE71" s="13">
        <f>BD71*VLOOKUP('Données projet'!$B$11,Paramètres!$A$1:$I$89,3,0)*VLOOKUP('Données projet'!$B$11,Paramètres!$A$1:$I$89,5,0)</f>
        <v>-2.8079999999974462E-2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83.62456509032836</v>
      </c>
      <c r="BJ71" s="59">
        <f t="shared" si="92"/>
        <v>131.53128089847871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62.23483887354142</v>
      </c>
      <c r="BQ71" s="21">
        <f>EXP(-LN(2)/25)*BQ70+(1-EXP(-LN(2)/25))/(LN(2)/25)*Calculateur!BL71*Calculateur!BN71*VLOOKUP('Données projet'!$B$11,Paramètres!$A$1:$I$89,3,0)*0.475*44/12</f>
        <v>26.576785725006257</v>
      </c>
      <c r="BR71" s="21">
        <f>EXP(-LN(2)/2)*BR70+(1-EXP(-LN(2)/2))/(LN(2)/2)*BL71*BO71*VLOOKUP('Données projet'!$B$11,Paramètres!$A$1:$I$89,3,0)*0.475*44/12</f>
        <v>2.7121772033256497</v>
      </c>
      <c r="BS71" s="22">
        <f t="shared" si="63"/>
        <v>91.523801801873333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14.6</v>
      </c>
      <c r="BY71" s="12">
        <f>IF('Données projet'!$A$114&gt;35,BY70+BX71-CG70,IF(A71&lt;'Données projet'!$A$114,$BV$205^A71,IF(A71='Données projet'!$A$114,'Données projet'!$B$114,BY70+BX71-CG70)))</f>
        <v>881.8000000000003</v>
      </c>
      <c r="BZ71" s="13">
        <f>BY71*VLOOKUP('Données projet'!$B$12,Paramètres!$A$1:$I$89,3,0)*VLOOKUP('Données projet'!$B$12,Paramètres!$A$1:$I$89,5,0)</f>
        <v>389.75560000000019</v>
      </c>
      <c r="CA71" s="13">
        <f t="shared" si="93"/>
        <v>89.696644689479157</v>
      </c>
      <c r="CB71" s="20">
        <f t="shared" si="64"/>
        <v>835.04599283417645</v>
      </c>
      <c r="CC71" s="59">
        <f t="shared" si="65"/>
        <v>1128.3793261675098</v>
      </c>
      <c r="CD71" s="59">
        <f ca="1">AVERAGE(OFFSET($CC$3,0,0,'Données projet'!$E$12+1,1))-AVERAGE(OFFSET($H$3,0,0,'Données projet'!$E$12+1,1))</f>
        <v>415.83983761562189</v>
      </c>
      <c r="CE71" s="59">
        <f t="shared" si="94"/>
        <v>339.37869344688829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63.291245081165506</v>
      </c>
      <c r="CL71" s="21">
        <f>EXP(-LN(2)/25)*CL70+(1-EXP(-LN(2)/25))/(LN(2)/25)*Calculateur!CG71*Calculateur!CI71*VLOOKUP('Données projet'!$B$12,Paramètres!$A$1:$I$89,3,0)*0.475*44/12</f>
        <v>32.095163244497293</v>
      </c>
      <c r="CM71" s="21">
        <f>EXP(-LN(2)/2)*CM70+(1-EXP(-LN(2)/2))/(LN(2)/2)*CG71*CJ71*VLOOKUP('Données projet'!$B$12,Paramètres!$A$1:$I$89,3,0)*0.475*44/12</f>
        <v>1.3266916111947693</v>
      </c>
      <c r="CN71" s="22">
        <f t="shared" si="66"/>
        <v>96.713099936857574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258.68215148478868</v>
      </c>
      <c r="T72" s="59">
        <f t="shared" si="88"/>
        <v>153.16792125610209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29.16323531707247</v>
      </c>
      <c r="AA72" s="21">
        <f>EXP(-LN(2)/25)*AA71+(1-EXP(-LN(2)/25))/(LN(2)/25)*Calculateur!V72*Calculateur!X72*VLOOKUP('Données projet'!$B$9,Paramètres!$A$1:$I$89,3,0)*0.475*44/12</f>
        <v>1.8465282915573695</v>
      </c>
      <c r="AB72" s="21">
        <f>EXP(-LN(2)/2)*AB71+(1-EXP(-LN(2)/2))/(LN(2)/2)*V72*Y72*VLOOKUP('Données projet'!$B$9,Paramètres!$A$1:$I$89,3,0)*0.475*44/12</f>
        <v>0.32671574522050723</v>
      </c>
      <c r="AC72" s="22">
        <f t="shared" si="57"/>
        <v>31.336479353850347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298.68533387773886</v>
      </c>
      <c r="AO72" s="59">
        <f t="shared" si="90"/>
        <v>176.04868734496114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32.682936131201906</v>
      </c>
      <c r="AV72" s="21">
        <f>EXP(-LN(2)/25)*AV71+(1-EXP(-LN(2)/25))/(LN(2)/25)*Calculateur!AQ72*Calculateur!AS72*VLOOKUP('Données projet'!$B$10,Paramètres!$A$1:$I$89,3,0)*0.475*44/12</f>
        <v>2.0693851543315342</v>
      </c>
      <c r="AW72" s="21">
        <f>EXP(-LN(2)/2)*AW71+(1-EXP(-LN(2)/2))/(LN(2)/2)*AQ72*AT72*VLOOKUP('Données projet'!$B$10,Paramètres!$A$1:$I$89,3,0)*0.475*44/12</f>
        <v>0.3661469558505685</v>
      </c>
      <c r="AX72" s="21">
        <f t="shared" si="60"/>
        <v>35.118468241384008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-5.999999999994543E-2</v>
      </c>
      <c r="BE72" s="13">
        <f>BD72*VLOOKUP('Données projet'!$B$11,Paramètres!$A$1:$I$89,3,0)*VLOOKUP('Données projet'!$B$11,Paramètres!$A$1:$I$89,5,0)</f>
        <v>-2.8079999999974462E-2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83.62456509032836</v>
      </c>
      <c r="BJ72" s="59">
        <f t="shared" si="92"/>
        <v>131.53128089847871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61.014451642734798</v>
      </c>
      <c r="BQ72" s="21">
        <f>EXP(-LN(2)/25)*BQ71+(1-EXP(-LN(2)/25))/(LN(2)/25)*Calculateur!BL72*Calculateur!BN72*VLOOKUP('Données projet'!$B$11,Paramètres!$A$1:$I$89,3,0)*0.475*44/12</f>
        <v>25.850042121743542</v>
      </c>
      <c r="BR72" s="21">
        <f>EXP(-LN(2)/2)*BR71+(1-EXP(-LN(2)/2))/(LN(2)/2)*BL72*BO72*VLOOKUP('Données projet'!$B$11,Paramètres!$A$1:$I$89,3,0)*0.475*44/12</f>
        <v>1.9177988922511326</v>
      </c>
      <c r="BS72" s="22">
        <f t="shared" si="63"/>
        <v>88.782292656729467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14.6</v>
      </c>
      <c r="BY72" s="12">
        <f>IF('Données projet'!$A$114&gt;35,BY71+BX72-CG71,IF(A72&lt;'Données projet'!$A$114,$BV$205^A72,IF(A72='Données projet'!$A$114,'Données projet'!$B$114,BY71+BX72-CG71)))</f>
        <v>896.40000000000032</v>
      </c>
      <c r="BZ72" s="13">
        <f>BY72*VLOOKUP('Données projet'!$B$12,Paramètres!$A$1:$I$89,3,0)*VLOOKUP('Données projet'!$B$12,Paramètres!$A$1:$I$89,5,0)</f>
        <v>396.20880000000017</v>
      </c>
      <c r="CA72" s="13">
        <f t="shared" si="93"/>
        <v>91.007632121017451</v>
      </c>
      <c r="CB72" s="20">
        <f t="shared" si="64"/>
        <v>848.5686192774391</v>
      </c>
      <c r="CC72" s="59">
        <f t="shared" si="65"/>
        <v>1141.9019526107725</v>
      </c>
      <c r="CD72" s="59">
        <f ca="1">AVERAGE(OFFSET($CC$3,0,0,'Données projet'!$E$12+1,1))-AVERAGE(OFFSET($H$3,0,0,'Données projet'!$E$12+1,1))</f>
        <v>415.83983761562189</v>
      </c>
      <c r="CE72" s="59">
        <f t="shared" si="94"/>
        <v>339.37869344688829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62.050142368971535</v>
      </c>
      <c r="CL72" s="21">
        <f>EXP(-LN(2)/25)*CL71+(1-EXP(-LN(2)/25))/(LN(2)/25)*Calculateur!CG72*Calculateur!CI72*VLOOKUP('Données projet'!$B$12,Paramètres!$A$1:$I$89,3,0)*0.475*44/12</f>
        <v>31.217519317765234</v>
      </c>
      <c r="CM72" s="21">
        <f>EXP(-LN(2)/2)*CM71+(1-EXP(-LN(2)/2))/(LN(2)/2)*CG72*CJ72*VLOOKUP('Données projet'!$B$12,Paramètres!$A$1:$I$89,3,0)*0.475*44/12</f>
        <v>0.93811263481912799</v>
      </c>
      <c r="CN72" s="22">
        <f t="shared" si="66"/>
        <v>94.205774321555907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258.68215148478868</v>
      </c>
      <c r="T73" s="59">
        <f t="shared" si="88"/>
        <v>153.16792125610209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0.34400000000000003</v>
      </c>
      <c r="X73" s="16">
        <f>IF(ISNA(VLOOKUP(A73,'Données projet'!$A$35:$I$55,6,0)),0%,VLOOKUP(A73,'Données projet'!$A$35:$I$55,6,0)*VLOOKUP('Données projet'!$B$9,Paramètres!$A$1:$I$89,7,0))</f>
        <v>1.72E-2</v>
      </c>
      <c r="Y73" s="16">
        <f>IF(ISNA(VLOOKUP(A73,'Données projet'!$A$35:$I$55,7,0)),0%,VLOOKUP(A73,'Données projet'!$A$35:$I$55,7,0))</f>
        <v>0.06</v>
      </c>
      <c r="Z73" s="21">
        <f>EXP(-LN(2)/35)*Z72+(1-EXP(-LN(2)/35))/(LN(2)/35)*V73*W73*VLOOKUP('Données projet'!$B$9,Paramètres!$A$1:$I$89,3,0)*0.475*44/12</f>
        <v>35.817020686397626</v>
      </c>
      <c r="AA73" s="21">
        <f>EXP(-LN(2)/25)*AA72+(1-EXP(-LN(2)/25))/(LN(2)/25)*Calculateur!V73*Calculateur!X73*VLOOKUP('Données projet'!$B$9,Paramètres!$A$1:$I$89,3,0)*0.475*44/12</f>
        <v>2.1558953010636888</v>
      </c>
      <c r="AB73" s="21">
        <f>EXP(-LN(2)/2)*AB72+(1-EXP(-LN(2)/2))/(LN(2)/2)*V73*Y73*VLOOKUP('Données projet'!$B$9,Paramètres!$A$1:$I$89,3,0)*0.475*44/12</f>
        <v>1.3066888909078804</v>
      </c>
      <c r="AC73" s="22">
        <f t="shared" si="57"/>
        <v>39.279604878369192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298.68533387773886</v>
      </c>
      <c r="AO73" s="59">
        <f t="shared" si="90"/>
        <v>176.04868734496114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0.34400000000000003</v>
      </c>
      <c r="AS73" s="16">
        <f>IF(ISNA(VLOOKUP(A73,'Données projet'!$A$61:$I$81,6,0)),0%,VLOOKUP(A73,'Données projet'!$A$61:$I$81,6,0)*VLOOKUP('Données projet'!$B$10,Paramètres!$A$1:$I$89,7,0))</f>
        <v>1.72E-2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40.139764562342179</v>
      </c>
      <c r="AV73" s="21">
        <f>EXP(-LN(2)/25)*AV72+(1-EXP(-LN(2)/25))/(LN(2)/25)*Calculateur!AQ73*Calculateur!AS73*VLOOKUP('Données projet'!$B$10,Paramètres!$A$1:$I$89,3,0)*0.475*44/12</f>
        <v>2.416089561536892</v>
      </c>
      <c r="AW73" s="21">
        <f>EXP(-LN(2)/2)*AW72+(1-EXP(-LN(2)/2))/(LN(2)/2)*AQ73*AT73*VLOOKUP('Données projet'!$B$10,Paramètres!$A$1:$I$89,3,0)*0.475*44/12</f>
        <v>1.4643927225691769</v>
      </c>
      <c r="AX73" s="21">
        <f t="shared" si="60"/>
        <v>44.020246846448252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-5.999999999994543E-2</v>
      </c>
      <c r="BE73" s="13">
        <f>BD73*VLOOKUP('Données projet'!$B$11,Paramètres!$A$1:$I$89,3,0)*VLOOKUP('Données projet'!$B$11,Paramètres!$A$1:$I$89,5,0)</f>
        <v>-2.8079999999974462E-2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83.62456509032836</v>
      </c>
      <c r="BJ73" s="59">
        <f t="shared" si="92"/>
        <v>131.53128089847871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59.81799546116158</v>
      </c>
      <c r="BQ73" s="21">
        <f>EXP(-LN(2)/25)*BQ72+(1-EXP(-LN(2)/25))/(LN(2)/25)*Calculateur!BL73*Calculateur!BN73*VLOOKUP('Données projet'!$B$11,Paramètres!$A$1:$I$89,3,0)*0.475*44/12</f>
        <v>25.143171360529831</v>
      </c>
      <c r="BR73" s="21">
        <f>EXP(-LN(2)/2)*BR72+(1-EXP(-LN(2)/2))/(LN(2)/2)*BL73*BO73*VLOOKUP('Données projet'!$B$11,Paramètres!$A$1:$I$89,3,0)*0.475*44/12</f>
        <v>1.3560886016628251</v>
      </c>
      <c r="BS73" s="22">
        <f t="shared" si="63"/>
        <v>86.317255423354226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911</v>
      </c>
      <c r="BW73" s="12">
        <f>VLOOKUP(A73,'Données projet'!$A$113:$I$133,9,0)</f>
        <v>14.6</v>
      </c>
      <c r="BX73" s="12">
        <f t="array" ref="BX73">INDEX(BW:BW,MIN(IF(ISNUMBER(BW73:BW269),ROW(BW73:BW269),"")))</f>
        <v>14.6</v>
      </c>
      <c r="BY73" s="12">
        <f>IF('Données projet'!$A$114&gt;35,BY72+BX73-CG72,IF(A73&lt;'Données projet'!$A$114,$BV$205^A73,IF(A73='Données projet'!$A$114,'Données projet'!$B$114,BY72+BX73-CG72)))</f>
        <v>911.00000000000034</v>
      </c>
      <c r="BZ73" s="13">
        <f>BY73*VLOOKUP('Données projet'!$B$12,Paramètres!$A$1:$I$89,3,0)*VLOOKUP('Données projet'!$B$12,Paramètres!$A$1:$I$89,5,0)</f>
        <v>402.66200000000015</v>
      </c>
      <c r="CA73" s="13">
        <f t="shared" si="93"/>
        <v>92.316136355387528</v>
      </c>
      <c r="CB73" s="20">
        <f t="shared" si="64"/>
        <v>862.08692081896686</v>
      </c>
      <c r="CC73" s="59">
        <f t="shared" si="65"/>
        <v>1155.4202541523002</v>
      </c>
      <c r="CD73" s="59">
        <f ca="1">AVERAGE(OFFSET($CC$3,0,0,'Données projet'!$E$12+1,1))-AVERAGE(OFFSET($H$3,0,0,'Données projet'!$E$12+1,1))</f>
        <v>415.83983761562189</v>
      </c>
      <c r="CE73" s="59">
        <f t="shared" si="94"/>
        <v>339.37869344688829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35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0.13750000000000001</v>
      </c>
      <c r="CJ73" s="16">
        <f>IF(ISNA(VLOOKUP(A73,'Données projet'!$A$113:$I$133,7,0)),0%,VLOOKUP(A73,'Données projet'!$A$113:$I$133,7,0))</f>
        <v>0.15</v>
      </c>
      <c r="CK73" s="21">
        <f>EXP(-LN(2)/35)*CK72+(1-EXP(-LN(2)/35))/(LN(2)/35)*CG73*CH73*VLOOKUP('Données projet'!$B$12,Paramètres!$A$1:$I$89,3,0)*0.475*44/12</f>
        <v>68.734328492340907</v>
      </c>
      <c r="CL73" s="21">
        <f>EXP(-LN(2)/25)*CL72+(1-EXP(-LN(2)/25))/(LN(2)/25)*Calculateur!CG73*Calculateur!CI73*VLOOKUP('Données projet'!$B$12,Paramètres!$A$1:$I$89,3,0)*0.475*44/12</f>
        <v>33.174532650202906</v>
      </c>
      <c r="CM73" s="21">
        <f>EXP(-LN(2)/2)*CM72+(1-EXP(-LN(2)/2))/(LN(2)/2)*CG73*CJ73*VLOOKUP('Données projet'!$B$12,Paramètres!$A$1:$I$89,3,0)*0.475*44/12</f>
        <v>3.2906908520075491</v>
      </c>
      <c r="CN73" s="22">
        <f t="shared" si="66"/>
        <v>105.19955199455136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258.68215148478868</v>
      </c>
      <c r="T74" s="59">
        <f t="shared" si="88"/>
        <v>153.16792125610209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35.114670756962852</v>
      </c>
      <c r="AA74" s="21">
        <f>EXP(-LN(2)/25)*AA73+(1-EXP(-LN(2)/25))/(LN(2)/25)*Calculateur!V74*Calculateur!X74*VLOOKUP('Données projet'!$B$9,Paramètres!$A$1:$I$89,3,0)*0.475*44/12</f>
        <v>2.0969422306824956</v>
      </c>
      <c r="AB74" s="21">
        <f>EXP(-LN(2)/2)*AB73+(1-EXP(-LN(2)/2))/(LN(2)/2)*V74*Y74*VLOOKUP('Données projet'!$B$9,Paramètres!$A$1:$I$89,3,0)*0.475*44/12</f>
        <v>0.92396857566209112</v>
      </c>
      <c r="AC74" s="22">
        <f t="shared" si="57"/>
        <v>38.13558156330744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298.68533387773886</v>
      </c>
      <c r="AO74" s="59">
        <f t="shared" si="90"/>
        <v>176.04868734496114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39.352648262113554</v>
      </c>
      <c r="AV74" s="21">
        <f>EXP(-LN(2)/25)*AV73+(1-EXP(-LN(2)/25))/(LN(2)/25)*Calculateur!AQ74*Calculateur!AS74*VLOOKUP('Données projet'!$B$10,Paramètres!$A$1:$I$89,3,0)*0.475*44/12</f>
        <v>2.3500214654200375</v>
      </c>
      <c r="AW74" s="21">
        <f>EXP(-LN(2)/2)*AW73+(1-EXP(-LN(2)/2))/(LN(2)/2)*AQ74*AT74*VLOOKUP('Données projet'!$B$10,Paramètres!$A$1:$I$89,3,0)*0.475*44/12</f>
        <v>1.0354820244488956</v>
      </c>
      <c r="AX74" s="21">
        <f t="shared" si="60"/>
        <v>42.738151751982485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-5.999999999994543E-2</v>
      </c>
      <c r="BE74" s="13">
        <f>BD74*VLOOKUP('Données projet'!$B$11,Paramètres!$A$1:$I$89,3,0)*VLOOKUP('Données projet'!$B$11,Paramètres!$A$1:$I$89,5,0)</f>
        <v>-2.8079999999974462E-2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83.62456509032836</v>
      </c>
      <c r="BJ74" s="59">
        <f t="shared" si="92"/>
        <v>131.53128089847871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58.645001055542799</v>
      </c>
      <c r="BQ74" s="21">
        <f>EXP(-LN(2)/25)*BQ73+(1-EXP(-LN(2)/25))/(LN(2)/25)*Calculateur!BL74*Calculateur!BN74*VLOOKUP('Données projet'!$B$11,Paramètres!$A$1:$I$89,3,0)*0.475*44/12</f>
        <v>24.455630017454226</v>
      </c>
      <c r="BR74" s="21">
        <f>EXP(-LN(2)/2)*BR73+(1-EXP(-LN(2)/2))/(LN(2)/2)*BL74*BO74*VLOOKUP('Données projet'!$B$11,Paramètres!$A$1:$I$89,3,0)*0.475*44/12</f>
        <v>0.95889944612556655</v>
      </c>
      <c r="BS74" s="22">
        <f t="shared" si="63"/>
        <v>84.059530519122603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</v>
      </c>
      <c r="BY74" s="12">
        <f>IF('Données projet'!$A$114&gt;35,BY73+BX74-CG73,IF(A74&lt;'Données projet'!$A$114,$BV$205^A74,IF(A74='Données projet'!$A$114,'Données projet'!$B$114,BY73+BX74-CG73)))</f>
        <v>888.00000000000034</v>
      </c>
      <c r="BZ74" s="13">
        <f>BY74*VLOOKUP('Données projet'!$B$12,Paramètres!$A$1:$I$89,3,0)*VLOOKUP('Données projet'!$B$12,Paramètres!$A$1:$I$89,5,0)</f>
        <v>392.49600000000021</v>
      </c>
      <c r="CA74" s="13">
        <f t="shared" si="93"/>
        <v>90.253671642343946</v>
      </c>
      <c r="CB74" s="20">
        <f t="shared" si="64"/>
        <v>840.78901144374925</v>
      </c>
      <c r="CC74" s="59">
        <f t="shared" si="65"/>
        <v>1134.1223447770826</v>
      </c>
      <c r="CD74" s="59">
        <f ca="1">AVERAGE(OFFSET($CC$3,0,0,'Données projet'!$E$12+1,1))-AVERAGE(OFFSET($H$3,0,0,'Données projet'!$E$12+1,1))</f>
        <v>415.83983761562189</v>
      </c>
      <c r="CE74" s="59">
        <f t="shared" si="94"/>
        <v>339.37869344688829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67.38649023440685</v>
      </c>
      <c r="CL74" s="21">
        <f>EXP(-LN(2)/25)*CL73+(1-EXP(-LN(2)/25))/(LN(2)/25)*Calculateur!CG74*Calculateur!CI74*VLOOKUP('Données projet'!$B$12,Paramètres!$A$1:$I$89,3,0)*0.475*44/12</f>
        <v>32.267373310310255</v>
      </c>
      <c r="CM74" s="21">
        <f>EXP(-LN(2)/2)*CM73+(1-EXP(-LN(2)/2))/(LN(2)/2)*CG74*CJ74*VLOOKUP('Données projet'!$B$12,Paramètres!$A$1:$I$89,3,0)*0.475*44/12</f>
        <v>2.3268698162430757</v>
      </c>
      <c r="CN74" s="22">
        <f t="shared" si="66"/>
        <v>101.98073336096017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258.68215148478868</v>
      </c>
      <c r="T75" s="59">
        <f t="shared" si="88"/>
        <v>153.16792125610209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34.426093481253133</v>
      </c>
      <c r="AA75" s="21">
        <f>EXP(-LN(2)/25)*AA74+(1-EXP(-LN(2)/25))/(LN(2)/25)*Calculateur!V75*Calculateur!X75*VLOOKUP('Données projet'!$B$9,Paramètres!$A$1:$I$89,3,0)*0.475*44/12</f>
        <v>2.0396012351110837</v>
      </c>
      <c r="AB75" s="21">
        <f>EXP(-LN(2)/2)*AB74+(1-EXP(-LN(2)/2))/(LN(2)/2)*V75*Y75*VLOOKUP('Données projet'!$B$9,Paramètres!$A$1:$I$89,3,0)*0.475*44/12</f>
        <v>0.65334444545394033</v>
      </c>
      <c r="AC75" s="22">
        <f t="shared" si="57"/>
        <v>37.119039161818158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298.68533387773886</v>
      </c>
      <c r="AO75" s="59">
        <f t="shared" si="90"/>
        <v>176.04868734496114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38.580966832438875</v>
      </c>
      <c r="AV75" s="21">
        <f>EXP(-LN(2)/25)*AV74+(1-EXP(-LN(2)/25))/(LN(2)/25)*Calculateur!AQ75*Calculateur!AS75*VLOOKUP('Données projet'!$B$10,Paramètres!$A$1:$I$89,3,0)*0.475*44/12</f>
        <v>2.2857600048658688</v>
      </c>
      <c r="AW75" s="21">
        <f>EXP(-LN(2)/2)*AW74+(1-EXP(-LN(2)/2))/(LN(2)/2)*AQ75*AT75*VLOOKUP('Données projet'!$B$10,Paramètres!$A$1:$I$89,3,0)*0.475*44/12</f>
        <v>0.73219636128458854</v>
      </c>
      <c r="AX75" s="21">
        <f t="shared" si="60"/>
        <v>41.598923198589333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-5.999999999994543E-2</v>
      </c>
      <c r="BE75" s="13">
        <f>BD75*VLOOKUP('Données projet'!$B$11,Paramètres!$A$1:$I$89,3,0)*VLOOKUP('Données projet'!$B$11,Paramètres!$A$1:$I$89,5,0)</f>
        <v>-2.8079999999974462E-2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83.62456509032836</v>
      </c>
      <c r="BJ75" s="59">
        <f t="shared" si="92"/>
        <v>131.53128089847871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57.495008354762263</v>
      </c>
      <c r="BQ75" s="21">
        <f>EXP(-LN(2)/25)*BQ74+(1-EXP(-LN(2)/25))/(LN(2)/25)*Calculateur!BL75*Calculateur!BN75*VLOOKUP('Données projet'!$B$11,Paramètres!$A$1:$I$89,3,0)*0.475*44/12</f>
        <v>23.78688952856125</v>
      </c>
      <c r="BR75" s="21">
        <f>EXP(-LN(2)/2)*BR74+(1-EXP(-LN(2)/2))/(LN(2)/2)*BL75*BO75*VLOOKUP('Données projet'!$B$11,Paramètres!$A$1:$I$89,3,0)*0.475*44/12</f>
        <v>0.67804430083141265</v>
      </c>
      <c r="BS75" s="22">
        <f t="shared" si="63"/>
        <v>81.959942184154926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</v>
      </c>
      <c r="BY75" s="12">
        <f>IF('Données projet'!$A$114&gt;35,BY74+BX75-CG74,IF(A75&lt;'Données projet'!$A$114,$BV$205^A75,IF(A75='Données projet'!$A$114,'Données projet'!$B$114,BY74+BX75-CG74)))</f>
        <v>900.00000000000034</v>
      </c>
      <c r="BZ75" s="13">
        <f>BY75*VLOOKUP('Données projet'!$B$12,Paramètres!$A$1:$I$89,3,0)*VLOOKUP('Données projet'!$B$12,Paramètres!$A$1:$I$89,5,0)</f>
        <v>397.80000000000018</v>
      </c>
      <c r="CA75" s="13">
        <f t="shared" si="93"/>
        <v>91.330505920740748</v>
      </c>
      <c r="CB75" s="20">
        <f t="shared" si="64"/>
        <v>851.90229781195706</v>
      </c>
      <c r="CC75" s="59">
        <f t="shared" si="65"/>
        <v>1145.2356311452904</v>
      </c>
      <c r="CD75" s="59">
        <f ca="1">AVERAGE(OFFSET($CC$3,0,0,'Données projet'!$E$12+1,1))-AVERAGE(OFFSET($H$3,0,0,'Données projet'!$E$12+1,1))</f>
        <v>415.83983761562189</v>
      </c>
      <c r="CE75" s="59">
        <f t="shared" si="94"/>
        <v>339.37869344688829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66.065082262610716</v>
      </c>
      <c r="CL75" s="21">
        <f>EXP(-LN(2)/25)*CL74+(1-EXP(-LN(2)/25))/(LN(2)/25)*Calculateur!CG75*Calculateur!CI75*VLOOKUP('Données projet'!$B$12,Paramètres!$A$1:$I$89,3,0)*0.475*44/12</f>
        <v>31.385020290272408</v>
      </c>
      <c r="CM75" s="21">
        <f>EXP(-LN(2)/2)*CM74+(1-EXP(-LN(2)/2))/(LN(2)/2)*CG75*CJ75*VLOOKUP('Données projet'!$B$12,Paramètres!$A$1:$I$89,3,0)*0.475*44/12</f>
        <v>1.6453454260037748</v>
      </c>
      <c r="CN75" s="22">
        <f t="shared" si="66"/>
        <v>99.095447978886895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258.68215148478868</v>
      </c>
      <c r="T76" s="59">
        <f t="shared" si="88"/>
        <v>153.16792125610209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33.751018785929418</v>
      </c>
      <c r="AA76" s="21">
        <f>EXP(-LN(2)/25)*AA75+(1-EXP(-LN(2)/25))/(LN(2)/25)*Calculateur!V76*Calculateur!X76*VLOOKUP('Données projet'!$B$9,Paramètres!$A$1:$I$89,3,0)*0.475*44/12</f>
        <v>1.9838282320790037</v>
      </c>
      <c r="AB76" s="21">
        <f>EXP(-LN(2)/2)*AB75+(1-EXP(-LN(2)/2))/(LN(2)/2)*V76*Y76*VLOOKUP('Données projet'!$B$9,Paramètres!$A$1:$I$89,3,0)*0.475*44/12</f>
        <v>0.46198428783104567</v>
      </c>
      <c r="AC76" s="22">
        <f t="shared" si="57"/>
        <v>36.196831305839467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298.68533387773886</v>
      </c>
      <c r="AO76" s="59">
        <f t="shared" si="90"/>
        <v>176.04868734496114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37.824417604920917</v>
      </c>
      <c r="AV76" s="21">
        <f>EXP(-LN(2)/25)*AV75+(1-EXP(-LN(2)/25))/(LN(2)/25)*Calculateur!AQ76*Calculateur!AS76*VLOOKUP('Données projet'!$B$10,Paramètres!$A$1:$I$89,3,0)*0.475*44/12</f>
        <v>2.2232557773299173</v>
      </c>
      <c r="AW76" s="21">
        <f>EXP(-LN(2)/2)*AW75+(1-EXP(-LN(2)/2))/(LN(2)/2)*AQ76*AT76*VLOOKUP('Données projet'!$B$10,Paramètres!$A$1:$I$89,3,0)*0.475*44/12</f>
        <v>0.51774101222444791</v>
      </c>
      <c r="AX76" s="21">
        <f t="shared" si="60"/>
        <v>40.565414394475283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-5.999999999994543E-2</v>
      </c>
      <c r="BE76" s="13">
        <f>BD76*VLOOKUP('Données projet'!$B$11,Paramètres!$A$1:$I$89,3,0)*VLOOKUP('Données projet'!$B$11,Paramètres!$A$1:$I$89,5,0)</f>
        <v>-2.8079999999974462E-2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83.62456509032836</v>
      </c>
      <c r="BJ76" s="59">
        <f t="shared" si="92"/>
        <v>131.53128089847871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56.367566309417747</v>
      </c>
      <c r="BQ76" s="21">
        <f>EXP(-LN(2)/25)*BQ75+(1-EXP(-LN(2)/25))/(LN(2)/25)*Calculateur!BL76*Calculateur!BN76*VLOOKUP('Données projet'!$B$11,Paramètres!$A$1:$I$89,3,0)*0.475*44/12</f>
        <v>23.136435783504588</v>
      </c>
      <c r="BR76" s="21">
        <f>EXP(-LN(2)/2)*BR75+(1-EXP(-LN(2)/2))/(LN(2)/2)*BL76*BO76*VLOOKUP('Données projet'!$B$11,Paramètres!$A$1:$I$89,3,0)*0.475*44/12</f>
        <v>0.47944972306278333</v>
      </c>
      <c r="BS76" s="22">
        <f t="shared" si="63"/>
        <v>79.98345181598512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</v>
      </c>
      <c r="BY76" s="12">
        <f>IF('Données projet'!$A$114&gt;35,BY75+BX76-CG75,IF(A76&lt;'Données projet'!$A$114,$BV$205^A76,IF(A76='Données projet'!$A$114,'Données projet'!$B$114,BY75+BX76-CG75)))</f>
        <v>912.00000000000034</v>
      </c>
      <c r="BZ76" s="13">
        <f>BY76*VLOOKUP('Données projet'!$B$12,Paramètres!$A$1:$I$89,3,0)*VLOOKUP('Données projet'!$B$12,Paramètres!$A$1:$I$89,5,0)</f>
        <v>403.10400000000021</v>
      </c>
      <c r="CA76" s="13">
        <f t="shared" si="93"/>
        <v>92.405670196231384</v>
      </c>
      <c r="CB76" s="20">
        <f t="shared" si="64"/>
        <v>863.01267559176995</v>
      </c>
      <c r="CC76" s="59">
        <f t="shared" si="65"/>
        <v>1156.3460089251032</v>
      </c>
      <c r="CD76" s="59">
        <f ca="1">AVERAGE(OFFSET($CC$3,0,0,'Données projet'!$E$12+1,1))-AVERAGE(OFFSET($H$3,0,0,'Données projet'!$E$12+1,1))</f>
        <v>415.83983761562189</v>
      </c>
      <c r="CE76" s="59">
        <f t="shared" si="94"/>
        <v>339.37869344688829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64.769586295162227</v>
      </c>
      <c r="CL76" s="21">
        <f>EXP(-LN(2)/25)*CL75+(1-EXP(-LN(2)/25))/(LN(2)/25)*Calculateur!CG76*Calculateur!CI76*VLOOKUP('Données projet'!$B$12,Paramètres!$A$1:$I$89,3,0)*0.475*44/12</f>
        <v>30.526795259968424</v>
      </c>
      <c r="CM76" s="21">
        <f>EXP(-LN(2)/2)*CM75+(1-EXP(-LN(2)/2))/(LN(2)/2)*CG76*CJ76*VLOOKUP('Données projet'!$B$12,Paramètres!$A$1:$I$89,3,0)*0.475*44/12</f>
        <v>1.163434908121538</v>
      </c>
      <c r="CN76" s="22">
        <f t="shared" si="66"/>
        <v>96.459816463252196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258.68215148478868</v>
      </c>
      <c r="T77" s="59">
        <f t="shared" si="88"/>
        <v>153.16792125610209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33.08918189362609</v>
      </c>
      <c r="AA77" s="21">
        <f>EXP(-LN(2)/25)*AA76+(1-EXP(-LN(2)/25))/(LN(2)/25)*Calculateur!V77*Calculateur!X77*VLOOKUP('Données projet'!$B$9,Paramètres!$A$1:$I$89,3,0)*0.475*44/12</f>
        <v>1.9295803447478108</v>
      </c>
      <c r="AB77" s="21">
        <f>EXP(-LN(2)/2)*AB76+(1-EXP(-LN(2)/2))/(LN(2)/2)*V77*Y77*VLOOKUP('Données projet'!$B$9,Paramètres!$A$1:$I$89,3,0)*0.475*44/12</f>
        <v>0.32667222272697022</v>
      </c>
      <c r="AC77" s="22">
        <f t="shared" si="57"/>
        <v>35.345434461100872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298.68533387773886</v>
      </c>
      <c r="AO77" s="59">
        <f t="shared" si="90"/>
        <v>176.04868734496114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37.082703846305122</v>
      </c>
      <c r="AV77" s="21">
        <f>EXP(-LN(2)/25)*AV76+(1-EXP(-LN(2)/25))/(LN(2)/25)*Calculateur!AQ77*Calculateur!AS77*VLOOKUP('Données projet'!$B$10,Paramètres!$A$1:$I$89,3,0)*0.475*44/12</f>
        <v>2.1624607311828905</v>
      </c>
      <c r="AW77" s="21">
        <f>EXP(-LN(2)/2)*AW76+(1-EXP(-LN(2)/2))/(LN(2)/2)*AQ77*AT77*VLOOKUP('Données projet'!$B$10,Paramètres!$A$1:$I$89,3,0)*0.475*44/12</f>
        <v>0.36609818064229432</v>
      </c>
      <c r="AX77" s="21">
        <f t="shared" si="60"/>
        <v>39.611262758130309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-5.999999999994543E-2</v>
      </c>
      <c r="BE77" s="13">
        <f>BD77*VLOOKUP('Données projet'!$B$11,Paramètres!$A$1:$I$89,3,0)*VLOOKUP('Données projet'!$B$11,Paramètres!$A$1:$I$89,5,0)</f>
        <v>-2.8079999999974462E-2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83.62456509032836</v>
      </c>
      <c r="BJ77" s="59">
        <f t="shared" si="92"/>
        <v>131.53128089847871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55.262232714910688</v>
      </c>
      <c r="BQ77" s="21">
        <f>EXP(-LN(2)/25)*BQ76+(1-EXP(-LN(2)/25))/(LN(2)/25)*Calculateur!BL77*Calculateur!BN77*VLOOKUP('Données projet'!$B$11,Paramètres!$A$1:$I$89,3,0)*0.475*44/12</f>
        <v>22.503768730312377</v>
      </c>
      <c r="BR77" s="21">
        <f>EXP(-LN(2)/2)*BR76+(1-EXP(-LN(2)/2))/(LN(2)/2)*BL77*BO77*VLOOKUP('Données projet'!$B$11,Paramètres!$A$1:$I$89,3,0)*0.475*44/12</f>
        <v>0.33902215041570638</v>
      </c>
      <c r="BS77" s="22">
        <f t="shared" si="63"/>
        <v>78.10502359563877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</v>
      </c>
      <c r="BY77" s="12">
        <f>IF('Données projet'!$A$114&gt;35,BY76+BX77-CG76,IF(A77&lt;'Données projet'!$A$114,$BV$205^A77,IF(A77='Données projet'!$A$114,'Données projet'!$B$114,BY76+BX77-CG76)))</f>
        <v>924.00000000000034</v>
      </c>
      <c r="BZ77" s="13">
        <f>BY77*VLOOKUP('Données projet'!$B$12,Paramètres!$A$1:$I$89,3,0)*VLOOKUP('Données projet'!$B$12,Paramètres!$A$1:$I$89,5,0)</f>
        <v>408.40800000000019</v>
      </c>
      <c r="CA77" s="13">
        <f t="shared" si="93"/>
        <v>93.479188982926331</v>
      </c>
      <c r="CB77" s="20">
        <f t="shared" si="64"/>
        <v>874.12018747859702</v>
      </c>
      <c r="CC77" s="59">
        <f t="shared" si="65"/>
        <v>1167.4535208119303</v>
      </c>
      <c r="CD77" s="59">
        <f ca="1">AVERAGE(OFFSET($CC$3,0,0,'Données projet'!$E$12+1,1))-AVERAGE(OFFSET($H$3,0,0,'Données projet'!$E$12+1,1))</f>
        <v>415.83983761562189</v>
      </c>
      <c r="CE77" s="59">
        <f t="shared" si="94"/>
        <v>339.37869344688829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63.499494213460885</v>
      </c>
      <c r="CL77" s="21">
        <f>EXP(-LN(2)/25)*CL76+(1-EXP(-LN(2)/25))/(LN(2)/25)*Calculateur!CG77*Calculateur!CI77*VLOOKUP('Données projet'!$B$12,Paramètres!$A$1:$I$89,3,0)*0.475*44/12</f>
        <v>29.692038438250194</v>
      </c>
      <c r="CM77" s="21">
        <f>EXP(-LN(2)/2)*CM76+(1-EXP(-LN(2)/2))/(LN(2)/2)*CG77*CJ77*VLOOKUP('Données projet'!$B$12,Paramètres!$A$1:$I$89,3,0)*0.475*44/12</f>
        <v>0.82267271300188749</v>
      </c>
      <c r="CN77" s="22">
        <f t="shared" si="66"/>
        <v>94.014205364712964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258.68215148478868</v>
      </c>
      <c r="T78" s="59">
        <f t="shared" si="88"/>
        <v>153.16792125610209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0.34400000000000003</v>
      </c>
      <c r="X78" s="16">
        <f>IF(ISNA(VLOOKUP(A78,'Données projet'!$A$35:$I$55,6,0)),0%,VLOOKUP(A78,'Données projet'!$A$35:$I$55,6,0)*VLOOKUP('Données projet'!$B$9,Paramètres!$A$1:$I$89,7,0))</f>
        <v>1.72E-2</v>
      </c>
      <c r="Y78" s="16">
        <f>IF(ISNA(VLOOKUP(A78,'Données projet'!$A$35:$I$55,7,0)),0%,VLOOKUP(A78,'Données projet'!$A$35:$I$55,7,0))</f>
        <v>0.06</v>
      </c>
      <c r="Z78" s="21">
        <f>EXP(-LN(2)/35)*Z77+(1-EXP(-LN(2)/35))/(LN(2)/35)*V78*W78*VLOOKUP('Données projet'!$B$9,Paramètres!$A$1:$I$89,3,0)*0.475*44/12</f>
        <v>39.665981845176006</v>
      </c>
      <c r="AA78" s="21">
        <f>EXP(-LN(2)/25)*AA77+(1-EXP(-LN(2)/25))/(LN(2)/25)*Calculateur!V78*Calculateur!X78*VLOOKUP('Données projet'!$B$9,Paramètres!$A$1:$I$89,3,0)*0.475*44/12</f>
        <v>2.2366762914921199</v>
      </c>
      <c r="AB78" s="21">
        <f>EXP(-LN(2)/2)*AB77+(1-EXP(-LN(2)/2))/(LN(2)/2)*V78*Y78*VLOOKUP('Données projet'!$B$9,Paramètres!$A$1:$I$89,3,0)*0.475*44/12</f>
        <v>1.3066581158575663</v>
      </c>
      <c r="AC78" s="22">
        <f t="shared" si="57"/>
        <v>43.209316252525689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298.68533387773886</v>
      </c>
      <c r="AO78" s="59">
        <f t="shared" si="90"/>
        <v>176.04868734496114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0.34400000000000003</v>
      </c>
      <c r="AS78" s="16">
        <f>IF(ISNA(VLOOKUP(A78,'Données projet'!$A$61:$I$81,6,0)),0%,VLOOKUP(A78,'Données projet'!$A$61:$I$81,6,0)*VLOOKUP('Données projet'!$B$10,Paramètres!$A$1:$I$89,7,0))</f>
        <v>1.72E-2</v>
      </c>
      <c r="AT78" s="16">
        <f>IF(ISNA(VLOOKUP(A78,'Données projet'!$A$61:$I$81,7,0)),0%,VLOOKUP(A78,'Données projet'!$A$61:$I$81,7,0))</f>
        <v>0.06</v>
      </c>
      <c r="AU78" s="21">
        <f>EXP(-LN(2)/35)*AU77+(1-EXP(-LN(2)/35))/(LN(2)/35)*AQ78*AR78*VLOOKUP('Données projet'!$B$10,Paramètres!$A$1:$I$89,3,0)*0.475*44/12</f>
        <v>44.453255516145539</v>
      </c>
      <c r="AV78" s="21">
        <f>EXP(-LN(2)/25)*AV77+(1-EXP(-LN(2)/25))/(LN(2)/25)*Calculateur!AQ78*Calculateur!AS78*VLOOKUP('Données projet'!$B$10,Paramètres!$A$1:$I$89,3,0)*0.475*44/12</f>
        <v>2.506619981844616</v>
      </c>
      <c r="AW78" s="21">
        <f>EXP(-LN(2)/2)*AW77+(1-EXP(-LN(2)/2))/(LN(2)/2)*AQ78*AT78*VLOOKUP('Données projet'!$B$10,Paramètres!$A$1:$I$89,3,0)*0.475*44/12</f>
        <v>1.4643582332886522</v>
      </c>
      <c r="AX78" s="21">
        <f t="shared" si="60"/>
        <v>48.424233731278804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-5.999999999994543E-2</v>
      </c>
      <c r="BE78" s="13">
        <f>BD78*VLOOKUP('Données projet'!$B$11,Paramètres!$A$1:$I$89,3,0)*VLOOKUP('Données projet'!$B$11,Paramètres!$A$1:$I$89,5,0)</f>
        <v>-2.8079999999974462E-2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83.62456509032836</v>
      </c>
      <c r="BJ78" s="59">
        <f t="shared" si="92"/>
        <v>131.53128089847871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54.178574038004989</v>
      </c>
      <c r="BQ78" s="21">
        <f>EXP(-LN(2)/25)*BQ77+(1-EXP(-LN(2)/25))/(LN(2)/25)*Calculateur!BL78*Calculateur!BN78*VLOOKUP('Données projet'!$B$11,Paramètres!$A$1:$I$89,3,0)*0.475*44/12</f>
        <v>21.888401990960219</v>
      </c>
      <c r="BR78" s="21">
        <f>EXP(-LN(2)/2)*BR77+(1-EXP(-LN(2)/2))/(LN(2)/2)*BL78*BO78*VLOOKUP('Données projet'!$B$11,Paramètres!$A$1:$I$89,3,0)*0.475*44/12</f>
        <v>0.23972486153139172</v>
      </c>
      <c r="BS78" s="22">
        <f t="shared" si="63"/>
        <v>76.306700890496586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936</v>
      </c>
      <c r="BW78" s="12">
        <f>VLOOKUP(A78,'Données projet'!$A$113:$I$133,9,0)</f>
        <v>12</v>
      </c>
      <c r="BX78" s="12">
        <f t="array" ref="BX78">INDEX(BW:BW,MIN(IF(ISNUMBER(BW78:BW274),ROW(BW78:BW274),"")))</f>
        <v>12</v>
      </c>
      <c r="BY78" s="12">
        <f>IF('Données projet'!$A$114&gt;35,BY77+BX78-CG77,IF(A78&lt;'Données projet'!$A$114,$BV$205^A78,IF(A78='Données projet'!$A$114,'Données projet'!$B$114,BY77+BX78-CG77)))</f>
        <v>936.00000000000034</v>
      </c>
      <c r="BZ78" s="13">
        <f>BY78*VLOOKUP('Données projet'!$B$12,Paramètres!$A$1:$I$89,3,0)*VLOOKUP('Données projet'!$B$12,Paramètres!$A$1:$I$89,5,0)</f>
        <v>413.71200000000016</v>
      </c>
      <c r="CA78" s="13">
        <f t="shared" si="93"/>
        <v>94.55108612160069</v>
      </c>
      <c r="CB78" s="20">
        <f t="shared" si="64"/>
        <v>885.22487499512147</v>
      </c>
      <c r="CC78" s="59">
        <f t="shared" si="65"/>
        <v>1178.5582083284548</v>
      </c>
      <c r="CD78" s="59">
        <f ca="1">AVERAGE(OFFSET($CC$3,0,0,'Données projet'!$E$12+1,1))-AVERAGE(OFFSET($H$3,0,0,'Données projet'!$E$12+1,1))</f>
        <v>415.83983761562189</v>
      </c>
      <c r="CE78" s="59">
        <f t="shared" si="94"/>
        <v>339.37869344688829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30</v>
      </c>
      <c r="CH78" s="16">
        <f>IF(ISNA(VLOOKUP(A78,'Données projet'!$A$113:$I$133,5,0)),0%,VLOOKUP(A78,'Données projet'!$A$113:$I$133,5,0)*VLOOKUP('Données projet'!$B$12,Paramètres!$A$1:$I$89,7,0))</f>
        <v>0.38500000000000001</v>
      </c>
      <c r="CI78" s="16">
        <f>IF(ISNA(VLOOKUP(A78,'Données projet'!$A$113:$I$133,6,0)),0%,VLOOKUP(A78,'Données projet'!$A$113:$I$133,6,0)*VLOOKUP('Données projet'!$B$12,Paramètres!$A$1:$I$89,7,0))</f>
        <v>0.13750000000000001</v>
      </c>
      <c r="CJ78" s="16">
        <f>IF(ISNA(VLOOKUP(A78,'Données projet'!$A$113:$I$133,7,0)),0%,VLOOKUP(A78,'Données projet'!$A$113:$I$133,7,0))</f>
        <v>0.15</v>
      </c>
      <c r="CK78" s="21">
        <f>EXP(-LN(2)/35)*CK77+(1-EXP(-LN(2)/35))/(LN(2)/35)*CG78*CH78*VLOOKUP('Données projet'!$B$12,Paramètres!$A$1:$I$89,3,0)*0.475*44/12</f>
        <v>69.026552064266426</v>
      </c>
      <c r="CL78" s="21">
        <f>EXP(-LN(2)/25)*CL77+(1-EXP(-LN(2)/25))/(LN(2)/25)*Calculateur!CG78*Calculateur!CI78*VLOOKUP('Données projet'!$B$12,Paramètres!$A$1:$I$89,3,0)*0.475*44/12</f>
        <v>31.28924354843976</v>
      </c>
      <c r="CM78" s="21">
        <f>EXP(-LN(2)/2)*CM77+(1-EXP(-LN(2)/2))/(LN(2)/2)*CG78*CJ78*VLOOKUP('Données projet'!$B$12,Paramètres!$A$1:$I$89,3,0)*0.475*44/12</f>
        <v>2.83372749384091</v>
      </c>
      <c r="CN78" s="22">
        <f t="shared" si="66"/>
        <v>103.14952310654709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258.68215148478868</v>
      </c>
      <c r="T79" s="59">
        <f t="shared" si="88"/>
        <v>153.16792125610209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38.888156135052085</v>
      </c>
      <c r="AA79" s="21">
        <f>EXP(-LN(2)/25)*AA78+(1-EXP(-LN(2)/25))/(LN(2)/25)*Calculateur!V79*Calculateur!X79*VLOOKUP('Données projet'!$B$9,Paramètres!$A$1:$I$89,3,0)*0.475*44/12</f>
        <v>2.1755142606795737</v>
      </c>
      <c r="AB79" s="21">
        <f>EXP(-LN(2)/2)*AB78+(1-EXP(-LN(2)/2))/(LN(2)/2)*V79*Y79*VLOOKUP('Données projet'!$B$9,Paramètres!$A$1:$I$89,3,0)*0.475*44/12</f>
        <v>0.92394681441532267</v>
      </c>
      <c r="AC79" s="22">
        <f t="shared" si="57"/>
        <v>41.987617210146986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298.68533387773886</v>
      </c>
      <c r="AO79" s="59">
        <f t="shared" si="90"/>
        <v>176.04868734496114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43.581554289282522</v>
      </c>
      <c r="AV79" s="21">
        <f>EXP(-LN(2)/25)*AV78+(1-EXP(-LN(2)/25))/(LN(2)/25)*Calculateur!AQ79*Calculateur!AS79*VLOOKUP('Données projet'!$B$10,Paramètres!$A$1:$I$89,3,0)*0.475*44/12</f>
        <v>2.4380763266236589</v>
      </c>
      <c r="AW79" s="21">
        <f>EXP(-LN(2)/2)*AW78+(1-EXP(-LN(2)/2))/(LN(2)/2)*AQ79*AT79*VLOOKUP('Données projet'!$B$10,Paramètres!$A$1:$I$89,3,0)*0.475*44/12</f>
        <v>1.0354576368447583</v>
      </c>
      <c r="AX79" s="21">
        <f t="shared" si="60"/>
        <v>47.055088252750942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-5.999999999994543E-2</v>
      </c>
      <c r="BE79" s="13">
        <f>BD79*VLOOKUP('Données projet'!$B$11,Paramètres!$A$1:$I$89,3,0)*VLOOKUP('Données projet'!$B$11,Paramètres!$A$1:$I$89,5,0)</f>
        <v>-2.8079999999974462E-2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83.62456509032836</v>
      </c>
      <c r="BJ79" s="59">
        <f t="shared" si="92"/>
        <v>131.53128089847871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53.116165246786885</v>
      </c>
      <c r="BQ79" s="21">
        <f>EXP(-LN(2)/25)*BQ78+(1-EXP(-LN(2)/25))/(LN(2)/25)*Calculateur!BL79*Calculateur!BN79*VLOOKUP('Données projet'!$B$11,Paramètres!$A$1:$I$89,3,0)*0.475*44/12</f>
        <v>21.289862487456379</v>
      </c>
      <c r="BR79" s="21">
        <f>EXP(-LN(2)/2)*BR78+(1-EXP(-LN(2)/2))/(LN(2)/2)*BL79*BO79*VLOOKUP('Données projet'!$B$11,Paramètres!$A$1:$I$89,3,0)*0.475*44/12</f>
        <v>0.16951107520785322</v>
      </c>
      <c r="BS79" s="22">
        <f t="shared" si="63"/>
        <v>74.575538809451118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</v>
      </c>
      <c r="BY79" s="12">
        <f>IF('Données projet'!$A$114&gt;35,BY78+BX79-CG78,IF(A79&lt;'Données projet'!$A$114,$BV$205^A79,IF(A79='Données projet'!$A$114,'Données projet'!$B$114,BY78+BX79-CG78)))</f>
        <v>915.00000000000034</v>
      </c>
      <c r="BZ79" s="13">
        <f>BY79*VLOOKUP('Données projet'!$B$12,Paramètres!$A$1:$I$89,3,0)*VLOOKUP('Données projet'!$B$12,Paramètres!$A$1:$I$89,5,0)</f>
        <v>404.43000000000018</v>
      </c>
      <c r="CA79" s="13">
        <f t="shared" si="93"/>
        <v>92.674203214904111</v>
      </c>
      <c r="CB79" s="20">
        <f t="shared" si="64"/>
        <v>865.78982059929149</v>
      </c>
      <c r="CC79" s="59">
        <f t="shared" si="65"/>
        <v>1159.1231539326247</v>
      </c>
      <c r="CD79" s="59">
        <f ca="1">AVERAGE(OFFSET($CC$3,0,0,'Données projet'!$E$12+1,1))-AVERAGE(OFFSET($H$3,0,0,'Données projet'!$E$12+1,1))</f>
        <v>415.83983761562189</v>
      </c>
      <c r="CE79" s="59">
        <f t="shared" si="94"/>
        <v>339.37869344688829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67.672983480325684</v>
      </c>
      <c r="CL79" s="21">
        <f>EXP(-LN(2)/25)*CL78+(1-EXP(-LN(2)/25))/(LN(2)/25)*Calculateur!CG79*Calculateur!CI79*VLOOKUP('Données projet'!$B$12,Paramètres!$A$1:$I$89,3,0)*0.475*44/12</f>
        <v>30.433637538177869</v>
      </c>
      <c r="CM79" s="21">
        <f>EXP(-LN(2)/2)*CM78+(1-EXP(-LN(2)/2))/(LN(2)/2)*CG79*CJ79*VLOOKUP('Données projet'!$B$12,Paramètres!$A$1:$I$89,3,0)*0.475*44/12</f>
        <v>2.0037479269296683</v>
      </c>
      <c r="CN79" s="22">
        <f t="shared" si="66"/>
        <v>100.11036894543321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258.68215148478868</v>
      </c>
      <c r="T80" s="59">
        <f t="shared" si="88"/>
        <v>153.16792125610209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38.125583112676857</v>
      </c>
      <c r="AA80" s="21">
        <f>EXP(-LN(2)/25)*AA79+(1-EXP(-LN(2)/25))/(LN(2)/25)*Calculateur!V80*Calculateur!X80*VLOOKUP('Données projet'!$B$9,Paramètres!$A$1:$I$89,3,0)*0.475*44/12</f>
        <v>2.116024708815968</v>
      </c>
      <c r="AB80" s="21">
        <f>EXP(-LN(2)/2)*AB79+(1-EXP(-LN(2)/2))/(LN(2)/2)*V80*Y80*VLOOKUP('Données projet'!$B$9,Paramètres!$A$1:$I$89,3,0)*0.475*44/12</f>
        <v>0.65332905792878326</v>
      </c>
      <c r="AC80" s="22">
        <f t="shared" si="57"/>
        <v>40.894936879421614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298.68533387773886</v>
      </c>
      <c r="AO80" s="59">
        <f t="shared" si="90"/>
        <v>176.04868734496114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42.726946591793045</v>
      </c>
      <c r="AV80" s="21">
        <f>EXP(-LN(2)/25)*AV79+(1-EXP(-LN(2)/25))/(LN(2)/25)*Calculateur!AQ80*Calculateur!AS80*VLOOKUP('Données projet'!$B$10,Paramètres!$A$1:$I$89,3,0)*0.475*44/12</f>
        <v>2.3714070012592732</v>
      </c>
      <c r="AW80" s="21">
        <f>EXP(-LN(2)/2)*AW79+(1-EXP(-LN(2)/2))/(LN(2)/2)*AQ80*AT80*VLOOKUP('Données projet'!$B$10,Paramètres!$A$1:$I$89,3,0)*0.475*44/12</f>
        <v>0.73217911664432622</v>
      </c>
      <c r="AX80" s="21">
        <f t="shared" si="60"/>
        <v>45.830532709696641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-5.999999999994543E-2</v>
      </c>
      <c r="BE80" s="13">
        <f>BD80*VLOOKUP('Données projet'!$B$11,Paramètres!$A$1:$I$89,3,0)*VLOOKUP('Données projet'!$B$11,Paramètres!$A$1:$I$89,5,0)</f>
        <v>-2.8079999999974462E-2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83.62456509032836</v>
      </c>
      <c r="BJ80" s="59">
        <f t="shared" si="92"/>
        <v>131.53128089847871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52.074589643959193</v>
      </c>
      <c r="BQ80" s="21">
        <f>EXP(-LN(2)/25)*BQ79+(1-EXP(-LN(2)/25))/(LN(2)/25)*Calculateur!BL80*Calculateur!BN80*VLOOKUP('Données projet'!$B$11,Paramètres!$A$1:$I$89,3,0)*0.475*44/12</f>
        <v>20.707690078151675</v>
      </c>
      <c r="BR80" s="21">
        <f>EXP(-LN(2)/2)*BR79+(1-EXP(-LN(2)/2))/(LN(2)/2)*BL80*BO80*VLOOKUP('Données projet'!$B$11,Paramètres!$A$1:$I$89,3,0)*0.475*44/12</f>
        <v>0.11986243076569587</v>
      </c>
      <c r="BS80" s="22">
        <f t="shared" si="63"/>
        <v>72.902142152876564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</v>
      </c>
      <c r="BY80" s="12">
        <f>IF('Données projet'!$A$114&gt;35,BY79+BX80-CG79,IF(A80&lt;'Données projet'!$A$114,$BV$205^A80,IF(A80='Données projet'!$A$114,'Données projet'!$B$114,BY79+BX80-CG79)))</f>
        <v>924.00000000000034</v>
      </c>
      <c r="BZ80" s="13">
        <f>BY80*VLOOKUP('Données projet'!$B$12,Paramètres!$A$1:$I$89,3,0)*VLOOKUP('Données projet'!$B$12,Paramètres!$A$1:$I$89,5,0)</f>
        <v>408.40800000000019</v>
      </c>
      <c r="CA80" s="13">
        <f t="shared" si="93"/>
        <v>93.479188982926331</v>
      </c>
      <c r="CB80" s="20">
        <f t="shared" si="64"/>
        <v>874.12018747859702</v>
      </c>
      <c r="CC80" s="59">
        <f t="shared" si="65"/>
        <v>1167.4535208119303</v>
      </c>
      <c r="CD80" s="59">
        <f ca="1">AVERAGE(OFFSET($CC$3,0,0,'Données projet'!$E$12+1,1))-AVERAGE(OFFSET($H$3,0,0,'Données projet'!$E$12+1,1))</f>
        <v>415.83983761562189</v>
      </c>
      <c r="CE80" s="59">
        <f t="shared" si="94"/>
        <v>339.37869344688829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66.345957550720712</v>
      </c>
      <c r="CL80" s="21">
        <f>EXP(-LN(2)/25)*CL79+(1-EXP(-LN(2)/25))/(LN(2)/25)*Calculateur!CG80*Calculateur!CI80*VLOOKUP('Données projet'!$B$12,Paramètres!$A$1:$I$89,3,0)*0.475*44/12</f>
        <v>29.601428119260955</v>
      </c>
      <c r="CM80" s="21">
        <f>EXP(-LN(2)/2)*CM79+(1-EXP(-LN(2)/2))/(LN(2)/2)*CG80*CJ80*VLOOKUP('Données projet'!$B$12,Paramètres!$A$1:$I$89,3,0)*0.475*44/12</f>
        <v>1.4168637469204552</v>
      </c>
      <c r="CN80" s="22">
        <f t="shared" si="66"/>
        <v>97.364249416902126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258.68215148478868</v>
      </c>
      <c r="T81" s="59">
        <f t="shared" si="88"/>
        <v>153.16792125610209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37.377963682146792</v>
      </c>
      <c r="AA81" s="21">
        <f>EXP(-LN(2)/25)*AA80+(1-EXP(-LN(2)/25))/(LN(2)/25)*Calculateur!V81*Calculateur!X81*VLOOKUP('Données projet'!$B$9,Paramètres!$A$1:$I$89,3,0)*0.475*44/12</f>
        <v>2.0581619018764923</v>
      </c>
      <c r="AB81" s="21">
        <f>EXP(-LN(2)/2)*AB80+(1-EXP(-LN(2)/2))/(LN(2)/2)*V81*Y81*VLOOKUP('Données projet'!$B$9,Paramètres!$A$1:$I$89,3,0)*0.475*44/12</f>
        <v>0.46197340720766139</v>
      </c>
      <c r="AC81" s="22">
        <f t="shared" si="57"/>
        <v>39.898098991230945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298.68533387773886</v>
      </c>
      <c r="AO81" s="59">
        <f t="shared" si="90"/>
        <v>176.04868734496114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41.88909722999211</v>
      </c>
      <c r="AV81" s="21">
        <f>EXP(-LN(2)/25)*AV80+(1-EXP(-LN(2)/25))/(LN(2)/25)*Calculateur!AQ81*Calculateur!AS81*VLOOKUP('Données projet'!$B$10,Paramètres!$A$1:$I$89,3,0)*0.475*44/12</f>
        <v>2.3065607521029641</v>
      </c>
      <c r="AW81" s="21">
        <f>EXP(-LN(2)/2)*AW80+(1-EXP(-LN(2)/2))/(LN(2)/2)*AQ81*AT81*VLOOKUP('Données projet'!$B$10,Paramètres!$A$1:$I$89,3,0)*0.475*44/12</f>
        <v>0.51772881842237928</v>
      </c>
      <c r="AX81" s="21">
        <f t="shared" si="60"/>
        <v>44.713386800517448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-5.999999999994543E-2</v>
      </c>
      <c r="BE81" s="13">
        <f>BD81*VLOOKUP('Données projet'!$B$11,Paramètres!$A$1:$I$89,3,0)*VLOOKUP('Données projet'!$B$11,Paramètres!$A$1:$I$89,5,0)</f>
        <v>-2.8079999999974462E-2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83.62456509032836</v>
      </c>
      <c r="BJ81" s="59">
        <f t="shared" si="92"/>
        <v>131.53128089847871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51.053438703404566</v>
      </c>
      <c r="BQ81" s="21">
        <f>EXP(-LN(2)/25)*BQ80+(1-EXP(-LN(2)/25))/(LN(2)/25)*Calculateur!BL81*Calculateur!BN81*VLOOKUP('Données projet'!$B$11,Paramètres!$A$1:$I$89,3,0)*0.475*44/12</f>
        <v>20.141437203994524</v>
      </c>
      <c r="BR81" s="21">
        <f>EXP(-LN(2)/2)*BR80+(1-EXP(-LN(2)/2))/(LN(2)/2)*BL81*BO81*VLOOKUP('Données projet'!$B$11,Paramètres!$A$1:$I$89,3,0)*0.475*44/12</f>
        <v>8.4755537603926623E-2</v>
      </c>
      <c r="BS81" s="22">
        <f t="shared" si="63"/>
        <v>71.27963144500302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</v>
      </c>
      <c r="BY81" s="12">
        <f>IF('Données projet'!$A$114&gt;35,BY80+BX81-CG80,IF(A81&lt;'Données projet'!$A$114,$BV$205^A81,IF(A81='Données projet'!$A$114,'Données projet'!$B$114,BY80+BX81-CG80)))</f>
        <v>933.00000000000034</v>
      </c>
      <c r="BZ81" s="13">
        <f>BY81*VLOOKUP('Données projet'!$B$12,Paramètres!$A$1:$I$89,3,0)*VLOOKUP('Données projet'!$B$12,Paramètres!$A$1:$I$89,5,0)</f>
        <v>412.38600000000019</v>
      </c>
      <c r="CA81" s="13">
        <f t="shared" si="93"/>
        <v>94.283262587190933</v>
      </c>
      <c r="CB81" s="20">
        <f t="shared" si="64"/>
        <v>882.44896567269132</v>
      </c>
      <c r="CC81" s="59">
        <f t="shared" si="65"/>
        <v>1175.7822990060247</v>
      </c>
      <c r="CD81" s="59">
        <f ca="1">AVERAGE(OFFSET($CC$3,0,0,'Données projet'!$E$12+1,1))-AVERAGE(OFFSET($H$3,0,0,'Données projet'!$E$12+1,1))</f>
        <v>415.83983761562189</v>
      </c>
      <c r="CE81" s="59">
        <f t="shared" si="94"/>
        <v>339.37869344688829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65.044953790189396</v>
      </c>
      <c r="CL81" s="21">
        <f>EXP(-LN(2)/25)*CL80+(1-EXP(-LN(2)/25))/(LN(2)/25)*Calculateur!CG81*Calculateur!CI81*VLOOKUP('Données projet'!$B$12,Paramètres!$A$1:$I$89,3,0)*0.475*44/12</f>
        <v>28.791975510668316</v>
      </c>
      <c r="CM81" s="21">
        <f>EXP(-LN(2)/2)*CM80+(1-EXP(-LN(2)/2))/(LN(2)/2)*CG81*CJ81*VLOOKUP('Données projet'!$B$12,Paramètres!$A$1:$I$89,3,0)*0.475*44/12</f>
        <v>1.0018739634648344</v>
      </c>
      <c r="CN81" s="22">
        <f t="shared" si="66"/>
        <v>94.83880326432255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258.68215148478868</v>
      </c>
      <c r="T82" s="59">
        <f t="shared" si="88"/>
        <v>153.16792125610209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36.645004612646595</v>
      </c>
      <c r="AA82" s="21">
        <f>EXP(-LN(2)/25)*AA81+(1-EXP(-LN(2)/25))/(LN(2)/25)*Calculateur!V82*Calculateur!X82*VLOOKUP('Données projet'!$B$9,Paramètres!$A$1:$I$89,3,0)*0.475*44/12</f>
        <v>2.001881356435649</v>
      </c>
      <c r="AB82" s="21">
        <f>EXP(-LN(2)/2)*AB81+(1-EXP(-LN(2)/2))/(LN(2)/2)*V82*Y82*VLOOKUP('Données projet'!$B$9,Paramètres!$A$1:$I$89,3,0)*0.475*44/12</f>
        <v>0.32666452896439169</v>
      </c>
      <c r="AC82" s="22">
        <f t="shared" si="57"/>
        <v>38.973550498046635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298.68533387773886</v>
      </c>
      <c r="AO82" s="59">
        <f t="shared" si="90"/>
        <v>176.04868734496114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41.06767758313844</v>
      </c>
      <c r="AV82" s="21">
        <f>EXP(-LN(2)/25)*AV81+(1-EXP(-LN(2)/25))/(LN(2)/25)*Calculateur!AQ82*Calculateur!AS82*VLOOKUP('Données projet'!$B$10,Paramètres!$A$1:$I$89,3,0)*0.475*44/12</f>
        <v>2.2434877270399505</v>
      </c>
      <c r="AW82" s="21">
        <f>EXP(-LN(2)/2)*AW81+(1-EXP(-LN(2)/2))/(LN(2)/2)*AQ82*AT82*VLOOKUP('Données projet'!$B$10,Paramètres!$A$1:$I$89,3,0)*0.475*44/12</f>
        <v>0.36608955832216317</v>
      </c>
      <c r="AX82" s="21">
        <f t="shared" si="60"/>
        <v>43.677254868500555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-5.999999999994543E-2</v>
      </c>
      <c r="BE82" s="13">
        <f>BD82*VLOOKUP('Données projet'!$B$11,Paramètres!$A$1:$I$89,3,0)*VLOOKUP('Données projet'!$B$11,Paramètres!$A$1:$I$89,5,0)</f>
        <v>-2.8079999999974462E-2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83.62456509032836</v>
      </c>
      <c r="BJ82" s="59">
        <f t="shared" si="92"/>
        <v>131.53128089847871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50.052311909953637</v>
      </c>
      <c r="BQ82" s="21">
        <f>EXP(-LN(2)/25)*BQ81+(1-EXP(-LN(2)/25))/(LN(2)/25)*Calculateur!BL82*Calculateur!BN82*VLOOKUP('Données projet'!$B$11,Paramètres!$A$1:$I$89,3,0)*0.475*44/12</f>
        <v>19.590668544459145</v>
      </c>
      <c r="BR82" s="21">
        <f>EXP(-LN(2)/2)*BR81+(1-EXP(-LN(2)/2))/(LN(2)/2)*BL82*BO82*VLOOKUP('Données projet'!$B$11,Paramètres!$A$1:$I$89,3,0)*0.475*44/12</f>
        <v>5.9931215382847944E-2</v>
      </c>
      <c r="BS82" s="22">
        <f t="shared" si="63"/>
        <v>69.702911669795625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</v>
      </c>
      <c r="BY82" s="12">
        <f>IF('Données projet'!$A$114&gt;35,BY81+BX82-CG81,IF(A82&lt;'Données projet'!$A$114,$BV$205^A82,IF(A82='Données projet'!$A$114,'Données projet'!$B$114,BY81+BX82-CG81)))</f>
        <v>942.00000000000034</v>
      </c>
      <c r="BZ82" s="13">
        <f>BY82*VLOOKUP('Données projet'!$B$12,Paramètres!$A$1:$I$89,3,0)*VLOOKUP('Données projet'!$B$12,Paramètres!$A$1:$I$89,5,0)</f>
        <v>416.3640000000002</v>
      </c>
      <c r="CA82" s="13">
        <f t="shared" si="93"/>
        <v>95.086433845702857</v>
      </c>
      <c r="CB82" s="20">
        <f t="shared" si="64"/>
        <v>890.7761722812661</v>
      </c>
      <c r="CC82" s="59">
        <f t="shared" si="65"/>
        <v>1184.1095056145994</v>
      </c>
      <c r="CD82" s="59">
        <f ca="1">AVERAGE(OFFSET($CC$3,0,0,'Données projet'!$E$12+1,1))-AVERAGE(OFFSET($H$3,0,0,'Données projet'!$E$12+1,1))</f>
        <v>415.83983761562189</v>
      </c>
      <c r="CE82" s="59">
        <f t="shared" si="94"/>
        <v>339.37869344688829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63.769461919868164</v>
      </c>
      <c r="CL82" s="21">
        <f>EXP(-LN(2)/25)*CL81+(1-EXP(-LN(2)/25))/(LN(2)/25)*Calculateur!CG82*Calculateur!CI82*VLOOKUP('Données projet'!$B$12,Paramètres!$A$1:$I$89,3,0)*0.475*44/12</f>
        <v>28.004657426224902</v>
      </c>
      <c r="CM82" s="21">
        <f>EXP(-LN(2)/2)*CM81+(1-EXP(-LN(2)/2))/(LN(2)/2)*CG82*CJ82*VLOOKUP('Données projet'!$B$12,Paramètres!$A$1:$I$89,3,0)*0.475*44/12</f>
        <v>0.70843187346022785</v>
      </c>
      <c r="CN82" s="22">
        <f t="shared" si="66"/>
        <v>92.482551219553301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258.68215148478868</v>
      </c>
      <c r="T83" s="59">
        <f t="shared" si="88"/>
        <v>153.16792125610209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0.34400000000000003</v>
      </c>
      <c r="X83" s="16">
        <f>IF(ISNA(VLOOKUP(A83,'Données projet'!$A$35:$I$55,6,0)),0%,VLOOKUP(A83,'Données projet'!$A$35:$I$55,6,0)*VLOOKUP('Données projet'!$B$9,Paramètres!$A$1:$I$89,7,0))</f>
        <v>1.72E-2</v>
      </c>
      <c r="Y83" s="16">
        <f>IF(ISNA(VLOOKUP(A83,'Données projet'!$A$35:$I$55,7,0)),0%,VLOOKUP(A83,'Données projet'!$A$35:$I$55,7,0))</f>
        <v>0.06</v>
      </c>
      <c r="Z83" s="21">
        <f>EXP(-LN(2)/35)*Z82+(1-EXP(-LN(2)/35))/(LN(2)/35)*V83*W83*VLOOKUP('Données projet'!$B$9,Paramètres!$A$1:$I$89,3,0)*0.475*44/12</f>
        <v>43.152077049514219</v>
      </c>
      <c r="AA83" s="21">
        <f>EXP(-LN(2)/25)*AA82+(1-EXP(-LN(2)/25))/(LN(2)/25)*Calculateur!V83*Calculateur!X83*VLOOKUP('Données projet'!$B$9,Paramètres!$A$1:$I$89,3,0)*0.475*44/12</f>
        <v>2.3070002282132092</v>
      </c>
      <c r="AB83" s="21">
        <f>EXP(-LN(2)/2)*AB82+(1-EXP(-LN(2)/2))/(LN(2)/2)*V83*Y83*VLOOKUP('Données projet'!$B$9,Paramètres!$A$1:$I$89,3,0)*0.475*44/12</f>
        <v>1.3066526755458741</v>
      </c>
      <c r="AC83" s="22">
        <f t="shared" si="57"/>
        <v>46.765729953273308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298.68533387773886</v>
      </c>
      <c r="AO83" s="59">
        <f t="shared" si="90"/>
        <v>176.04868734496114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1.72E-2</v>
      </c>
      <c r="AT83" s="16">
        <f>IF(ISNA(VLOOKUP(A83,'Données projet'!$A$61:$I$81,7,0)),0%,VLOOKUP(A83,'Données projet'!$A$61:$I$81,7,0))</f>
        <v>0.06</v>
      </c>
      <c r="AU83" s="21">
        <f>EXP(-LN(2)/35)*AU82+(1-EXP(-LN(2)/35))/(LN(2)/35)*AQ83*AR83*VLOOKUP('Données projet'!$B$10,Paramètres!$A$1:$I$89,3,0)*0.475*44/12</f>
        <v>48.360086348593541</v>
      </c>
      <c r="AV83" s="21">
        <f>EXP(-LN(2)/25)*AV82+(1-EXP(-LN(2)/25))/(LN(2)/25)*Calculateur!AQ83*Calculateur!AS83*VLOOKUP('Données projet'!$B$10,Paramètres!$A$1:$I$89,3,0)*0.475*44/12</f>
        <v>2.5854312902389402</v>
      </c>
      <c r="AW83" s="21">
        <f>EXP(-LN(2)/2)*AW82+(1-EXP(-LN(2)/2))/(LN(2)/2)*AQ83*AT83*VLOOKUP('Données projet'!$B$10,Paramètres!$A$1:$I$89,3,0)*0.475*44/12</f>
        <v>1.464352136387618</v>
      </c>
      <c r="AX83" s="21">
        <f t="shared" si="60"/>
        <v>52.409869775220102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-5.999999999994543E-2</v>
      </c>
      <c r="BE83" s="13">
        <f>BD83*VLOOKUP('Données projet'!$B$11,Paramètres!$A$1:$I$89,3,0)*VLOOKUP('Données projet'!$B$11,Paramètres!$A$1:$I$89,5,0)</f>
        <v>-2.8079999999974462E-2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83.62456509032836</v>
      </c>
      <c r="BJ83" s="59">
        <f t="shared" si="92"/>
        <v>131.53128089847871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49.070816602295231</v>
      </c>
      <c r="BQ83" s="21">
        <f>EXP(-LN(2)/25)*BQ82+(1-EXP(-LN(2)/25))/(LN(2)/25)*Calculateur!BL83*Calculateur!BN83*VLOOKUP('Données projet'!$B$11,Paramètres!$A$1:$I$89,3,0)*0.475*44/12</f>
        <v>19.054960682882427</v>
      </c>
      <c r="BR83" s="21">
        <f>EXP(-LN(2)/2)*BR82+(1-EXP(-LN(2)/2))/(LN(2)/2)*BL83*BO83*VLOOKUP('Données projet'!$B$11,Paramètres!$A$1:$I$89,3,0)*0.475*44/12</f>
        <v>4.2377768801963318E-2</v>
      </c>
      <c r="BS83" s="22">
        <f t="shared" si="63"/>
        <v>68.168155053979632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951</v>
      </c>
      <c r="BW83" s="12">
        <f>VLOOKUP(A83,'Données projet'!$A$113:$I$133,9,0)</f>
        <v>9</v>
      </c>
      <c r="BX83" s="12">
        <f t="array" ref="BX83">INDEX(BW:BW,MIN(IF(ISNUMBER(BW83:BW279),ROW(BW83:BW279),"")))</f>
        <v>9</v>
      </c>
      <c r="BY83" s="12">
        <f>IF('Données projet'!$A$114&gt;35,BY82+BX83-CG82,IF(A83&lt;'Données projet'!$A$114,$BV$205^A83,IF(A83='Données projet'!$A$114,'Données projet'!$B$114,BY82+BX83-CG82)))</f>
        <v>951.00000000000034</v>
      </c>
      <c r="BZ83" s="13">
        <f>BY83*VLOOKUP('Données projet'!$B$12,Paramètres!$A$1:$I$89,3,0)*VLOOKUP('Données projet'!$B$12,Paramètres!$A$1:$I$89,5,0)</f>
        <v>420.34200000000021</v>
      </c>
      <c r="CA83" s="13">
        <f t="shared" si="93"/>
        <v>95.888712378044346</v>
      </c>
      <c r="CB83" s="20">
        <f t="shared" si="64"/>
        <v>899.10182405842761</v>
      </c>
      <c r="CC83" s="59">
        <f t="shared" si="65"/>
        <v>1192.4351573917609</v>
      </c>
      <c r="CD83" s="59">
        <f ca="1">AVERAGE(OFFSET($CC$3,0,0,'Données projet'!$E$12+1,1))-AVERAGE(OFFSET($H$3,0,0,'Données projet'!$E$12+1,1))</f>
        <v>415.83983761562189</v>
      </c>
      <c r="CE83" s="59">
        <f t="shared" si="94"/>
        <v>339.37869344688829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26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0.13750000000000001</v>
      </c>
      <c r="CJ83" s="16">
        <f>IF(ISNA(VLOOKUP(A83,'Données projet'!$A$113:$I$133,7,0)),0%,VLOOKUP(A83,'Données projet'!$A$113:$I$133,7,0))</f>
        <v>0.15</v>
      </c>
      <c r="CK83" s="21">
        <f>EXP(-LN(2)/35)*CK82+(1-EXP(-LN(2)/35))/(LN(2)/35)*CG83*CH83*VLOOKUP('Données projet'!$B$12,Paramètres!$A$1:$I$89,3,0)*0.475*44/12</f>
        <v>68.388259975086513</v>
      </c>
      <c r="CL83" s="21">
        <f>EXP(-LN(2)/25)*CL82+(1-EXP(-LN(2)/25))/(LN(2)/25)*Calculateur!CG83*Calculateur!CI83*VLOOKUP('Données projet'!$B$12,Paramètres!$A$1:$I$89,3,0)*0.475*44/12</f>
        <v>29.32678599722782</v>
      </c>
      <c r="CM83" s="21">
        <f>EXP(-LN(2)/2)*CM82+(1-EXP(-LN(2)/2))/(LN(2)/2)*CG83*CJ83*VLOOKUP('Données projet'!$B$12,Paramètres!$A$1:$I$89,3,0)*0.475*44/12</f>
        <v>2.4526790162085392</v>
      </c>
      <c r="CN83" s="22">
        <f t="shared" si="66"/>
        <v>100.16772498852286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258.68215148478868</v>
      </c>
      <c r="T84" s="59">
        <f t="shared" si="88"/>
        <v>153.16792125610209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42.305891138741345</v>
      </c>
      <c r="AA84" s="21">
        <f>EXP(-LN(2)/25)*AA83+(1-EXP(-LN(2)/25))/(LN(2)/25)*Calculateur!V84*Calculateur!X84*VLOOKUP('Données projet'!$B$9,Paramètres!$A$1:$I$89,3,0)*0.475*44/12</f>
        <v>2.2439151856528499</v>
      </c>
      <c r="AB84" s="21">
        <f>EXP(-LN(2)/2)*AB83+(1-EXP(-LN(2)/2))/(LN(2)/2)*V84*Y84*VLOOKUP('Données projet'!$B$9,Paramètres!$A$1:$I$89,3,0)*0.475*44/12</f>
        <v>0.92394296753403327</v>
      </c>
      <c r="AC84" s="22">
        <f t="shared" si="57"/>
        <v>45.473749291928229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298.68533387773886</v>
      </c>
      <c r="AO84" s="59">
        <f t="shared" si="90"/>
        <v>176.04868734496114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47.411774552037734</v>
      </c>
      <c r="AV84" s="21">
        <f>EXP(-LN(2)/25)*AV83+(1-EXP(-LN(2)/25))/(LN(2)/25)*Calculateur!AQ84*Calculateur!AS84*VLOOKUP('Données projet'!$B$10,Paramètres!$A$1:$I$89,3,0)*0.475*44/12</f>
        <v>2.5147325356454338</v>
      </c>
      <c r="AW84" s="21">
        <f>EXP(-LN(2)/2)*AW83+(1-EXP(-LN(2)/2))/(LN(2)/2)*AQ84*AT84*VLOOKUP('Données projet'!$B$10,Paramètres!$A$1:$I$89,3,0)*0.475*44/12</f>
        <v>1.0354533256846929</v>
      </c>
      <c r="AX84" s="21">
        <f t="shared" si="60"/>
        <v>50.961960413367862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-5.999999999994543E-2</v>
      </c>
      <c r="BE84" s="13">
        <f>BD84*VLOOKUP('Données projet'!$B$11,Paramètres!$A$1:$I$89,3,0)*VLOOKUP('Données projet'!$B$11,Paramètres!$A$1:$I$89,5,0)</f>
        <v>-2.8079999999974462E-2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83.62456509032836</v>
      </c>
      <c r="BJ84" s="59">
        <f t="shared" si="92"/>
        <v>131.53128089847871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48.108567818966982</v>
      </c>
      <c r="BQ84" s="21">
        <f>EXP(-LN(2)/25)*BQ83+(1-EXP(-LN(2)/25))/(LN(2)/25)*Calculateur!BL84*Calculateur!BN84*VLOOKUP('Données projet'!$B$11,Paramètres!$A$1:$I$89,3,0)*0.475*44/12</f>
        <v>18.533901780952174</v>
      </c>
      <c r="BR84" s="21">
        <f>EXP(-LN(2)/2)*BR83+(1-EXP(-LN(2)/2))/(LN(2)/2)*BL84*BO84*VLOOKUP('Données projet'!$B$11,Paramètres!$A$1:$I$89,3,0)*0.475*44/12</f>
        <v>2.9965607691423979E-2</v>
      </c>
      <c r="BS84" s="22">
        <f t="shared" si="63"/>
        <v>66.672435207610576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925.00000000000034</v>
      </c>
      <c r="BZ84" s="13">
        <f>BY84*VLOOKUP('Données projet'!$B$12,Paramètres!$A$1:$I$89,3,0)*VLOOKUP('Données projet'!$B$12,Paramètres!$A$1:$I$89,5,0)</f>
        <v>408.85000000000014</v>
      </c>
      <c r="CA84" s="13">
        <f t="shared" si="93"/>
        <v>93.568575358321141</v>
      </c>
      <c r="CB84" s="20">
        <f t="shared" si="64"/>
        <v>875.04568541574281</v>
      </c>
      <c r="CC84" s="59">
        <f t="shared" si="65"/>
        <v>1168.3790187490761</v>
      </c>
      <c r="CD84" s="59">
        <f ca="1">AVERAGE(OFFSET($CC$3,0,0,'Données projet'!$E$12+1,1))-AVERAGE(OFFSET($H$3,0,0,'Données projet'!$E$12+1,1))</f>
        <v>415.83983761562189</v>
      </c>
      <c r="CE84" s="59">
        <f t="shared" si="94"/>
        <v>339.37869344688829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67.047207909694862</v>
      </c>
      <c r="CL84" s="21">
        <f>EXP(-LN(2)/25)*CL83+(1-EXP(-LN(2)/25))/(LN(2)/25)*Calculateur!CG84*Calculateur!CI84*VLOOKUP('Données projet'!$B$12,Paramètres!$A$1:$I$89,3,0)*0.475*44/12</f>
        <v>28.524843491904978</v>
      </c>
      <c r="CM84" s="21">
        <f>EXP(-LN(2)/2)*CM83+(1-EXP(-LN(2)/2))/(LN(2)/2)*CG84*CJ84*VLOOKUP('Données projet'!$B$12,Paramètres!$A$1:$I$89,3,0)*0.475*44/12</f>
        <v>1.7343059644350083</v>
      </c>
      <c r="CN84" s="22">
        <f t="shared" si="66"/>
        <v>97.306357366034845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258.68215148478868</v>
      </c>
      <c r="T85" s="59">
        <f t="shared" si="88"/>
        <v>153.16792125610209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41.476298417556286</v>
      </c>
      <c r="AA85" s="21">
        <f>EXP(-LN(2)/25)*AA84+(1-EXP(-LN(2)/25))/(LN(2)/25)*Calculateur!V85*Calculateur!X85*VLOOKUP('Données projet'!$B$9,Paramètres!$A$1:$I$89,3,0)*0.475*44/12</f>
        <v>2.1825552068988014</v>
      </c>
      <c r="AB85" s="21">
        <f>EXP(-LN(2)/2)*AB84+(1-EXP(-LN(2)/2))/(LN(2)/2)*V85*Y85*VLOOKUP('Données projet'!$B$9,Paramètres!$A$1:$I$89,3,0)*0.475*44/12</f>
        <v>0.65332633777293714</v>
      </c>
      <c r="AC85" s="22">
        <f t="shared" si="57"/>
        <v>44.312179962228029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298.68533387773886</v>
      </c>
      <c r="AO85" s="59">
        <f t="shared" si="90"/>
        <v>176.04868734496114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46.4820585713993</v>
      </c>
      <c r="AV85" s="21">
        <f>EXP(-LN(2)/25)*AV84+(1-EXP(-LN(2)/25))/(LN(2)/25)*Calculateur!AQ85*Calculateur!AS85*VLOOKUP('Données projet'!$B$10,Paramètres!$A$1:$I$89,3,0)*0.475*44/12</f>
        <v>2.4459670422141726</v>
      </c>
      <c r="AW85" s="21">
        <f>EXP(-LN(2)/2)*AW84+(1-EXP(-LN(2)/2))/(LN(2)/2)*AQ85*AT85*VLOOKUP('Données projet'!$B$10,Paramètres!$A$1:$I$89,3,0)*0.475*44/12</f>
        <v>0.7321760681938092</v>
      </c>
      <c r="AX85" s="21">
        <f t="shared" si="60"/>
        <v>49.66020168180728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-5.999999999994543E-2</v>
      </c>
      <c r="BE85" s="13">
        <f>BD85*VLOOKUP('Données projet'!$B$11,Paramètres!$A$1:$I$89,3,0)*VLOOKUP('Données projet'!$B$11,Paramètres!$A$1:$I$89,5,0)</f>
        <v>-2.8079999999974462E-2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83.62456509032836</v>
      </c>
      <c r="BJ85" s="59">
        <f t="shared" si="92"/>
        <v>131.53128089847871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47.165188147365996</v>
      </c>
      <c r="BQ85" s="21">
        <f>EXP(-LN(2)/25)*BQ84+(1-EXP(-LN(2)/25))/(LN(2)/25)*Calculateur!BL85*Calculateur!BN85*VLOOKUP('Données projet'!$B$11,Paramètres!$A$1:$I$89,3,0)*0.475*44/12</f>
        <v>18.027091262096501</v>
      </c>
      <c r="BR85" s="21">
        <f>EXP(-LN(2)/2)*BR84+(1-EXP(-LN(2)/2))/(LN(2)/2)*BL85*BO85*VLOOKUP('Données projet'!$B$11,Paramètres!$A$1:$I$89,3,0)*0.475*44/12</f>
        <v>2.1188884400981663E-2</v>
      </c>
      <c r="BS85" s="22">
        <f t="shared" si="63"/>
        <v>65.213468293863485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925.00000000000034</v>
      </c>
      <c r="BZ85" s="13">
        <f>BY85*VLOOKUP('Données projet'!$B$12,Paramètres!$A$1:$I$89,3,0)*VLOOKUP('Données projet'!$B$12,Paramètres!$A$1:$I$89,5,0)</f>
        <v>408.85000000000014</v>
      </c>
      <c r="CA85" s="13">
        <f t="shared" si="93"/>
        <v>93.568575358321141</v>
      </c>
      <c r="CB85" s="20">
        <f t="shared" si="64"/>
        <v>875.04568541574281</v>
      </c>
      <c r="CC85" s="59">
        <f t="shared" si="65"/>
        <v>1168.3790187490761</v>
      </c>
      <c r="CD85" s="59">
        <f ca="1">AVERAGE(OFFSET($CC$3,0,0,'Données projet'!$E$12+1,1))-AVERAGE(OFFSET($H$3,0,0,'Données projet'!$E$12+1,1))</f>
        <v>415.83983761562189</v>
      </c>
      <c r="CE85" s="59">
        <f t="shared" si="94"/>
        <v>339.37869344688829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65.732453057344543</v>
      </c>
      <c r="CL85" s="21">
        <f>EXP(-LN(2)/25)*CL84+(1-EXP(-LN(2)/25))/(LN(2)/25)*Calculateur!CG85*Calculateur!CI85*VLOOKUP('Données projet'!$B$12,Paramètres!$A$1:$I$89,3,0)*0.475*44/12</f>
        <v>27.74483014656251</v>
      </c>
      <c r="CM85" s="21">
        <f>EXP(-LN(2)/2)*CM84+(1-EXP(-LN(2)/2))/(LN(2)/2)*CG85*CJ85*VLOOKUP('Données projet'!$B$12,Paramètres!$A$1:$I$89,3,0)*0.475*44/12</f>
        <v>1.2263395081042698</v>
      </c>
      <c r="CN85" s="22">
        <f t="shared" si="66"/>
        <v>94.703622712011324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258.68215148478868</v>
      </c>
      <c r="T86" s="59">
        <f t="shared" si="88"/>
        <v>153.16792125610209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40.662973503632067</v>
      </c>
      <c r="AA86" s="21">
        <f>EXP(-LN(2)/25)*AA85+(1-EXP(-LN(2)/25))/(LN(2)/25)*Calculateur!V86*Calculateur!X86*VLOOKUP('Données projet'!$B$9,Paramètres!$A$1:$I$89,3,0)*0.475*44/12</f>
        <v>2.1228731199905635</v>
      </c>
      <c r="AB86" s="21">
        <f>EXP(-LN(2)/2)*AB85+(1-EXP(-LN(2)/2))/(LN(2)/2)*V86*Y86*VLOOKUP('Données projet'!$B$9,Paramètres!$A$1:$I$89,3,0)*0.475*44/12</f>
        <v>0.46197148376701674</v>
      </c>
      <c r="AC86" s="22">
        <f t="shared" si="57"/>
        <v>43.247818107389648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298.68533387773886</v>
      </c>
      <c r="AO86" s="59">
        <f t="shared" si="90"/>
        <v>176.04868734496114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45.570573754070431</v>
      </c>
      <c r="AV86" s="21">
        <f>EXP(-LN(2)/25)*AV85+(1-EXP(-LN(2)/25))/(LN(2)/25)*Calculateur!AQ86*Calculateur!AS86*VLOOKUP('Données projet'!$B$10,Paramètres!$A$1:$I$89,3,0)*0.475*44/12</f>
        <v>2.3790819448170097</v>
      </c>
      <c r="AW86" s="21">
        <f>EXP(-LN(2)/2)*AW85+(1-EXP(-LN(2)/2))/(LN(2)/2)*AQ86*AT86*VLOOKUP('Données projet'!$B$10,Paramètres!$A$1:$I$89,3,0)*0.475*44/12</f>
        <v>0.51772666284234659</v>
      </c>
      <c r="AX86" s="21">
        <f t="shared" si="60"/>
        <v>48.46738236172979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-5.999999999994543E-2</v>
      </c>
      <c r="BE86" s="13">
        <f>BD86*VLOOKUP('Données projet'!$B$11,Paramètres!$A$1:$I$89,3,0)*VLOOKUP('Données projet'!$B$11,Paramètres!$A$1:$I$89,5,0)</f>
        <v>-2.8079999999974462E-2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83.62456509032836</v>
      </c>
      <c r="BJ86" s="59">
        <f t="shared" si="92"/>
        <v>131.53128089847871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46.240307575720323</v>
      </c>
      <c r="BQ86" s="21">
        <f>EXP(-LN(2)/25)*BQ85+(1-EXP(-LN(2)/25))/(LN(2)/25)*Calculateur!BL86*Calculateur!BN86*VLOOKUP('Données projet'!$B$11,Paramètres!$A$1:$I$89,3,0)*0.475*44/12</f>
        <v>17.534139503530945</v>
      </c>
      <c r="BR86" s="21">
        <f>EXP(-LN(2)/2)*BR85+(1-EXP(-LN(2)/2))/(LN(2)/2)*BL86*BO86*VLOOKUP('Données projet'!$B$11,Paramètres!$A$1:$I$89,3,0)*0.475*44/12</f>
        <v>1.4982803845711991E-2</v>
      </c>
      <c r="BS86" s="22">
        <f t="shared" si="63"/>
        <v>63.789429883096979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925.00000000000034</v>
      </c>
      <c r="BZ86" s="13">
        <f>BY86*VLOOKUP('Données projet'!$B$12,Paramètres!$A$1:$I$89,3,0)*VLOOKUP('Données projet'!$B$12,Paramètres!$A$1:$I$89,5,0)</f>
        <v>408.85000000000014</v>
      </c>
      <c r="CA86" s="13">
        <f t="shared" si="93"/>
        <v>93.568575358321141</v>
      </c>
      <c r="CB86" s="20">
        <f t="shared" si="64"/>
        <v>875.04568541574281</v>
      </c>
      <c r="CC86" s="59">
        <f t="shared" si="65"/>
        <v>1168.3790187490761</v>
      </c>
      <c r="CD86" s="59">
        <f ca="1">AVERAGE(OFFSET($CC$3,0,0,'Données projet'!$E$12+1,1))-AVERAGE(OFFSET($H$3,0,0,'Données projet'!$E$12+1,1))</f>
        <v>415.83983761562189</v>
      </c>
      <c r="CE86" s="59">
        <f t="shared" si="94"/>
        <v>339.37869344688829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64.443479745727544</v>
      </c>
      <c r="CL86" s="21">
        <f>EXP(-LN(2)/25)*CL85+(1-EXP(-LN(2)/25))/(LN(2)/25)*Calculateur!CG86*Calculateur!CI86*VLOOKUP('Données projet'!$B$12,Paramètres!$A$1:$I$89,3,0)*0.475*44/12</f>
        <v>26.986146307167552</v>
      </c>
      <c r="CM86" s="21">
        <f>EXP(-LN(2)/2)*CM85+(1-EXP(-LN(2)/2))/(LN(2)/2)*CG86*CJ86*VLOOKUP('Données projet'!$B$12,Paramètres!$A$1:$I$89,3,0)*0.475*44/12</f>
        <v>0.86715298221750436</v>
      </c>
      <c r="CN86" s="22">
        <f t="shared" si="66"/>
        <v>92.296779035112593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258.68215148478868</v>
      </c>
      <c r="T87" s="59">
        <f t="shared" si="88"/>
        <v>153.16792125610209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39.86559739519069</v>
      </c>
      <c r="AA87" s="21">
        <f>EXP(-LN(2)/25)*AA86+(1-EXP(-LN(2)/25))/(LN(2)/25)*Calculateur!V87*Calculateur!X87*VLOOKUP('Données projet'!$B$9,Paramètres!$A$1:$I$89,3,0)*0.475*44/12</f>
        <v>2.0648230428873759</v>
      </c>
      <c r="AB87" s="21">
        <f>EXP(-LN(2)/2)*AB86+(1-EXP(-LN(2)/2))/(LN(2)/2)*V87*Y87*VLOOKUP('Données projet'!$B$9,Paramètres!$A$1:$I$89,3,0)*0.475*44/12</f>
        <v>0.32666316888646862</v>
      </c>
      <c r="AC87" s="22">
        <f t="shared" si="57"/>
        <v>42.257083606964535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298.68533387773886</v>
      </c>
      <c r="AO87" s="59">
        <f t="shared" si="90"/>
        <v>176.04868734496114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44.676962598058537</v>
      </c>
      <c r="AV87" s="21">
        <f>EXP(-LN(2)/25)*AV86+(1-EXP(-LN(2)/25))/(LN(2)/25)*Calculateur!AQ87*Calculateur!AS87*VLOOKUP('Données projet'!$B$10,Paramètres!$A$1:$I$89,3,0)*0.475*44/12</f>
        <v>2.3140258239255065</v>
      </c>
      <c r="AW87" s="21">
        <f>EXP(-LN(2)/2)*AW86+(1-EXP(-LN(2)/2))/(LN(2)/2)*AQ87*AT87*VLOOKUP('Données projet'!$B$10,Paramètres!$A$1:$I$89,3,0)*0.475*44/12</f>
        <v>0.36608803409690466</v>
      </c>
      <c r="AX87" s="21">
        <f t="shared" si="60"/>
        <v>47.357076456080947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-5.999999999994543E-2</v>
      </c>
      <c r="BE87" s="13">
        <f>BD87*VLOOKUP('Données projet'!$B$11,Paramètres!$A$1:$I$89,3,0)*VLOOKUP('Données projet'!$B$11,Paramètres!$A$1:$I$89,5,0)</f>
        <v>-2.8079999999974462E-2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83.62456509032836</v>
      </c>
      <c r="BJ87" s="59">
        <f t="shared" si="92"/>
        <v>131.53128089847871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45.333563347963171</v>
      </c>
      <c r="BQ87" s="21">
        <f>EXP(-LN(2)/25)*BQ86+(1-EXP(-LN(2)/25))/(LN(2)/25)*Calculateur!BL87*Calculateur!BN87*VLOOKUP('Données projet'!$B$11,Paramètres!$A$1:$I$89,3,0)*0.475*44/12</f>
        <v>17.054667536726569</v>
      </c>
      <c r="BR87" s="21">
        <f>EXP(-LN(2)/2)*BR86+(1-EXP(-LN(2)/2))/(LN(2)/2)*BL87*BO87*VLOOKUP('Données projet'!$B$11,Paramètres!$A$1:$I$89,3,0)*0.475*44/12</f>
        <v>1.0594442200490833E-2</v>
      </c>
      <c r="BS87" s="22">
        <f t="shared" si="63"/>
        <v>62.398825326890233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925.00000000000034</v>
      </c>
      <c r="BZ87" s="13">
        <f>BY87*VLOOKUP('Données projet'!$B$12,Paramètres!$A$1:$I$89,3,0)*VLOOKUP('Données projet'!$B$12,Paramètres!$A$1:$I$89,5,0)</f>
        <v>408.85000000000014</v>
      </c>
      <c r="CA87" s="13">
        <f t="shared" si="93"/>
        <v>93.568575358321141</v>
      </c>
      <c r="CB87" s="20">
        <f t="shared" si="64"/>
        <v>875.04568541574281</v>
      </c>
      <c r="CC87" s="59">
        <f t="shared" si="65"/>
        <v>1168.3790187490761</v>
      </c>
      <c r="CD87" s="59">
        <f ca="1">AVERAGE(OFFSET($CC$3,0,0,'Données projet'!$E$12+1,1))-AVERAGE(OFFSET($H$3,0,0,'Données projet'!$E$12+1,1))</f>
        <v>415.83983761562189</v>
      </c>
      <c r="CE87" s="59">
        <f t="shared" si="94"/>
        <v>339.37869344688829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63.179782414555262</v>
      </c>
      <c r="CL87" s="21">
        <f>EXP(-LN(2)/25)*CL86+(1-EXP(-LN(2)/25))/(LN(2)/25)*Calculateur!CG87*Calculateur!CI87*VLOOKUP('Données projet'!$B$12,Paramètres!$A$1:$I$89,3,0)*0.475*44/12</f>
        <v>26.248208717258297</v>
      </c>
      <c r="CM87" s="21">
        <f>EXP(-LN(2)/2)*CM86+(1-EXP(-LN(2)/2))/(LN(2)/2)*CG87*CJ87*VLOOKUP('Données projet'!$B$12,Paramètres!$A$1:$I$89,3,0)*0.475*44/12</f>
        <v>0.61316975405213503</v>
      </c>
      <c r="CN87" s="22">
        <f t="shared" si="66"/>
        <v>90.041160885865693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258.68215148478868</v>
      </c>
      <c r="T88" s="59">
        <f t="shared" si="88"/>
        <v>153.16792125610209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0.34400000000000003</v>
      </c>
      <c r="X88" s="16">
        <f>IF(ISNA(VLOOKUP(A88,'Données projet'!$A$35:$I$55,6,0)),0%,VLOOKUP(A88,'Données projet'!$A$35:$I$55,6,0)*VLOOKUP('Données projet'!$B$9,Paramètres!$A$1:$I$89,7,0))</f>
        <v>1.72E-2</v>
      </c>
      <c r="Y88" s="16">
        <f>IF(ISNA(VLOOKUP(A88,'Données projet'!$A$35:$I$55,7,0)),0%,VLOOKUP(A88,'Données projet'!$A$35:$I$55,7,0))</f>
        <v>0.06</v>
      </c>
      <c r="Z88" s="21">
        <f>EXP(-LN(2)/35)*Z87+(1-EXP(-LN(2)/35))/(LN(2)/35)*V88*W88*VLOOKUP('Données projet'!$B$9,Paramètres!$A$1:$I$89,3,0)*0.475*44/12</f>
        <v>46.309515971960252</v>
      </c>
      <c r="AA88" s="21">
        <f>EXP(-LN(2)/25)*AA87+(1-EXP(-LN(2)/25))/(LN(2)/25)*Calculateur!V88*Calculateur!X88*VLOOKUP('Données projet'!$B$9,Paramètres!$A$1:$I$89,3,0)*0.475*44/12</f>
        <v>2.368220770938954</v>
      </c>
      <c r="AB88" s="21">
        <f>EXP(-LN(2)/2)*AB87+(1-EXP(-LN(2)/2))/(LN(2)/2)*V88*Y88*VLOOKUP('Données projet'!$B$9,Paramètres!$A$1:$I$89,3,0)*0.475*44/12</f>
        <v>1.3066517138255518</v>
      </c>
      <c r="AC88" s="22">
        <f t="shared" si="57"/>
        <v>49.984388456724758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298.68533387773886</v>
      </c>
      <c r="AO88" s="59">
        <f t="shared" si="90"/>
        <v>176.04868734496114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0.34400000000000003</v>
      </c>
      <c r="AS88" s="16">
        <f>IF(ISNA(VLOOKUP(A88,'Données projet'!$A$61:$I$81,6,0)),0%,VLOOKUP(A88,'Données projet'!$A$61:$I$81,6,0)*VLOOKUP('Données projet'!$B$10,Paramètres!$A$1:$I$89,7,0))</f>
        <v>1.72E-2</v>
      </c>
      <c r="AT88" s="16">
        <f>IF(ISNA(VLOOKUP(A88,'Données projet'!$A$61:$I$81,7,0)),0%,VLOOKUP(A88,'Données projet'!$A$61:$I$81,7,0))</f>
        <v>0.06</v>
      </c>
      <c r="AU88" s="21">
        <f>EXP(-LN(2)/35)*AU87+(1-EXP(-LN(2)/35))/(LN(2)/35)*AQ88*AR88*VLOOKUP('Données projet'!$B$10,Paramètres!$A$1:$I$89,3,0)*0.475*44/12</f>
        <v>51.898595485817538</v>
      </c>
      <c r="AV88" s="21">
        <f>EXP(-LN(2)/25)*AV87+(1-EXP(-LN(2)/25))/(LN(2)/25)*Calculateur!AQ88*Calculateur!AS88*VLOOKUP('Données projet'!$B$10,Paramètres!$A$1:$I$89,3,0)*0.475*44/12</f>
        <v>2.6540405191557235</v>
      </c>
      <c r="AW88" s="21">
        <f>EXP(-LN(2)/2)*AW87+(1-EXP(-LN(2)/2))/(LN(2)/2)*AQ88*AT88*VLOOKUP('Données projet'!$B$10,Paramètres!$A$1:$I$89,3,0)*0.475*44/12</f>
        <v>1.4643510585976016</v>
      </c>
      <c r="AX88" s="21">
        <f t="shared" si="60"/>
        <v>56.016987063570859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-5.999999999994543E-2</v>
      </c>
      <c r="BE88" s="13">
        <f>BD88*VLOOKUP('Données projet'!$B$11,Paramètres!$A$1:$I$89,3,0)*VLOOKUP('Données projet'!$B$11,Paramètres!$A$1:$I$89,5,0)</f>
        <v>-2.8079999999974462E-2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83.62456509032836</v>
      </c>
      <c r="BJ88" s="59">
        <f t="shared" si="92"/>
        <v>131.53128089847871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44.444599821452968</v>
      </c>
      <c r="BQ88" s="21">
        <f>EXP(-LN(2)/25)*BQ87+(1-EXP(-LN(2)/25))/(LN(2)/25)*Calculateur!BL88*Calculateur!BN88*VLOOKUP('Données projet'!$B$11,Paramètres!$A$1:$I$89,3,0)*0.475*44/12</f>
        <v>16.588306756068793</v>
      </c>
      <c r="BR88" s="21">
        <f>EXP(-LN(2)/2)*BR87+(1-EXP(-LN(2)/2))/(LN(2)/2)*BL88*BO88*VLOOKUP('Données projet'!$B$11,Paramètres!$A$1:$I$89,3,0)*0.475*44/12</f>
        <v>7.4914019228559973E-3</v>
      </c>
      <c r="BS88" s="22">
        <f t="shared" si="63"/>
        <v>61.040397979444613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925.00000000000034</v>
      </c>
      <c r="BZ88" s="13">
        <f>BY88*VLOOKUP('Données projet'!$B$12,Paramètres!$A$1:$I$89,3,0)*VLOOKUP('Données projet'!$B$12,Paramètres!$A$1:$I$89,5,0)</f>
        <v>408.85000000000014</v>
      </c>
      <c r="CA88" s="13">
        <f t="shared" si="93"/>
        <v>93.568575358321141</v>
      </c>
      <c r="CB88" s="20">
        <f t="shared" si="64"/>
        <v>875.04568541574281</v>
      </c>
      <c r="CC88" s="59">
        <f t="shared" si="65"/>
        <v>1168.3790187490761</v>
      </c>
      <c r="CD88" s="59">
        <f ca="1">AVERAGE(OFFSET($CC$3,0,0,'Données projet'!$E$12+1,1))-AVERAGE(OFFSET($H$3,0,0,'Données projet'!$E$12+1,1))</f>
        <v>415.83983761562189</v>
      </c>
      <c r="CE88" s="59">
        <f t="shared" si="94"/>
        <v>339.37869344688829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61.940865417268007</v>
      </c>
      <c r="CL88" s="21">
        <f>EXP(-LN(2)/25)*CL87+(1-EXP(-LN(2)/25))/(LN(2)/25)*Calculateur!CG88*Calculateur!CI88*VLOOKUP('Données projet'!$B$12,Paramètres!$A$1:$I$89,3,0)*0.475*44/12</f>
        <v>25.530450069551563</v>
      </c>
      <c r="CM88" s="21">
        <f>EXP(-LN(2)/2)*CM87+(1-EXP(-LN(2)/2))/(LN(2)/2)*CG88*CJ88*VLOOKUP('Données projet'!$B$12,Paramètres!$A$1:$I$89,3,0)*0.475*44/12</f>
        <v>0.43357649110875224</v>
      </c>
      <c r="CN88" s="22">
        <f t="shared" si="66"/>
        <v>87.90489197792833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258.68215148478868</v>
      </c>
      <c r="T89" s="59">
        <f t="shared" si="88"/>
        <v>153.16792125610209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45.401414609765794</v>
      </c>
      <c r="AA89" s="21">
        <f>EXP(-LN(2)/25)*AA88+(1-EXP(-LN(2)/25))/(LN(2)/25)*Calculateur!V89*Calculateur!X89*VLOOKUP('Données projet'!$B$9,Paramètres!$A$1:$I$89,3,0)*0.475*44/12</f>
        <v>2.3034616494183107</v>
      </c>
      <c r="AB89" s="21">
        <f>EXP(-LN(2)/2)*AB88+(1-EXP(-LN(2)/2))/(LN(2)/2)*V89*Y89*VLOOKUP('Données projet'!$B$9,Paramètres!$A$1:$I$89,3,0)*0.475*44/12</f>
        <v>0.92394228749507179</v>
      </c>
      <c r="AC89" s="22">
        <f t="shared" si="57"/>
        <v>48.628818546679177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298.68533387773886</v>
      </c>
      <c r="AO89" s="59">
        <f t="shared" si="90"/>
        <v>176.04868734496114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50.880895683358226</v>
      </c>
      <c r="AV89" s="21">
        <f>EXP(-LN(2)/25)*AV88+(1-EXP(-LN(2)/25))/(LN(2)/25)*Calculateur!AQ89*Calculateur!AS89*VLOOKUP('Données projet'!$B$10,Paramètres!$A$1:$I$89,3,0)*0.475*44/12</f>
        <v>2.5814656415894852</v>
      </c>
      <c r="AW89" s="21">
        <f>EXP(-LN(2)/2)*AW88+(1-EXP(-LN(2)/2))/(LN(2)/2)*AQ89*AT89*VLOOKUP('Données projet'!$B$10,Paramètres!$A$1:$I$89,3,0)*0.475*44/12</f>
        <v>1.0354525635720635</v>
      </c>
      <c r="AX89" s="21">
        <f t="shared" si="60"/>
        <v>54.497813888519772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-5.999999999994543E-2</v>
      </c>
      <c r="BE89" s="13">
        <f>BD89*VLOOKUP('Données projet'!$B$11,Paramètres!$A$1:$I$89,3,0)*VLOOKUP('Données projet'!$B$11,Paramètres!$A$1:$I$89,5,0)</f>
        <v>-2.8079999999974462E-2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83.62456509032836</v>
      </c>
      <c r="BJ89" s="59">
        <f t="shared" si="92"/>
        <v>131.53128089847871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43.573068327483419</v>
      </c>
      <c r="BQ89" s="21">
        <f>EXP(-LN(2)/25)*BQ88+(1-EXP(-LN(2)/25))/(LN(2)/25)*Calculateur!BL89*Calculateur!BN89*VLOOKUP('Données projet'!$B$11,Paramètres!$A$1:$I$89,3,0)*0.475*44/12</f>
        <v>16.134698635482952</v>
      </c>
      <c r="BR89" s="21">
        <f>EXP(-LN(2)/2)*BR88+(1-EXP(-LN(2)/2))/(LN(2)/2)*BL89*BO89*VLOOKUP('Données projet'!$B$11,Paramètres!$A$1:$I$89,3,0)*0.475*44/12</f>
        <v>5.2972211002454174E-3</v>
      </c>
      <c r="BS89" s="22">
        <f t="shared" si="63"/>
        <v>59.713064184066617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925.00000000000034</v>
      </c>
      <c r="BZ89" s="13">
        <f>BY89*VLOOKUP('Données projet'!$B$12,Paramètres!$A$1:$I$89,3,0)*VLOOKUP('Données projet'!$B$12,Paramètres!$A$1:$I$89,5,0)</f>
        <v>408.85000000000014</v>
      </c>
      <c r="CA89" s="13">
        <f t="shared" si="93"/>
        <v>93.568575358321141</v>
      </c>
      <c r="CB89" s="20">
        <f t="shared" si="64"/>
        <v>875.04568541574281</v>
      </c>
      <c r="CC89" s="59">
        <f t="shared" si="65"/>
        <v>1168.3790187490761</v>
      </c>
      <c r="CD89" s="59">
        <f ca="1">AVERAGE(OFFSET($CC$3,0,0,'Données projet'!$E$12+1,1))-AVERAGE(OFFSET($H$3,0,0,'Données projet'!$E$12+1,1))</f>
        <v>415.83983761562189</v>
      </c>
      <c r="CE89" s="59">
        <f t="shared" si="94"/>
        <v>339.37869344688829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60.726242826632799</v>
      </c>
      <c r="CL89" s="21">
        <f>EXP(-LN(2)/25)*CL88+(1-EXP(-LN(2)/25))/(LN(2)/25)*Calculateur!CG89*Calculateur!CI89*VLOOKUP('Données projet'!$B$12,Paramètres!$A$1:$I$89,3,0)*0.475*44/12</f>
        <v>24.832318569811658</v>
      </c>
      <c r="CM89" s="21">
        <f>EXP(-LN(2)/2)*CM88+(1-EXP(-LN(2)/2))/(LN(2)/2)*CG89*CJ89*VLOOKUP('Données projet'!$B$12,Paramètres!$A$1:$I$89,3,0)*0.475*44/12</f>
        <v>0.30658487702606757</v>
      </c>
      <c r="CN89" s="22">
        <f t="shared" si="66"/>
        <v>85.865146273470529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258.68215148478868</v>
      </c>
      <c r="T90" s="59">
        <f t="shared" si="88"/>
        <v>153.16792125610209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44.511120561396829</v>
      </c>
      <c r="AA90" s="21">
        <f>EXP(-LN(2)/25)*AA89+(1-EXP(-LN(2)/25))/(LN(2)/25)*Calculateur!V90*Calculateur!X90*VLOOKUP('Données projet'!$B$9,Paramètres!$A$1:$I$89,3,0)*0.475*44/12</f>
        <v>2.2404733694811836</v>
      </c>
      <c r="AB90" s="21">
        <f>EXP(-LN(2)/2)*AB89+(1-EXP(-LN(2)/2))/(LN(2)/2)*V90*Y90*VLOOKUP('Données projet'!$B$9,Paramètres!$A$1:$I$89,3,0)*0.475*44/12</f>
        <v>0.653325856912776</v>
      </c>
      <c r="AC90" s="22">
        <f t="shared" si="57"/>
        <v>47.404919787790789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298.68533387773886</v>
      </c>
      <c r="AO90" s="59">
        <f t="shared" si="90"/>
        <v>176.04868734496114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49.88315235328956</v>
      </c>
      <c r="AV90" s="21">
        <f>EXP(-LN(2)/25)*AV89+(1-EXP(-LN(2)/25))/(LN(2)/25)*Calculateur!AQ90*Calculateur!AS90*VLOOKUP('Données projet'!$B$10,Paramètres!$A$1:$I$89,3,0)*0.475*44/12</f>
        <v>2.5108753278668425</v>
      </c>
      <c r="AW90" s="21">
        <f>EXP(-LN(2)/2)*AW89+(1-EXP(-LN(2)/2))/(LN(2)/2)*AQ90*AT90*VLOOKUP('Données projet'!$B$10,Paramètres!$A$1:$I$89,3,0)*0.475*44/12</f>
        <v>0.73217552929880081</v>
      </c>
      <c r="AX90" s="21">
        <f t="shared" si="60"/>
        <v>53.126203210455202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-5.999999999994543E-2</v>
      </c>
      <c r="BE90" s="13">
        <f>BD90*VLOOKUP('Données projet'!$B$11,Paramètres!$A$1:$I$89,3,0)*VLOOKUP('Données projet'!$B$11,Paramètres!$A$1:$I$89,5,0)</f>
        <v>-2.8079999999974462E-2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83.62456509032836</v>
      </c>
      <c r="BJ90" s="59">
        <f t="shared" si="92"/>
        <v>131.53128089847871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42.718627034528893</v>
      </c>
      <c r="BQ90" s="21">
        <f>EXP(-LN(2)/25)*BQ89+(1-EXP(-LN(2)/25))/(LN(2)/25)*Calculateur!BL90*Calculateur!BN90*VLOOKUP('Données projet'!$B$11,Paramètres!$A$1:$I$89,3,0)*0.475*44/12</f>
        <v>15.693494452808746</v>
      </c>
      <c r="BR90" s="21">
        <f>EXP(-LN(2)/2)*BR89+(1-EXP(-LN(2)/2))/(LN(2)/2)*BL90*BO90*VLOOKUP('Données projet'!$B$11,Paramètres!$A$1:$I$89,3,0)*0.475*44/12</f>
        <v>3.7457009614279991E-3</v>
      </c>
      <c r="BS90" s="22">
        <f t="shared" si="63"/>
        <v>58.415867188299075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925.00000000000034</v>
      </c>
      <c r="BZ90" s="13">
        <f>BY90*VLOOKUP('Données projet'!$B$12,Paramètres!$A$1:$I$89,3,0)*VLOOKUP('Données projet'!$B$12,Paramètres!$A$1:$I$89,5,0)</f>
        <v>408.85000000000014</v>
      </c>
      <c r="CA90" s="13">
        <f t="shared" si="93"/>
        <v>93.568575358321141</v>
      </c>
      <c r="CB90" s="20">
        <f t="shared" si="64"/>
        <v>875.04568541574281</v>
      </c>
      <c r="CC90" s="59">
        <f t="shared" si="65"/>
        <v>1168.3790187490761</v>
      </c>
      <c r="CD90" s="59">
        <f ca="1">AVERAGE(OFFSET($CC$3,0,0,'Données projet'!$E$12+1,1))-AVERAGE(OFFSET($H$3,0,0,'Données projet'!$E$12+1,1))</f>
        <v>415.83983761562189</v>
      </c>
      <c r="CE90" s="59">
        <f t="shared" si="94"/>
        <v>339.37869344688829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59.535438244153319</v>
      </c>
      <c r="CL90" s="21">
        <f>EXP(-LN(2)/25)*CL89+(1-EXP(-LN(2)/25))/(LN(2)/25)*Calculateur!CG90*Calculateur!CI90*VLOOKUP('Données projet'!$B$12,Paramètres!$A$1:$I$89,3,0)*0.475*44/12</f>
        <v>24.153277512645278</v>
      </c>
      <c r="CM90" s="21">
        <f>EXP(-LN(2)/2)*CM89+(1-EXP(-LN(2)/2))/(LN(2)/2)*CG90*CJ90*VLOOKUP('Données projet'!$B$12,Paramètres!$A$1:$I$89,3,0)*0.475*44/12</f>
        <v>0.21678824555437615</v>
      </c>
      <c r="CN90" s="22">
        <f t="shared" si="66"/>
        <v>83.905504002352984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258.68215148478868</v>
      </c>
      <c r="T91" s="59">
        <f t="shared" si="88"/>
        <v>153.16792125610209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43.638284636290628</v>
      </c>
      <c r="AA91" s="21">
        <f>EXP(-LN(2)/25)*AA90+(1-EXP(-LN(2)/25))/(LN(2)/25)*Calculateur!V91*Calculateur!X91*VLOOKUP('Données projet'!$B$9,Paramètres!$A$1:$I$89,3,0)*0.475*44/12</f>
        <v>2.1792075073713466</v>
      </c>
      <c r="AB91" s="21">
        <f>EXP(-LN(2)/2)*AB90+(1-EXP(-LN(2)/2))/(LN(2)/2)*V91*Y91*VLOOKUP('Données projet'!$B$9,Paramètres!$A$1:$I$89,3,0)*0.475*44/12</f>
        <v>0.46197114374753601</v>
      </c>
      <c r="AC91" s="22">
        <f t="shared" si="57"/>
        <v>46.279463287409506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298.68533387773886</v>
      </c>
      <c r="AO91" s="59">
        <f t="shared" si="90"/>
        <v>176.04868734496114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48.904974161360194</v>
      </c>
      <c r="AV91" s="21">
        <f>EXP(-LN(2)/25)*AV90+(1-EXP(-LN(2)/25))/(LN(2)/25)*Calculateur!AQ91*Calculateur!AS91*VLOOKUP('Données projet'!$B$10,Paramètres!$A$1:$I$89,3,0)*0.475*44/12</f>
        <v>2.4422153099851287</v>
      </c>
      <c r="AW91" s="21">
        <f>EXP(-LN(2)/2)*AW90+(1-EXP(-LN(2)/2))/(LN(2)/2)*AQ91*AT91*VLOOKUP('Données projet'!$B$10,Paramètres!$A$1:$I$89,3,0)*0.475*44/12</f>
        <v>0.51772628178603175</v>
      </c>
      <c r="AX91" s="21">
        <f t="shared" si="60"/>
        <v>51.864915753131356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-5.999999999994543E-2</v>
      </c>
      <c r="BE91" s="13">
        <f>BD91*VLOOKUP('Données projet'!$B$11,Paramètres!$A$1:$I$89,3,0)*VLOOKUP('Données projet'!$B$11,Paramètres!$A$1:$I$89,5,0)</f>
        <v>-2.8079999999974462E-2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83.62456509032836</v>
      </c>
      <c r="BJ91" s="59">
        <f t="shared" si="92"/>
        <v>131.53128089847871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41.880940814171474</v>
      </c>
      <c r="BQ91" s="21">
        <f>EXP(-LN(2)/25)*BQ90+(1-EXP(-LN(2)/25))/(LN(2)/25)*Calculateur!BL91*Calculateur!BN91*VLOOKUP('Données projet'!$B$11,Paramètres!$A$1:$I$89,3,0)*0.475*44/12</f>
        <v>15.264355021711685</v>
      </c>
      <c r="BR91" s="21">
        <f>EXP(-LN(2)/2)*BR90+(1-EXP(-LN(2)/2))/(LN(2)/2)*BL91*BO91*VLOOKUP('Données projet'!$B$11,Paramètres!$A$1:$I$89,3,0)*0.475*44/12</f>
        <v>2.6486105501227091E-3</v>
      </c>
      <c r="BS91" s="22">
        <f t="shared" si="63"/>
        <v>57.147944446433286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925.00000000000034</v>
      </c>
      <c r="BZ91" s="13">
        <f>BY91*VLOOKUP('Données projet'!$B$12,Paramètres!$A$1:$I$89,3,0)*VLOOKUP('Données projet'!$B$12,Paramètres!$A$1:$I$89,5,0)</f>
        <v>408.85000000000014</v>
      </c>
      <c r="CA91" s="13">
        <f t="shared" si="93"/>
        <v>93.568575358321141</v>
      </c>
      <c r="CB91" s="20">
        <f t="shared" si="64"/>
        <v>875.04568541574281</v>
      </c>
      <c r="CC91" s="59">
        <f t="shared" si="65"/>
        <v>1168.3790187490761</v>
      </c>
      <c r="CD91" s="59">
        <f ca="1">AVERAGE(OFFSET($CC$3,0,0,'Données projet'!$E$12+1,1))-AVERAGE(OFFSET($H$3,0,0,'Données projet'!$E$12+1,1))</f>
        <v>415.83983761562189</v>
      </c>
      <c r="CE91" s="59">
        <f t="shared" si="94"/>
        <v>339.37869344688829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58.367984613217189</v>
      </c>
      <c r="CL91" s="21">
        <f>EXP(-LN(2)/25)*CL90+(1-EXP(-LN(2)/25))/(LN(2)/25)*Calculateur!CG91*Calculateur!CI91*VLOOKUP('Données projet'!$B$12,Paramètres!$A$1:$I$89,3,0)*0.475*44/12</f>
        <v>23.492804868896332</v>
      </c>
      <c r="CM91" s="21">
        <f>EXP(-LN(2)/2)*CM90+(1-EXP(-LN(2)/2))/(LN(2)/2)*CG91*CJ91*VLOOKUP('Données projet'!$B$12,Paramètres!$A$1:$I$89,3,0)*0.475*44/12</f>
        <v>0.15329243851303379</v>
      </c>
      <c r="CN91" s="22">
        <f t="shared" si="66"/>
        <v>82.014081920626552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258.68215148478868</v>
      </c>
      <c r="T92" s="59">
        <f t="shared" si="88"/>
        <v>153.16792125610209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42.782564491298416</v>
      </c>
      <c r="AA92" s="21">
        <f>EXP(-LN(2)/25)*AA91+(1-EXP(-LN(2)/25))/(LN(2)/25)*Calculateur!V92*Calculateur!X92*VLOOKUP('Données projet'!$B$9,Paramètres!$A$1:$I$89,3,0)*0.475*44/12</f>
        <v>2.1196169634827351</v>
      </c>
      <c r="AB92" s="21">
        <f>EXP(-LN(2)/2)*AB91+(1-EXP(-LN(2)/2))/(LN(2)/2)*V92*Y92*VLOOKUP('Données projet'!$B$9,Paramètres!$A$1:$I$89,3,0)*0.475*44/12</f>
        <v>0.32666292845638806</v>
      </c>
      <c r="AC92" s="22">
        <f t="shared" si="57"/>
        <v>45.228844383237536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298.68533387773886</v>
      </c>
      <c r="AO92" s="59">
        <f t="shared" si="90"/>
        <v>176.04868734496114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47.945977447144784</v>
      </c>
      <c r="AV92" s="21">
        <f>EXP(-LN(2)/25)*AV91+(1-EXP(-LN(2)/25))/(LN(2)/25)*Calculateur!AQ92*Calculateur!AS92*VLOOKUP('Données projet'!$B$10,Paramètres!$A$1:$I$89,3,0)*0.475*44/12</f>
        <v>2.3754328039030641</v>
      </c>
      <c r="AW92" s="21">
        <f>EXP(-LN(2)/2)*AW91+(1-EXP(-LN(2)/2))/(LN(2)/2)*AQ92*AT92*VLOOKUP('Données projet'!$B$10,Paramètres!$A$1:$I$89,3,0)*0.475*44/12</f>
        <v>0.3660877646494004</v>
      </c>
      <c r="AX92" s="21">
        <f t="shared" si="60"/>
        <v>50.687498015697251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-5.999999999994543E-2</v>
      </c>
      <c r="BE92" s="13">
        <f>BD92*VLOOKUP('Données projet'!$B$11,Paramètres!$A$1:$I$89,3,0)*VLOOKUP('Données projet'!$B$11,Paramètres!$A$1:$I$89,5,0)</f>
        <v>-2.8079999999974462E-2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83.62456509032836</v>
      </c>
      <c r="BJ92" s="59">
        <f t="shared" si="92"/>
        <v>131.53128089847871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41.05968110965712</v>
      </c>
      <c r="BQ92" s="21">
        <f>EXP(-LN(2)/25)*BQ91+(1-EXP(-LN(2)/25))/(LN(2)/25)*Calculateur!BL92*Calculateur!BN92*VLOOKUP('Données projet'!$B$11,Paramètres!$A$1:$I$89,3,0)*0.475*44/12</f>
        <v>14.846950430925435</v>
      </c>
      <c r="BR92" s="21">
        <f>EXP(-LN(2)/2)*BR91+(1-EXP(-LN(2)/2))/(LN(2)/2)*BL92*BO92*VLOOKUP('Données projet'!$B$11,Paramètres!$A$1:$I$89,3,0)*0.475*44/12</f>
        <v>1.872850480714E-3</v>
      </c>
      <c r="BS92" s="22">
        <f t="shared" si="63"/>
        <v>55.908504391063268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925.00000000000034</v>
      </c>
      <c r="BZ92" s="13">
        <f>BY92*VLOOKUP('Données projet'!$B$12,Paramètres!$A$1:$I$89,3,0)*VLOOKUP('Données projet'!$B$12,Paramètres!$A$1:$I$89,5,0)</f>
        <v>408.85000000000014</v>
      </c>
      <c r="CA92" s="13">
        <f t="shared" si="93"/>
        <v>93.568575358321141</v>
      </c>
      <c r="CB92" s="20">
        <f t="shared" si="64"/>
        <v>875.04568541574281</v>
      </c>
      <c r="CC92" s="59">
        <f t="shared" si="65"/>
        <v>1168.3790187490761</v>
      </c>
      <c r="CD92" s="59">
        <f ca="1">AVERAGE(OFFSET($CC$3,0,0,'Données projet'!$E$12+1,1))-AVERAGE(OFFSET($H$3,0,0,'Données projet'!$E$12+1,1))</f>
        <v>415.83983761562189</v>
      </c>
      <c r="CE92" s="59">
        <f t="shared" si="94"/>
        <v>339.37869344688829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57.223424035907314</v>
      </c>
      <c r="CL92" s="21">
        <f>EXP(-LN(2)/25)*CL91+(1-EXP(-LN(2)/25))/(LN(2)/25)*Calculateur!CG92*Calculateur!CI92*VLOOKUP('Données projet'!$B$12,Paramètres!$A$1:$I$89,3,0)*0.475*44/12</f>
        <v>22.850392884323448</v>
      </c>
      <c r="CM92" s="21">
        <f>EXP(-LN(2)/2)*CM91+(1-EXP(-LN(2)/2))/(LN(2)/2)*CG92*CJ92*VLOOKUP('Données projet'!$B$12,Paramètres!$A$1:$I$89,3,0)*0.475*44/12</f>
        <v>0.10839412277718807</v>
      </c>
      <c r="CN92" s="22">
        <f t="shared" si="66"/>
        <v>80.182211043007953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258.68215148478868</v>
      </c>
      <c r="T93" s="59">
        <f t="shared" si="88"/>
        <v>153.16792125610209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1.72E-2</v>
      </c>
      <c r="Y93" s="16">
        <f>IF(ISNA(VLOOKUP(A93,'Données projet'!$A$35:$I$55,7,0)),0%,VLOOKUP(A93,'Données projet'!$A$35:$I$55,7,0))</f>
        <v>0.06</v>
      </c>
      <c r="Z93" s="21">
        <f>EXP(-LN(2)/35)*Z92+(1-EXP(-LN(2)/35))/(LN(2)/35)*V93*W93*VLOOKUP('Données projet'!$B$9,Paramètres!$A$1:$I$89,3,0)*0.475*44/12</f>
        <v>49.169283122487556</v>
      </c>
      <c r="AA93" s="21">
        <f>EXP(-LN(2)/25)*AA92+(1-EXP(-LN(2)/25))/(LN(2)/25)*Calculateur!V93*Calculateur!X93*VLOOKUP('Données projet'!$B$9,Paramètres!$A$1:$I$89,3,0)*0.475*44/12</f>
        <v>2.421516348894146</v>
      </c>
      <c r="AB93" s="21">
        <f>EXP(-LN(2)/2)*AB92+(1-EXP(-LN(2)/2))/(LN(2)/2)*V93*Y93*VLOOKUP('Données projet'!$B$9,Paramètres!$A$1:$I$89,3,0)*0.475*44/12</f>
        <v>1.3066515438158115</v>
      </c>
      <c r="AC93" s="22">
        <f t="shared" si="57"/>
        <v>52.897451015197511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298.68533387773886</v>
      </c>
      <c r="AO93" s="59">
        <f t="shared" si="90"/>
        <v>176.04868734496114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0.34400000000000003</v>
      </c>
      <c r="AS93" s="16">
        <f>IF(ISNA(VLOOKUP(A93,'Données projet'!$A$61:$I$81,6,0)),0%,VLOOKUP(A93,'Données projet'!$A$61:$I$81,6,0)*VLOOKUP('Données projet'!$B$10,Paramètres!$A$1:$I$89,7,0))</f>
        <v>1.72E-2</v>
      </c>
      <c r="AT93" s="16">
        <f>IF(ISNA(VLOOKUP(A93,'Données projet'!$A$61:$I$81,7,0)),0%,VLOOKUP(A93,'Données projet'!$A$61:$I$81,7,0))</f>
        <v>0.06</v>
      </c>
      <c r="AU93" s="21">
        <f>EXP(-LN(2)/35)*AU92+(1-EXP(-LN(2)/35))/(LN(2)/35)*AQ93*AR93*VLOOKUP('Données projet'!$B$10,Paramètres!$A$1:$I$89,3,0)*0.475*44/12</f>
        <v>55.103506947615379</v>
      </c>
      <c r="AV93" s="21">
        <f>EXP(-LN(2)/25)*AV92+(1-EXP(-LN(2)/25))/(LN(2)/25)*Calculateur!AQ93*Calculateur!AS93*VLOOKUP('Données projet'!$B$10,Paramètres!$A$1:$I$89,3,0)*0.475*44/12</f>
        <v>2.7137683220365423</v>
      </c>
      <c r="AW93" s="21">
        <f>EXP(-LN(2)/2)*AW92+(1-EXP(-LN(2)/2))/(LN(2)/2)*AQ93*AT93*VLOOKUP('Données projet'!$B$10,Paramètres!$A$1:$I$89,3,0)*0.475*44/12</f>
        <v>1.4643508680694444</v>
      </c>
      <c r="AX93" s="21">
        <f t="shared" si="60"/>
        <v>59.281626137721368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-5.999999999994543E-2</v>
      </c>
      <c r="BE93" s="13">
        <f>BD93*VLOOKUP('Données projet'!$B$11,Paramètres!$A$1:$I$89,3,0)*VLOOKUP('Données projet'!$B$11,Paramètres!$A$1:$I$89,5,0)</f>
        <v>-2.8079999999974462E-2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83.62456509032836</v>
      </c>
      <c r="BJ93" s="59">
        <f t="shared" si="92"/>
        <v>131.53128089847871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40.254525807029339</v>
      </c>
      <c r="BQ93" s="21">
        <f>EXP(-LN(2)/25)*BQ92+(1-EXP(-LN(2)/25))/(LN(2)/25)*Calculateur!BL93*Calculateur!BN93*VLOOKUP('Données projet'!$B$11,Paramètres!$A$1:$I$89,3,0)*0.475*44/12</f>
        <v>14.440959790624589</v>
      </c>
      <c r="BR93" s="21">
        <f>EXP(-LN(2)/2)*BR92+(1-EXP(-LN(2)/2))/(LN(2)/2)*BL93*BO93*VLOOKUP('Données projet'!$B$11,Paramètres!$A$1:$I$89,3,0)*0.475*44/12</f>
        <v>1.3243052750613548E-3</v>
      </c>
      <c r="BS93" s="22">
        <f t="shared" si="63"/>
        <v>54.69680990292899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925.00000000000034</v>
      </c>
      <c r="BZ93" s="13">
        <f>BY93*VLOOKUP('Données projet'!$B$12,Paramètres!$A$1:$I$89,3,0)*VLOOKUP('Données projet'!$B$12,Paramètres!$A$1:$I$89,5,0)</f>
        <v>408.85000000000014</v>
      </c>
      <c r="CA93" s="13">
        <f t="shared" si="93"/>
        <v>93.568575358321141</v>
      </c>
      <c r="CB93" s="20">
        <f t="shared" si="64"/>
        <v>875.04568541574281</v>
      </c>
      <c r="CC93" s="59">
        <f t="shared" si="65"/>
        <v>1168.3790187490761</v>
      </c>
      <c r="CD93" s="59">
        <f ca="1">AVERAGE(OFFSET($CC$3,0,0,'Données projet'!$E$12+1,1))-AVERAGE(OFFSET($H$3,0,0,'Données projet'!$E$12+1,1))</f>
        <v>415.83983761562189</v>
      </c>
      <c r="CE93" s="59">
        <f t="shared" si="94"/>
        <v>339.37869344688829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56.101307593405465</v>
      </c>
      <c r="CL93" s="21">
        <f>EXP(-LN(2)/25)*CL92+(1-EXP(-LN(2)/25))/(LN(2)/25)*Calculateur!CG93*Calculateur!CI93*VLOOKUP('Données projet'!$B$12,Paramètres!$A$1:$I$89,3,0)*0.475*44/12</f>
        <v>22.225547689251687</v>
      </c>
      <c r="CM93" s="21">
        <f>EXP(-LN(2)/2)*CM92+(1-EXP(-LN(2)/2))/(LN(2)/2)*CG93*CJ93*VLOOKUP('Données projet'!$B$12,Paramètres!$A$1:$I$89,3,0)*0.475*44/12</f>
        <v>7.6646219256516893E-2</v>
      </c>
      <c r="CN93" s="22">
        <f t="shared" si="66"/>
        <v>78.403501501913667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258.68215148478868</v>
      </c>
      <c r="T94" s="59">
        <f t="shared" si="88"/>
        <v>153.16792125610209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48.205103470756981</v>
      </c>
      <c r="AA94" s="21">
        <f>EXP(-LN(2)/25)*AA93+(1-EXP(-LN(2)/25))/(LN(2)/25)*Calculateur!V94*Calculateur!X94*VLOOKUP('Données projet'!$B$9,Paramètres!$A$1:$I$89,3,0)*0.475*44/12</f>
        <v>2.3552998569916253</v>
      </c>
      <c r="AB94" s="21">
        <f>EXP(-LN(2)/2)*AB93+(1-EXP(-LN(2)/2))/(LN(2)/2)*V94*Y94*VLOOKUP('Données projet'!$B$9,Paramètres!$A$1:$I$89,3,0)*0.475*44/12</f>
        <v>0.92394216728003165</v>
      </c>
      <c r="AC94" s="22">
        <f t="shared" si="57"/>
        <v>51.484345495028641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298.68533387773886</v>
      </c>
      <c r="AO94" s="59">
        <f t="shared" si="90"/>
        <v>176.04868734496114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54.022960786193188</v>
      </c>
      <c r="AV94" s="21">
        <f>EXP(-LN(2)/25)*AV93+(1-EXP(-LN(2)/25))/(LN(2)/25)*Calculateur!AQ94*Calculateur!AS94*VLOOKUP('Données projet'!$B$10,Paramètres!$A$1:$I$89,3,0)*0.475*44/12</f>
        <v>2.6395601845595795</v>
      </c>
      <c r="AW94" s="21">
        <f>EXP(-LN(2)/2)*AW93+(1-EXP(-LN(2)/2))/(LN(2)/2)*AQ94*AT94*VLOOKUP('Données projet'!$B$10,Paramètres!$A$1:$I$89,3,0)*0.475*44/12</f>
        <v>1.0354524288483116</v>
      </c>
      <c r="AX94" s="21">
        <f t="shared" si="60"/>
        <v>57.697973399601075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-5.999999999994543E-2</v>
      </c>
      <c r="BE94" s="13">
        <f>BD94*VLOOKUP('Données projet'!$B$11,Paramètres!$A$1:$I$89,3,0)*VLOOKUP('Données projet'!$B$11,Paramètres!$A$1:$I$89,5,0)</f>
        <v>-2.8079999999974462E-2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83.62456509032836</v>
      </c>
      <c r="BJ94" s="59">
        <f t="shared" si="92"/>
        <v>131.53128089847871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39.465159108789841</v>
      </c>
      <c r="BQ94" s="21">
        <f>EXP(-LN(2)/25)*BQ93+(1-EXP(-LN(2)/25))/(LN(2)/25)*Calculateur!BL94*Calculateur!BN94*VLOOKUP('Données projet'!$B$11,Paramètres!$A$1:$I$89,3,0)*0.475*44/12</f>
        <v>14.046070985732889</v>
      </c>
      <c r="BR94" s="21">
        <f>EXP(-LN(2)/2)*BR93+(1-EXP(-LN(2)/2))/(LN(2)/2)*BL94*BO94*VLOOKUP('Données projet'!$B$11,Paramètres!$A$1:$I$89,3,0)*0.475*44/12</f>
        <v>9.364252403570001E-4</v>
      </c>
      <c r="BS94" s="22">
        <f t="shared" si="63"/>
        <v>53.512166519763085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925.00000000000034</v>
      </c>
      <c r="BZ94" s="13">
        <f>BY94*VLOOKUP('Données projet'!$B$12,Paramètres!$A$1:$I$89,3,0)*VLOOKUP('Données projet'!$B$12,Paramètres!$A$1:$I$89,5,0)</f>
        <v>408.85000000000014</v>
      </c>
      <c r="CA94" s="13">
        <f t="shared" si="93"/>
        <v>93.568575358321141</v>
      </c>
      <c r="CB94" s="20">
        <f t="shared" si="64"/>
        <v>875.04568541574281</v>
      </c>
      <c r="CC94" s="59">
        <f t="shared" si="65"/>
        <v>1168.3790187490761</v>
      </c>
      <c r="CD94" s="59">
        <f ca="1">AVERAGE(OFFSET($CC$3,0,0,'Données projet'!$E$12+1,1))-AVERAGE(OFFSET($H$3,0,0,'Données projet'!$E$12+1,1))</f>
        <v>415.83983761562189</v>
      </c>
      <c r="CE94" s="59">
        <f t="shared" si="94"/>
        <v>339.37869344688829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55.001195169917629</v>
      </c>
      <c r="CL94" s="21">
        <f>EXP(-LN(2)/25)*CL93+(1-EXP(-LN(2)/25))/(LN(2)/25)*Calculateur!CG94*Calculateur!CI94*VLOOKUP('Données projet'!$B$12,Paramètres!$A$1:$I$89,3,0)*0.475*44/12</f>
        <v>21.617788918898345</v>
      </c>
      <c r="CM94" s="21">
        <f>EXP(-LN(2)/2)*CM93+(1-EXP(-LN(2)/2))/(LN(2)/2)*CG94*CJ94*VLOOKUP('Données projet'!$B$12,Paramètres!$A$1:$I$89,3,0)*0.475*44/12</f>
        <v>5.4197061388594037E-2</v>
      </c>
      <c r="CN94" s="22">
        <f t="shared" si="66"/>
        <v>76.67318115020457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258.68215148478868</v>
      </c>
      <c r="T95" s="59">
        <f t="shared" si="88"/>
        <v>153.16792125610209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47.25983079390533</v>
      </c>
      <c r="AA95" s="21">
        <f>EXP(-LN(2)/25)*AA94+(1-EXP(-LN(2)/25))/(LN(2)/25)*Calculateur!V95*Calculateur!X95*VLOOKUP('Données projet'!$B$9,Paramètres!$A$1:$I$89,3,0)*0.475*44/12</f>
        <v>2.290894058542353</v>
      </c>
      <c r="AB95" s="21">
        <f>EXP(-LN(2)/2)*AB94+(1-EXP(-LN(2)/2))/(LN(2)/2)*V95*Y95*VLOOKUP('Données projet'!$B$9,Paramètres!$A$1:$I$89,3,0)*0.475*44/12</f>
        <v>0.65332577190790586</v>
      </c>
      <c r="AC95" s="22">
        <f t="shared" si="57"/>
        <v>50.204050624355595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298.68533387773886</v>
      </c>
      <c r="AO95" s="59">
        <f t="shared" si="90"/>
        <v>176.04868734496114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52.963603475928402</v>
      </c>
      <c r="AV95" s="21">
        <f>EXP(-LN(2)/25)*AV94+(1-EXP(-LN(2)/25))/(LN(2)/25)*Calculateur!AQ95*Calculateur!AS95*VLOOKUP('Données projet'!$B$10,Paramètres!$A$1:$I$89,3,0)*0.475*44/12</f>
        <v>2.5673812725043605</v>
      </c>
      <c r="AW95" s="21">
        <f>EXP(-LN(2)/2)*AW94+(1-EXP(-LN(2)/2))/(LN(2)/2)*AQ95*AT95*VLOOKUP('Données projet'!$B$10,Paramètres!$A$1:$I$89,3,0)*0.475*44/12</f>
        <v>0.73217543403472229</v>
      </c>
      <c r="AX95" s="21">
        <f t="shared" si="60"/>
        <v>56.263160182467487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-5.999999999994543E-2</v>
      </c>
      <c r="BE95" s="13">
        <f>BD95*VLOOKUP('Données projet'!$B$11,Paramètres!$A$1:$I$89,3,0)*VLOOKUP('Données projet'!$B$11,Paramètres!$A$1:$I$89,5,0)</f>
        <v>-2.8079999999974462E-2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83.62456509032836</v>
      </c>
      <c r="BJ95" s="59">
        <f t="shared" si="92"/>
        <v>131.53128089847871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38.691271410036677</v>
      </c>
      <c r="BQ95" s="21">
        <f>EXP(-LN(2)/25)*BQ94+(1-EXP(-LN(2)/25))/(LN(2)/25)*Calculateur!BL95*Calculateur!BN95*VLOOKUP('Données projet'!$B$11,Paramètres!$A$1:$I$89,3,0)*0.475*44/12</f>
        <v>13.661980435977252</v>
      </c>
      <c r="BR95" s="21">
        <f>EXP(-LN(2)/2)*BR94+(1-EXP(-LN(2)/2))/(LN(2)/2)*BL95*BO95*VLOOKUP('Données projet'!$B$11,Paramètres!$A$1:$I$89,3,0)*0.475*44/12</f>
        <v>6.621526375306775E-4</v>
      </c>
      <c r="BS95" s="22">
        <f t="shared" si="63"/>
        <v>52.353913998651464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925.00000000000034</v>
      </c>
      <c r="BZ95" s="13">
        <f>BY95*VLOOKUP('Données projet'!$B$12,Paramètres!$A$1:$I$89,3,0)*VLOOKUP('Données projet'!$B$12,Paramètres!$A$1:$I$89,5,0)</f>
        <v>408.85000000000014</v>
      </c>
      <c r="CA95" s="13">
        <f t="shared" si="93"/>
        <v>93.568575358321141</v>
      </c>
      <c r="CB95" s="20">
        <f t="shared" si="64"/>
        <v>875.04568541574281</v>
      </c>
      <c r="CC95" s="59">
        <f t="shared" si="65"/>
        <v>1168.3790187490761</v>
      </c>
      <c r="CD95" s="59">
        <f ca="1">AVERAGE(OFFSET($CC$3,0,0,'Données projet'!$E$12+1,1))-AVERAGE(OFFSET($H$3,0,0,'Données projet'!$E$12+1,1))</f>
        <v>415.83983761562189</v>
      </c>
      <c r="CE95" s="59">
        <f t="shared" si="94"/>
        <v>339.37869344688829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53.922655280052069</v>
      </c>
      <c r="CL95" s="21">
        <f>EXP(-LN(2)/25)*CL94+(1-EXP(-LN(2)/25))/(LN(2)/25)*Calculateur!CG95*Calculateur!CI95*VLOOKUP('Données projet'!$B$12,Paramètres!$A$1:$I$89,3,0)*0.475*44/12</f>
        <v>21.026649344080958</v>
      </c>
      <c r="CM95" s="21">
        <f>EXP(-LN(2)/2)*CM94+(1-EXP(-LN(2)/2))/(LN(2)/2)*CG95*CJ95*VLOOKUP('Données projet'!$B$12,Paramètres!$A$1:$I$89,3,0)*0.475*44/12</f>
        <v>3.8323109628258446E-2</v>
      </c>
      <c r="CN95" s="22">
        <f t="shared" si="66"/>
        <v>74.987627733761272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258.68215148478868</v>
      </c>
      <c r="T96" s="59">
        <f t="shared" si="88"/>
        <v>153.16792125610209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46.333094337687335</v>
      </c>
      <c r="AA96" s="21">
        <f>EXP(-LN(2)/25)*AA95+(1-EXP(-LN(2)/25))/(LN(2)/25)*Calculateur!V96*Calculateur!X96*VLOOKUP('Données projet'!$B$9,Paramètres!$A$1:$I$89,3,0)*0.475*44/12</f>
        <v>2.2282494400386295</v>
      </c>
      <c r="AB96" s="21">
        <f>EXP(-LN(2)/2)*AB95+(1-EXP(-LN(2)/2))/(LN(2)/2)*V96*Y96*VLOOKUP('Données projet'!$B$9,Paramètres!$A$1:$I$89,3,0)*0.475*44/12</f>
        <v>0.46197108364001588</v>
      </c>
      <c r="AC96" s="22">
        <f t="shared" si="57"/>
        <v>49.023314861365982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298.68533387773886</v>
      </c>
      <c r="AO96" s="59">
        <f t="shared" si="90"/>
        <v>176.04868734496114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51.925019516373752</v>
      </c>
      <c r="AV96" s="21">
        <f>EXP(-LN(2)/25)*AV95+(1-EXP(-LN(2)/25))/(LN(2)/25)*Calculateur!AQ96*Calculateur!AS96*VLOOKUP('Données projet'!$B$10,Paramètres!$A$1:$I$89,3,0)*0.475*44/12</f>
        <v>2.4971760965950156</v>
      </c>
      <c r="AW96" s="21">
        <f>EXP(-LN(2)/2)*AW95+(1-EXP(-LN(2)/2))/(LN(2)/2)*AQ96*AT96*VLOOKUP('Données projet'!$B$10,Paramètres!$A$1:$I$89,3,0)*0.475*44/12</f>
        <v>0.51772621442415589</v>
      </c>
      <c r="AX96" s="21">
        <f t="shared" si="60"/>
        <v>54.939921827392922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-5.999999999994543E-2</v>
      </c>
      <c r="BE96" s="13">
        <f>BD96*VLOOKUP('Données projet'!$B$11,Paramètres!$A$1:$I$89,3,0)*VLOOKUP('Données projet'!$B$11,Paramètres!$A$1:$I$89,5,0)</f>
        <v>-2.8079999999974462E-2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83.62456509032836</v>
      </c>
      <c r="BJ96" s="59">
        <f t="shared" si="92"/>
        <v>131.53128089847871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37.932559177031173</v>
      </c>
      <c r="BQ96" s="21">
        <f>EXP(-LN(2)/25)*BQ95+(1-EXP(-LN(2)/25))/(LN(2)/25)*Calculateur!BL96*Calculateur!BN96*VLOOKUP('Données projet'!$B$11,Paramètres!$A$1:$I$89,3,0)*0.475*44/12</f>
        <v>13.288392862503128</v>
      </c>
      <c r="BR96" s="21">
        <f>EXP(-LN(2)/2)*BR95+(1-EXP(-LN(2)/2))/(LN(2)/2)*BL96*BO96*VLOOKUP('Données projet'!$B$11,Paramètres!$A$1:$I$89,3,0)*0.475*44/12</f>
        <v>4.682126201785001E-4</v>
      </c>
      <c r="BS96" s="22">
        <f t="shared" si="63"/>
        <v>51.221420252154481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925.00000000000034</v>
      </c>
      <c r="BZ96" s="13">
        <f>BY96*VLOOKUP('Données projet'!$B$12,Paramètres!$A$1:$I$89,3,0)*VLOOKUP('Données projet'!$B$12,Paramètres!$A$1:$I$89,5,0)</f>
        <v>408.85000000000014</v>
      </c>
      <c r="CA96" s="13">
        <f t="shared" si="93"/>
        <v>93.568575358321141</v>
      </c>
      <c r="CB96" s="20">
        <f t="shared" si="64"/>
        <v>875.04568541574281</v>
      </c>
      <c r="CC96" s="59">
        <f t="shared" si="65"/>
        <v>1168.3790187490761</v>
      </c>
      <c r="CD96" s="59">
        <f ca="1">AVERAGE(OFFSET($CC$3,0,0,'Données projet'!$E$12+1,1))-AVERAGE(OFFSET($H$3,0,0,'Données projet'!$E$12+1,1))</f>
        <v>415.83983761562189</v>
      </c>
      <c r="CE96" s="59">
        <f t="shared" si="94"/>
        <v>339.37869344688829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52.865264899582392</v>
      </c>
      <c r="CL96" s="21">
        <f>EXP(-LN(2)/25)*CL95+(1-EXP(-LN(2)/25))/(LN(2)/25)*Calculateur!CG96*Calculateur!CI96*VLOOKUP('Données projet'!$B$12,Paramètres!$A$1:$I$89,3,0)*0.475*44/12</f>
        <v>20.451674512023633</v>
      </c>
      <c r="CM96" s="21">
        <f>EXP(-LN(2)/2)*CM95+(1-EXP(-LN(2)/2))/(LN(2)/2)*CG96*CJ96*VLOOKUP('Données projet'!$B$12,Paramètres!$A$1:$I$89,3,0)*0.475*44/12</f>
        <v>2.7098530694297018E-2</v>
      </c>
      <c r="CN96" s="22">
        <f t="shared" si="66"/>
        <v>73.344037942300332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258.68215148478868</v>
      </c>
      <c r="T97" s="59">
        <f t="shared" si="88"/>
        <v>153.16792125610209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45.424530618122347</v>
      </c>
      <c r="AA97" s="21">
        <f>EXP(-LN(2)/25)*AA96+(1-EXP(-LN(2)/25))/(LN(2)/25)*Calculateur!V97*Calculateur!X97*VLOOKUP('Données projet'!$B$9,Paramètres!$A$1:$I$89,3,0)*0.475*44/12</f>
        <v>2.1673178419222277</v>
      </c>
      <c r="AB97" s="21">
        <f>EXP(-LN(2)/2)*AB96+(1-EXP(-LN(2)/2))/(LN(2)/2)*V97*Y97*VLOOKUP('Données projet'!$B$9,Paramètres!$A$1:$I$89,3,0)*0.475*44/12</f>
        <v>0.32666288595395299</v>
      </c>
      <c r="AC97" s="22">
        <f t="shared" si="57"/>
        <v>47.918511345998525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298.68533387773886</v>
      </c>
      <c r="AO97" s="59">
        <f t="shared" si="90"/>
        <v>176.04868734496114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50.906801554792303</v>
      </c>
      <c r="AV97" s="21">
        <f>EXP(-LN(2)/25)*AV96+(1-EXP(-LN(2)/25))/(LN(2)/25)*Calculateur!AQ97*Calculateur!AS97*VLOOKUP('Données projet'!$B$10,Paramètres!$A$1:$I$89,3,0)*0.475*44/12</f>
        <v>2.4288906849128415</v>
      </c>
      <c r="AW97" s="21">
        <f>EXP(-LN(2)/2)*AW96+(1-EXP(-LN(2)/2))/(LN(2)/2)*AQ97*AT97*VLOOKUP('Données projet'!$B$10,Paramètres!$A$1:$I$89,3,0)*0.475*44/12</f>
        <v>0.3660877170173612</v>
      </c>
      <c r="AX97" s="21">
        <f t="shared" si="60"/>
        <v>53.701779956722504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-5.999999999994543E-2</v>
      </c>
      <c r="BE97" s="13">
        <f>BD97*VLOOKUP('Données projet'!$B$11,Paramètres!$A$1:$I$89,3,0)*VLOOKUP('Données projet'!$B$11,Paramètres!$A$1:$I$89,5,0)</f>
        <v>-2.8079999999974462E-2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83.62456509032836</v>
      </c>
      <c r="BJ97" s="59">
        <f t="shared" si="92"/>
        <v>131.53128089847871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37.188724828146142</v>
      </c>
      <c r="BQ97" s="21">
        <f>EXP(-LN(2)/25)*BQ96+(1-EXP(-LN(2)/25))/(LN(2)/25)*Calculateur!BL97*Calculateur!BN97*VLOOKUP('Données projet'!$B$11,Paramètres!$A$1:$I$89,3,0)*0.475*44/12</f>
        <v>12.925021060871771</v>
      </c>
      <c r="BR97" s="21">
        <f>EXP(-LN(2)/2)*BR96+(1-EXP(-LN(2)/2))/(LN(2)/2)*BL97*BO97*VLOOKUP('Données projet'!$B$11,Paramètres!$A$1:$I$89,3,0)*0.475*44/12</f>
        <v>3.310763187653388E-4</v>
      </c>
      <c r="BS97" s="22">
        <f t="shared" si="63"/>
        <v>50.114076965336679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925.00000000000034</v>
      </c>
      <c r="BZ97" s="13">
        <f>BY97*VLOOKUP('Données projet'!$B$12,Paramètres!$A$1:$I$89,3,0)*VLOOKUP('Données projet'!$B$12,Paramètres!$A$1:$I$89,5,0)</f>
        <v>408.85000000000014</v>
      </c>
      <c r="CA97" s="13">
        <f t="shared" si="93"/>
        <v>93.568575358321141</v>
      </c>
      <c r="CB97" s="20">
        <f t="shared" si="64"/>
        <v>875.04568541574281</v>
      </c>
      <c r="CC97" s="59">
        <f t="shared" si="65"/>
        <v>1168.3790187490761</v>
      </c>
      <c r="CD97" s="59">
        <f ca="1">AVERAGE(OFFSET($CC$3,0,0,'Données projet'!$E$12+1,1))-AVERAGE(OFFSET($H$3,0,0,'Données projet'!$E$12+1,1))</f>
        <v>415.83983761562189</v>
      </c>
      <c r="CE97" s="59">
        <f t="shared" si="94"/>
        <v>339.37869344688829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51.828609299529276</v>
      </c>
      <c r="CL97" s="21">
        <f>EXP(-LN(2)/25)*CL96+(1-EXP(-LN(2)/25))/(LN(2)/25)*Calculateur!CG97*Calculateur!CI97*VLOOKUP('Données projet'!$B$12,Paramètres!$A$1:$I$89,3,0)*0.475*44/12</f>
        <v>19.892422396985527</v>
      </c>
      <c r="CM97" s="21">
        <f>EXP(-LN(2)/2)*CM96+(1-EXP(-LN(2)/2))/(LN(2)/2)*CG97*CJ97*VLOOKUP('Données projet'!$B$12,Paramètres!$A$1:$I$89,3,0)*0.475*44/12</f>
        <v>1.9161554814129223E-2</v>
      </c>
      <c r="CN97" s="22">
        <f t="shared" si="66"/>
        <v>71.740193251328932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258.68215148478868</v>
      </c>
      <c r="T98" s="59">
        <f t="shared" si="88"/>
        <v>153.16792125610209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0.34400000000000003</v>
      </c>
      <c r="X98" s="16">
        <f>IF(ISNA(VLOOKUP(A98,'Données projet'!$A$35:$I$55,6,0)),0%,VLOOKUP(A98,'Données projet'!$A$35:$I$55,6,0)*VLOOKUP('Données projet'!$B$9,Paramètres!$A$1:$I$89,7,0))</f>
        <v>1.72E-2</v>
      </c>
      <c r="Y98" s="16">
        <f>IF(ISNA(VLOOKUP(A98,'Données projet'!$A$35:$I$55,7,0)),0%,VLOOKUP(A98,'Données projet'!$A$35:$I$55,7,0))</f>
        <v>0.06</v>
      </c>
      <c r="Z98" s="21">
        <f>EXP(-LN(2)/35)*Z97+(1-EXP(-LN(2)/35))/(LN(2)/35)*V98*W98*VLOOKUP('Données projet'!$B$9,Paramètres!$A$1:$I$89,3,0)*0.475*44/12</f>
        <v>51.759441905004692</v>
      </c>
      <c r="AA98" s="21">
        <f>EXP(-LN(2)/25)*AA97+(1-EXP(-LN(2)/25))/(LN(2)/25)*Calculateur!V98*Calculateur!X98*VLOOKUP('Données projet'!$B$9,Paramètres!$A$1:$I$89,3,0)*0.475*44/12</f>
        <v>2.4679128443042306</v>
      </c>
      <c r="AB98" s="21">
        <f>EXP(-LN(2)/2)*AB97+(1-EXP(-LN(2)/2))/(LN(2)/2)*V98*Y98*VLOOKUP('Données projet'!$B$9,Paramètres!$A$1:$I$89,3,0)*0.475*44/12</f>
        <v>1.3066515137620514</v>
      </c>
      <c r="AC98" s="22">
        <f t="shared" si="57"/>
        <v>55.534006263070971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298.68533387773886</v>
      </c>
      <c r="AO98" s="59">
        <f t="shared" si="90"/>
        <v>176.04868734496114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0.34400000000000003</v>
      </c>
      <c r="AS98" s="16">
        <f>IF(ISNA(VLOOKUP(A98,'Données projet'!$A$61:$I$81,6,0)),0%,VLOOKUP(A98,'Données projet'!$A$61:$I$81,6,0)*VLOOKUP('Données projet'!$B$10,Paramètres!$A$1:$I$89,7,0))</f>
        <v>1.72E-2</v>
      </c>
      <c r="AT98" s="16">
        <f>IF(ISNA(VLOOKUP(A98,'Données projet'!$A$61:$I$81,7,0)),0%,VLOOKUP(A98,'Données projet'!$A$61:$I$81,7,0))</f>
        <v>0.06</v>
      </c>
      <c r="AU98" s="21">
        <f>EXP(-LN(2)/35)*AU97+(1-EXP(-LN(2)/35))/(LN(2)/35)*AQ98*AR98*VLOOKUP('Données projet'!$B$10,Paramètres!$A$1:$I$89,3,0)*0.475*44/12</f>
        <v>58.006271100436315</v>
      </c>
      <c r="AV98" s="21">
        <f>EXP(-LN(2)/25)*AV97+(1-EXP(-LN(2)/25))/(LN(2)/25)*Calculateur!AQ98*Calculateur!AS98*VLOOKUP('Données projet'!$B$10,Paramètres!$A$1:$I$89,3,0)*0.475*44/12</f>
        <v>2.7657643944788792</v>
      </c>
      <c r="AW98" s="21">
        <f>EXP(-LN(2)/2)*AW97+(1-EXP(-LN(2)/2))/(LN(2)/2)*AQ98*AT98*VLOOKUP('Données projet'!$B$10,Paramètres!$A$1:$I$89,3,0)*0.475*44/12</f>
        <v>1.4643508343885063</v>
      </c>
      <c r="AX98" s="21">
        <f t="shared" si="60"/>
        <v>62.236386329303699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-5.999999999994543E-2</v>
      </c>
      <c r="BE98" s="13">
        <f>BD98*VLOOKUP('Données projet'!$B$11,Paramètres!$A$1:$I$89,3,0)*VLOOKUP('Données projet'!$B$11,Paramètres!$A$1:$I$89,5,0)</f>
        <v>-2.8079999999974462E-2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83.62456509032836</v>
      </c>
      <c r="BJ98" s="59">
        <f t="shared" si="92"/>
        <v>131.53128089847871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36.459476617148596</v>
      </c>
      <c r="BQ98" s="21">
        <f>EXP(-LN(2)/25)*BQ97+(1-EXP(-LN(2)/25))/(LN(2)/25)*Calculateur!BL98*Calculateur!BN98*VLOOKUP('Données projet'!$B$11,Paramètres!$A$1:$I$89,3,0)*0.475*44/12</f>
        <v>12.571585680264915</v>
      </c>
      <c r="BR98" s="21">
        <f>EXP(-LN(2)/2)*BR97+(1-EXP(-LN(2)/2))/(LN(2)/2)*BL98*BO98*VLOOKUP('Données projet'!$B$11,Paramètres!$A$1:$I$89,3,0)*0.475*44/12</f>
        <v>2.3410631008925011E-4</v>
      </c>
      <c r="BS98" s="22">
        <f t="shared" si="63"/>
        <v>49.031296403723601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925.00000000000034</v>
      </c>
      <c r="BZ98" s="13">
        <f>BY98*VLOOKUP('Données projet'!$B$12,Paramètres!$A$1:$I$89,3,0)*VLOOKUP('Données projet'!$B$12,Paramètres!$A$1:$I$89,5,0)</f>
        <v>408.85000000000014</v>
      </c>
      <c r="CA98" s="13">
        <f t="shared" si="93"/>
        <v>93.568575358321141</v>
      </c>
      <c r="CB98" s="20">
        <f t="shared" si="64"/>
        <v>875.04568541574281</v>
      </c>
      <c r="CC98" s="59">
        <f t="shared" si="65"/>
        <v>1168.3790187490761</v>
      </c>
      <c r="CD98" s="59">
        <f ca="1">AVERAGE(OFFSET($CC$3,0,0,'Données projet'!$E$12+1,1))-AVERAGE(OFFSET($H$3,0,0,'Données projet'!$E$12+1,1))</f>
        <v>415.83983761562189</v>
      </c>
      <c r="CE98" s="59">
        <f t="shared" si="94"/>
        <v>339.37869344688829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50.812281883495722</v>
      </c>
      <c r="CL98" s="21">
        <f>EXP(-LN(2)/25)*CL97+(1-EXP(-LN(2)/25))/(LN(2)/25)*Calculateur!CG98*Calculateur!CI98*VLOOKUP('Données projet'!$B$12,Paramètres!$A$1:$I$89,3,0)*0.475*44/12</f>
        <v>19.348463060442928</v>
      </c>
      <c r="CM98" s="21">
        <f>EXP(-LN(2)/2)*CM97+(1-EXP(-LN(2)/2))/(LN(2)/2)*CG98*CJ98*VLOOKUP('Données projet'!$B$12,Paramètres!$A$1:$I$89,3,0)*0.475*44/12</f>
        <v>1.3549265347148509E-2</v>
      </c>
      <c r="CN98" s="22">
        <f t="shared" si="66"/>
        <v>70.174294209285804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258.68215148478868</v>
      </c>
      <c r="T99" s="59">
        <f t="shared" si="88"/>
        <v>153.16792125610209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50.744470819389818</v>
      </c>
      <c r="AA99" s="21">
        <f>EXP(-LN(2)/25)*AA98+(1-EXP(-LN(2)/25))/(LN(2)/25)*Calculateur!V99*Calculateur!X99*VLOOKUP('Données projet'!$B$9,Paramètres!$A$1:$I$89,3,0)*0.475*44/12</f>
        <v>2.4004276377948353</v>
      </c>
      <c r="AB99" s="21">
        <f>EXP(-LN(2)/2)*AB98+(1-EXP(-LN(2)/2))/(LN(2)/2)*V99*Y99*VLOOKUP('Données projet'!$B$9,Paramètres!$A$1:$I$89,3,0)*0.475*44/12</f>
        <v>0.92394214602881397</v>
      </c>
      <c r="AC99" s="22">
        <f t="shared" si="57"/>
        <v>54.068840603213467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298.68533387773886</v>
      </c>
      <c r="AO99" s="59">
        <f t="shared" si="90"/>
        <v>176.04868734496114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56.868803504488611</v>
      </c>
      <c r="AV99" s="21">
        <f>EXP(-LN(2)/25)*AV98+(1-EXP(-LN(2)/25))/(LN(2)/25)*Calculateur!AQ99*Calculateur!AS99*VLOOKUP('Données projet'!$B$10,Paramètres!$A$1:$I$89,3,0)*0.475*44/12</f>
        <v>2.6901344216666261</v>
      </c>
      <c r="AW99" s="21">
        <f>EXP(-LN(2)/2)*AW98+(1-EXP(-LN(2)/2))/(LN(2)/2)*AQ99*AT99*VLOOKUP('Données projet'!$B$10,Paramètres!$A$1:$I$89,3,0)*0.475*44/12</f>
        <v>1.035452405032292</v>
      </c>
      <c r="AX99" s="21">
        <f t="shared" si="60"/>
        <v>60.594390331187533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-5.999999999994543E-2</v>
      </c>
      <c r="BE99" s="13">
        <f>BD99*VLOOKUP('Données projet'!$B$11,Paramètres!$A$1:$I$89,3,0)*VLOOKUP('Données projet'!$B$11,Paramètres!$A$1:$I$89,5,0)</f>
        <v>-2.8079999999974462E-2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83.62456509032836</v>
      </c>
      <c r="BJ99" s="59">
        <f t="shared" si="92"/>
        <v>131.53128089847871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35.744528518771219</v>
      </c>
      <c r="BQ99" s="21">
        <f>EXP(-LN(2)/25)*BQ98+(1-EXP(-LN(2)/25))/(LN(2)/25)*Calculateur!BL99*Calculateur!BN99*VLOOKUP('Données projet'!$B$11,Paramètres!$A$1:$I$89,3,0)*0.475*44/12</f>
        <v>12.227815008727113</v>
      </c>
      <c r="BR99" s="21">
        <f>EXP(-LN(2)/2)*BR98+(1-EXP(-LN(2)/2))/(LN(2)/2)*BL99*BO99*VLOOKUP('Données projet'!$B$11,Paramètres!$A$1:$I$89,3,0)*0.475*44/12</f>
        <v>1.6553815938266943E-4</v>
      </c>
      <c r="BS99" s="22">
        <f t="shared" si="63"/>
        <v>47.972509065657711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925.00000000000034</v>
      </c>
      <c r="BZ99" s="13">
        <f>BY99*VLOOKUP('Données projet'!$B$12,Paramètres!$A$1:$I$89,3,0)*VLOOKUP('Données projet'!$B$12,Paramètres!$A$1:$I$89,5,0)</f>
        <v>408.85000000000014</v>
      </c>
      <c r="CA99" s="13">
        <f t="shared" si="93"/>
        <v>93.568575358321141</v>
      </c>
      <c r="CB99" s="20">
        <f t="shared" si="64"/>
        <v>875.04568541574281</v>
      </c>
      <c r="CC99" s="59">
        <f t="shared" si="65"/>
        <v>1168.3790187490761</v>
      </c>
      <c r="CD99" s="59">
        <f ca="1">AVERAGE(OFFSET($CC$3,0,0,'Données projet'!$E$12+1,1))-AVERAGE(OFFSET($H$3,0,0,'Données projet'!$E$12+1,1))</f>
        <v>415.83983761562189</v>
      </c>
      <c r="CE99" s="59">
        <f t="shared" si="94"/>
        <v>339.37869344688829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49.815884028192073</v>
      </c>
      <c r="CL99" s="21">
        <f>EXP(-LN(2)/25)*CL98+(1-EXP(-LN(2)/25))/(LN(2)/25)*Calculateur!CG99*Calculateur!CI99*VLOOKUP('Données projet'!$B$12,Paramètres!$A$1:$I$89,3,0)*0.475*44/12</f>
        <v>18.819378320563665</v>
      </c>
      <c r="CM99" s="21">
        <f>EXP(-LN(2)/2)*CM98+(1-EXP(-LN(2)/2))/(LN(2)/2)*CG99*CJ99*VLOOKUP('Données projet'!$B$12,Paramètres!$A$1:$I$89,3,0)*0.475*44/12</f>
        <v>9.5807774070646116E-3</v>
      </c>
      <c r="CN99" s="22">
        <f t="shared" si="66"/>
        <v>68.644843126162797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258.68215148478868</v>
      </c>
      <c r="T100" s="59">
        <f t="shared" si="88"/>
        <v>153.16792125610209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49.749402697692616</v>
      </c>
      <c r="AA100" s="21">
        <f>EXP(-LN(2)/25)*AA99+(1-EXP(-LN(2)/25))/(LN(2)/25)*Calculateur!V100*Calculateur!X100*VLOOKUP('Données projet'!$B$9,Paramètres!$A$1:$I$89,3,0)*0.475*44/12</f>
        <v>2.3347878178063324</v>
      </c>
      <c r="AB100" s="21">
        <f>EXP(-LN(2)/2)*AB99+(1-EXP(-LN(2)/2))/(LN(2)/2)*V100*Y100*VLOOKUP('Données projet'!$B$9,Paramètres!$A$1:$I$89,3,0)*0.475*44/12</f>
        <v>0.65332575688102579</v>
      </c>
      <c r="AC100" s="22">
        <f t="shared" si="57"/>
        <v>52.73751627237997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298.68533387773886</v>
      </c>
      <c r="AO100" s="59">
        <f t="shared" si="90"/>
        <v>176.04868734496114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55.753640954310718</v>
      </c>
      <c r="AV100" s="21">
        <f>EXP(-LN(2)/25)*AV99+(1-EXP(-LN(2)/25))/(LN(2)/25)*Calculateur!AQ100*Calculateur!AS100*VLOOKUP('Données projet'!$B$10,Paramètres!$A$1:$I$89,3,0)*0.475*44/12</f>
        <v>2.6165725544381315</v>
      </c>
      <c r="AW100" s="21">
        <f>EXP(-LN(2)/2)*AW99+(1-EXP(-LN(2)/2))/(LN(2)/2)*AQ100*AT100*VLOOKUP('Données projet'!$B$10,Paramètres!$A$1:$I$89,3,0)*0.475*44/12</f>
        <v>0.73217541719425328</v>
      </c>
      <c r="AX100" s="21">
        <f t="shared" si="60"/>
        <v>59.102388925943103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-5.999999999994543E-2</v>
      </c>
      <c r="BE100" s="13">
        <f>BD100*VLOOKUP('Données projet'!$B$11,Paramètres!$A$1:$I$89,3,0)*VLOOKUP('Données projet'!$B$11,Paramètres!$A$1:$I$89,5,0)</f>
        <v>-2.8079999999974462E-2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83.62456509032836</v>
      </c>
      <c r="BJ100" s="59">
        <f t="shared" si="92"/>
        <v>131.53128089847871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35.043600116527742</v>
      </c>
      <c r="BQ100" s="21">
        <f>EXP(-LN(2)/25)*BQ99+(1-EXP(-LN(2)/25))/(LN(2)/25)*Calculateur!BL100*Calculateur!BN100*VLOOKUP('Données projet'!$B$11,Paramètres!$A$1:$I$89,3,0)*0.475*44/12</f>
        <v>11.893444764280625</v>
      </c>
      <c r="BR100" s="21">
        <f>EXP(-LN(2)/2)*BR99+(1-EXP(-LN(2)/2))/(LN(2)/2)*BL100*BO100*VLOOKUP('Données projet'!$B$11,Paramètres!$A$1:$I$89,3,0)*0.475*44/12</f>
        <v>1.1705315504462507E-4</v>
      </c>
      <c r="BS100" s="22">
        <f t="shared" si="63"/>
        <v>46.937161933963409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925.00000000000034</v>
      </c>
      <c r="BZ100" s="13">
        <f>BY100*VLOOKUP('Données projet'!$B$12,Paramètres!$A$1:$I$89,3,0)*VLOOKUP('Données projet'!$B$12,Paramètres!$A$1:$I$89,5,0)</f>
        <v>408.85000000000014</v>
      </c>
      <c r="CA100" s="13">
        <f t="shared" si="93"/>
        <v>93.568575358321141</v>
      </c>
      <c r="CB100" s="20">
        <f t="shared" si="64"/>
        <v>875.04568541574281</v>
      </c>
      <c r="CC100" s="59">
        <f t="shared" si="65"/>
        <v>1168.3790187490761</v>
      </c>
      <c r="CD100" s="59">
        <f ca="1">AVERAGE(OFFSET($CC$3,0,0,'Données projet'!$E$12+1,1))-AVERAGE(OFFSET($H$3,0,0,'Données projet'!$E$12+1,1))</f>
        <v>415.83983761562189</v>
      </c>
      <c r="CE100" s="59">
        <f t="shared" si="94"/>
        <v>339.37869344688829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48.839024927088246</v>
      </c>
      <c r="CL100" s="21">
        <f>EXP(-LN(2)/25)*CL99+(1-EXP(-LN(2)/25))/(LN(2)/25)*Calculateur!CG100*Calculateur!CI100*VLOOKUP('Données projet'!$B$12,Paramètres!$A$1:$I$89,3,0)*0.475*44/12</f>
        <v>18.304761430719758</v>
      </c>
      <c r="CM100" s="21">
        <f>EXP(-LN(2)/2)*CM99+(1-EXP(-LN(2)/2))/(LN(2)/2)*CG100*CJ100*VLOOKUP('Données projet'!$B$12,Paramètres!$A$1:$I$89,3,0)*0.475*44/12</f>
        <v>6.7746326735742546E-3</v>
      </c>
      <c r="CN100" s="22">
        <f t="shared" si="66"/>
        <v>67.15056099048158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258.68215148478868</v>
      </c>
      <c r="T101" s="59">
        <f t="shared" si="88"/>
        <v>153.16792125610209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48.773847254930274</v>
      </c>
      <c r="AA101" s="21">
        <f>EXP(-LN(2)/25)*AA100+(1-EXP(-LN(2)/25))/(LN(2)/25)*Calculateur!V101*Calculateur!X101*VLOOKUP('Données projet'!$B$9,Paramètres!$A$1:$I$89,3,0)*0.475*44/12</f>
        <v>2.2709429221472632</v>
      </c>
      <c r="AB101" s="21">
        <f>EXP(-LN(2)/2)*AB100+(1-EXP(-LN(2)/2))/(LN(2)/2)*V101*Y101*VLOOKUP('Données projet'!$B$9,Paramètres!$A$1:$I$89,3,0)*0.475*44/12</f>
        <v>0.4619710730144071</v>
      </c>
      <c r="AC101" s="22">
        <f t="shared" si="57"/>
        <v>51.506761250091941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298.68533387773886</v>
      </c>
      <c r="AO101" s="59">
        <f t="shared" si="90"/>
        <v>176.04868734496114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54.660346061559821</v>
      </c>
      <c r="AV101" s="21">
        <f>EXP(-LN(2)/25)*AV100+(1-EXP(-LN(2)/25))/(LN(2)/25)*Calculateur!AQ101*Calculateur!AS101*VLOOKUP('Données projet'!$B$10,Paramètres!$A$1:$I$89,3,0)*0.475*44/12</f>
        <v>2.5450222403374503</v>
      </c>
      <c r="AW101" s="21">
        <f>EXP(-LN(2)/2)*AW100+(1-EXP(-LN(2)/2))/(LN(2)/2)*AQ101*AT101*VLOOKUP('Données projet'!$B$10,Paramètres!$A$1:$I$89,3,0)*0.475*44/12</f>
        <v>0.51772620251614598</v>
      </c>
      <c r="AX101" s="21">
        <f t="shared" si="60"/>
        <v>57.723094504413417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-5.999999999994543E-2</v>
      </c>
      <c r="BE101" s="13">
        <f>BD101*VLOOKUP('Données projet'!$B$11,Paramètres!$A$1:$I$89,3,0)*VLOOKUP('Données projet'!$B$11,Paramètres!$A$1:$I$89,5,0)</f>
        <v>-2.8079999999974462E-2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83.62456509032836</v>
      </c>
      <c r="BJ101" s="59">
        <f t="shared" si="92"/>
        <v>131.53128089847871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34.356416492728151</v>
      </c>
      <c r="BQ101" s="21">
        <f>EXP(-LN(2)/25)*BQ100+(1-EXP(-LN(2)/25))/(LN(2)/25)*Calculateur!BL101*Calculateur!BN101*VLOOKUP('Données projet'!$B$11,Paramètres!$A$1:$I$89,3,0)*0.475*44/12</f>
        <v>11.568217891752294</v>
      </c>
      <c r="BR101" s="21">
        <f>EXP(-LN(2)/2)*BR100+(1-EXP(-LN(2)/2))/(LN(2)/2)*BL101*BO101*VLOOKUP('Données projet'!$B$11,Paramètres!$A$1:$I$89,3,0)*0.475*44/12</f>
        <v>8.2769079691334728E-5</v>
      </c>
      <c r="BS101" s="22">
        <f t="shared" si="63"/>
        <v>45.924717153560131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925.00000000000034</v>
      </c>
      <c r="BZ101" s="13">
        <f>BY101*VLOOKUP('Données projet'!$B$12,Paramètres!$A$1:$I$89,3,0)*VLOOKUP('Données projet'!$B$12,Paramètres!$A$1:$I$89,5,0)</f>
        <v>408.85000000000014</v>
      </c>
      <c r="CA101" s="13">
        <f t="shared" si="93"/>
        <v>93.568575358321141</v>
      </c>
      <c r="CB101" s="20">
        <f t="shared" si="64"/>
        <v>875.04568541574281</v>
      </c>
      <c r="CC101" s="59">
        <f t="shared" si="65"/>
        <v>1168.3790187490761</v>
      </c>
      <c r="CD101" s="59">
        <f ca="1">AVERAGE(OFFSET($CC$3,0,0,'Données projet'!$E$12+1,1))-AVERAGE(OFFSET($H$3,0,0,'Données projet'!$E$12+1,1))</f>
        <v>415.83983761562189</v>
      </c>
      <c r="CE101" s="59">
        <f t="shared" si="94"/>
        <v>339.37869344688829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47.881321437131845</v>
      </c>
      <c r="CL101" s="21">
        <f>EXP(-LN(2)/25)*CL100+(1-EXP(-LN(2)/25))/(LN(2)/25)*Calculateur!CG101*Calculateur!CI101*VLOOKUP('Données projet'!$B$12,Paramètres!$A$1:$I$89,3,0)*0.475*44/12</f>
        <v>17.804216766791157</v>
      </c>
      <c r="CM101" s="21">
        <f>EXP(-LN(2)/2)*CM100+(1-EXP(-LN(2)/2))/(LN(2)/2)*CG101*CJ101*VLOOKUP('Données projet'!$B$12,Paramètres!$A$1:$I$89,3,0)*0.475*44/12</f>
        <v>4.7903887035323058E-3</v>
      </c>
      <c r="CN101" s="22">
        <f t="shared" si="66"/>
        <v>65.690328592626528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258.68215148478868</v>
      </c>
      <c r="T102" s="59">
        <f t="shared" si="88"/>
        <v>153.16792125610209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47.817421859370434</v>
      </c>
      <c r="AA102" s="21">
        <f>EXP(-LN(2)/25)*AA101+(1-EXP(-LN(2)/25))/(LN(2)/25)*Calculateur!V102*Calculateur!X102*VLOOKUP('Données projet'!$B$9,Paramètres!$A$1:$I$89,3,0)*0.475*44/12</f>
        <v>2.2088438685174485</v>
      </c>
      <c r="AB102" s="21">
        <f>EXP(-LN(2)/2)*AB101+(1-EXP(-LN(2)/2))/(LN(2)/2)*V102*Y102*VLOOKUP('Données projet'!$B$9,Paramètres!$A$1:$I$89,3,0)*0.475*44/12</f>
        <v>0.32666287844051295</v>
      </c>
      <c r="AC102" s="22">
        <f t="shared" si="57"/>
        <v>50.352928606328398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298.68533387773886</v>
      </c>
      <c r="AO102" s="59">
        <f t="shared" si="90"/>
        <v>176.04868734496114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53.588490014811725</v>
      </c>
      <c r="AV102" s="21">
        <f>EXP(-LN(2)/25)*AV101+(1-EXP(-LN(2)/25))/(LN(2)/25)*Calculateur!AQ102*Calculateur!AS102*VLOOKUP('Données projet'!$B$10,Paramètres!$A$1:$I$89,3,0)*0.475*44/12</f>
        <v>2.4754284733385199</v>
      </c>
      <c r="AW102" s="21">
        <f>EXP(-LN(2)/2)*AW101+(1-EXP(-LN(2)/2))/(LN(2)/2)*AQ102*AT102*VLOOKUP('Données projet'!$B$10,Paramètres!$A$1:$I$89,3,0)*0.475*44/12</f>
        <v>0.36608770859712664</v>
      </c>
      <c r="AX102" s="21">
        <f t="shared" si="60"/>
        <v>56.430006196747371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-5.999999999994543E-2</v>
      </c>
      <c r="BE102" s="13">
        <f>BD102*VLOOKUP('Données projet'!$B$11,Paramètres!$A$1:$I$89,3,0)*VLOOKUP('Données projet'!$B$11,Paramètres!$A$1:$I$89,5,0)</f>
        <v>-2.8079999999974462E-2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83.62456509032836</v>
      </c>
      <c r="BJ102" s="59">
        <f t="shared" si="92"/>
        <v>131.53128089847871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33.682708120650645</v>
      </c>
      <c r="BQ102" s="21">
        <f>EXP(-LN(2)/25)*BQ101+(1-EXP(-LN(2)/25))/(LN(2)/25)*Calculateur!BL102*Calculateur!BN102*VLOOKUP('Données projet'!$B$11,Paramètres!$A$1:$I$89,3,0)*0.475*44/12</f>
        <v>11.251884365156188</v>
      </c>
      <c r="BR102" s="21">
        <f>EXP(-LN(2)/2)*BR101+(1-EXP(-LN(2)/2))/(LN(2)/2)*BL102*BO102*VLOOKUP('Données projet'!$B$11,Paramètres!$A$1:$I$89,3,0)*0.475*44/12</f>
        <v>5.8526577522312547E-5</v>
      </c>
      <c r="BS102" s="22">
        <f t="shared" si="63"/>
        <v>44.934651012384357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925.00000000000034</v>
      </c>
      <c r="BZ102" s="13">
        <f>BY102*VLOOKUP('Données projet'!$B$12,Paramètres!$A$1:$I$89,3,0)*VLOOKUP('Données projet'!$B$12,Paramètres!$A$1:$I$89,5,0)</f>
        <v>408.85000000000014</v>
      </c>
      <c r="CA102" s="13">
        <f t="shared" si="93"/>
        <v>93.568575358321141</v>
      </c>
      <c r="CB102" s="20">
        <f t="shared" si="64"/>
        <v>875.04568541574281</v>
      </c>
      <c r="CC102" s="59">
        <f t="shared" si="65"/>
        <v>1168.3790187490761</v>
      </c>
      <c r="CD102" s="59">
        <f ca="1">AVERAGE(OFFSET($CC$3,0,0,'Données projet'!$E$12+1,1))-AVERAGE(OFFSET($H$3,0,0,'Données projet'!$E$12+1,1))</f>
        <v>415.83983761562189</v>
      </c>
      <c r="CE102" s="59">
        <f t="shared" si="94"/>
        <v>339.37869344688829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46.94239792847204</v>
      </c>
      <c r="CL102" s="21">
        <f>EXP(-LN(2)/25)*CL101+(1-EXP(-LN(2)/25))/(LN(2)/25)*Calculateur!CG102*Calculateur!CI102*VLOOKUP('Données projet'!$B$12,Paramètres!$A$1:$I$89,3,0)*0.475*44/12</f>
        <v>17.317359523020187</v>
      </c>
      <c r="CM102" s="21">
        <f>EXP(-LN(2)/2)*CM101+(1-EXP(-LN(2)/2))/(LN(2)/2)*CG102*CJ102*VLOOKUP('Données projet'!$B$12,Paramètres!$A$1:$I$89,3,0)*0.475*44/12</f>
        <v>3.3873163367871273E-3</v>
      </c>
      <c r="CN102" s="22">
        <f t="shared" si="66"/>
        <v>64.263144767829004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258.68215148478868</v>
      </c>
      <c r="T103" s="59">
        <f t="shared" si="88"/>
        <v>153.16792125610209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1.72E-2</v>
      </c>
      <c r="Y103" s="16">
        <f>IF(ISNA(VLOOKUP(A103,'Données projet'!$A$35:$I$55,7,0)),0%,VLOOKUP(A103,'Données projet'!$A$35:$I$55,7,0))</f>
        <v>0.06</v>
      </c>
      <c r="Z103" s="21">
        <f>EXP(-LN(2)/35)*Z102+(1-EXP(-LN(2)/35))/(LN(2)/35)*V103*W103*VLOOKUP('Données projet'!$B$9,Paramètres!$A$1:$I$89,3,0)*0.475*44/12</f>
        <v>54.10541000853145</v>
      </c>
      <c r="AA103" s="21">
        <f>EXP(-LN(2)/25)*AA102+(1-EXP(-LN(2)/25))/(LN(2)/25)*Calculateur!V103*Calculateur!X103*VLOOKUP('Données projet'!$B$9,Paramètres!$A$1:$I$89,3,0)*0.475*44/12</f>
        <v>2.5083033395184464</v>
      </c>
      <c r="AB103" s="21">
        <f>EXP(-LN(2)/2)*AB102+(1-EXP(-LN(2)/2))/(LN(2)/2)*V103*Y103*VLOOKUP('Données projet'!$B$9,Paramètres!$A$1:$I$89,3,0)*0.475*44/12</f>
        <v>1.3066515084492469</v>
      </c>
      <c r="AC103" s="22">
        <f t="shared" si="57"/>
        <v>57.920364856499148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298.68533387773886</v>
      </c>
      <c r="AO103" s="59">
        <f t="shared" si="90"/>
        <v>176.04868734496114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1.72E-2</v>
      </c>
      <c r="AT103" s="16">
        <f>IF(ISNA(VLOOKUP(A103,'Données projet'!$A$61:$I$81,7,0)),0%,VLOOKUP(A103,'Données projet'!$A$61:$I$81,7,0))</f>
        <v>0.06</v>
      </c>
      <c r="AU103" s="21">
        <f>EXP(-LN(2)/35)*AU102+(1-EXP(-LN(2)/35))/(LN(2)/35)*AQ103*AR103*VLOOKUP('Données projet'!$B$10,Paramètres!$A$1:$I$89,3,0)*0.475*44/12</f>
        <v>60.635373285423206</v>
      </c>
      <c r="AV103" s="21">
        <f>EXP(-LN(2)/25)*AV102+(1-EXP(-LN(2)/25))/(LN(2)/25)*Calculateur!AQ103*Calculateur!AS103*VLOOKUP('Données projet'!$B$10,Paramètres!$A$1:$I$89,3,0)*0.475*44/12</f>
        <v>2.8110296046327417</v>
      </c>
      <c r="AW103" s="21">
        <f>EXP(-LN(2)/2)*AW102+(1-EXP(-LN(2)/2))/(LN(2)/2)*AQ103*AT103*VLOOKUP('Données projet'!$B$10,Paramètres!$A$1:$I$89,3,0)*0.475*44/12</f>
        <v>1.4643508284345015</v>
      </c>
      <c r="AX103" s="21">
        <f t="shared" si="60"/>
        <v>64.910753718490454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-5.999999999994543E-2</v>
      </c>
      <c r="BE103" s="13">
        <f>BD103*VLOOKUP('Données projet'!$B$11,Paramètres!$A$1:$I$89,3,0)*VLOOKUP('Données projet'!$B$11,Paramètres!$A$1:$I$89,5,0)</f>
        <v>-2.8079999999974462E-2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83.62456509032836</v>
      </c>
      <c r="BJ103" s="59">
        <f t="shared" si="92"/>
        <v>131.53128089847871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33.022210758828045</v>
      </c>
      <c r="BQ103" s="21">
        <f>EXP(-LN(2)/25)*BQ102+(1-EXP(-LN(2)/25))/(LN(2)/25)*Calculateur!BL103*Calculateur!BN103*VLOOKUP('Données projet'!$B$11,Paramètres!$A$1:$I$89,3,0)*0.475*44/12</f>
        <v>10.944200995480109</v>
      </c>
      <c r="BR103" s="21">
        <f>EXP(-LN(2)/2)*BR102+(1-EXP(-LN(2)/2))/(LN(2)/2)*BL103*BO103*VLOOKUP('Données projet'!$B$11,Paramètres!$A$1:$I$89,3,0)*0.475*44/12</f>
        <v>4.1384539845667371E-5</v>
      </c>
      <c r="BS103" s="22">
        <f t="shared" si="63"/>
        <v>43.966453138848003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925.00000000000034</v>
      </c>
      <c r="BZ103" s="13">
        <f>BY103*VLOOKUP('Données projet'!$B$12,Paramètres!$A$1:$I$89,3,0)*VLOOKUP('Données projet'!$B$12,Paramètres!$A$1:$I$89,5,0)</f>
        <v>408.85000000000014</v>
      </c>
      <c r="CA103" s="13">
        <f t="shared" si="93"/>
        <v>93.568575358321141</v>
      </c>
      <c r="CB103" s="20">
        <f t="shared" si="64"/>
        <v>875.04568541574281</v>
      </c>
      <c r="CC103" s="59">
        <f t="shared" si="65"/>
        <v>1168.3790187490761</v>
      </c>
      <c r="CD103" s="59">
        <f ca="1">AVERAGE(OFFSET($CC$3,0,0,'Données projet'!$E$12+1,1))-AVERAGE(OFFSET($H$3,0,0,'Données projet'!$E$12+1,1))</f>
        <v>415.83983761562189</v>
      </c>
      <c r="CE103" s="59">
        <f t="shared" si="94"/>
        <v>339.37869344688829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46.021886137130259</v>
      </c>
      <c r="CL103" s="21">
        <f>EXP(-LN(2)/25)*CL102+(1-EXP(-LN(2)/25))/(LN(2)/25)*Calculateur!CG103*Calculateur!CI103*VLOOKUP('Données projet'!$B$12,Paramètres!$A$1:$I$89,3,0)*0.475*44/12</f>
        <v>16.843815416182842</v>
      </c>
      <c r="CM103" s="21">
        <f>EXP(-LN(2)/2)*CM102+(1-EXP(-LN(2)/2))/(LN(2)/2)*CG103*CJ103*VLOOKUP('Données projet'!$B$12,Paramètres!$A$1:$I$89,3,0)*0.475*44/12</f>
        <v>2.3951943517661529E-3</v>
      </c>
      <c r="CN103" s="22">
        <f t="shared" si="66"/>
        <v>62.868096747664865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258.68215148478868</v>
      </c>
      <c r="T104" s="59">
        <f t="shared" si="88"/>
        <v>153.16792125610209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53.04443591930567</v>
      </c>
      <c r="AA104" s="21">
        <f>EXP(-LN(2)/25)*AA103+(1-EXP(-LN(2)/25))/(LN(2)/25)*Calculateur!V104*Calculateur!X104*VLOOKUP('Données projet'!$B$9,Paramètres!$A$1:$I$89,3,0)*0.475*44/12</f>
        <v>2.4397136527933747</v>
      </c>
      <c r="AB104" s="21">
        <f>EXP(-LN(2)/2)*AB103+(1-EXP(-LN(2)/2))/(LN(2)/2)*V104*Y104*VLOOKUP('Données projet'!$B$9,Paramètres!$A$1:$I$89,3,0)*0.475*44/12</f>
        <v>0.92394214227209392</v>
      </c>
      <c r="AC104" s="22">
        <f t="shared" si="57"/>
        <v>56.408091714371139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875.09005013470414</v>
      </c>
      <c r="AN104" s="59">
        <f ca="1">AVERAGE(OFFSET($AM$3,0,0,'Données projet'!$E$10+1,1))-AVERAGE(OFFSET($H$3,0,0,'Données projet'!$E$10+1,1))</f>
        <v>298.68533387773886</v>
      </c>
      <c r="AO104" s="59">
        <f t="shared" si="90"/>
        <v>176.04868734496114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59.446350599221901</v>
      </c>
      <c r="AV104" s="21">
        <f>EXP(-LN(2)/25)*AV103+(1-EXP(-LN(2)/25))/(LN(2)/25)*Calculateur!AQ104*Calculateur!AS104*VLOOKUP('Données projet'!$B$10,Paramètres!$A$1:$I$89,3,0)*0.475*44/12</f>
        <v>2.734161852268437</v>
      </c>
      <c r="AW104" s="21">
        <f>EXP(-LN(2)/2)*AW103+(1-EXP(-LN(2)/2))/(LN(2)/2)*AQ104*AT104*VLOOKUP('Données projet'!$B$10,Paramètres!$A$1:$I$89,3,0)*0.475*44/12</f>
        <v>1.0354524008221746</v>
      </c>
      <c r="AX104" s="21">
        <f t="shared" si="60"/>
        <v>63.21596485231251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-5.999999999994543E-2</v>
      </c>
      <c r="BE104" s="13">
        <f>BD104*VLOOKUP('Données projet'!$B$11,Paramètres!$A$1:$I$89,3,0)*VLOOKUP('Données projet'!$B$11,Paramètres!$A$1:$I$89,5,0)</f>
        <v>-2.8079999999974462E-2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83.62456509032836</v>
      </c>
      <c r="BJ104" s="59">
        <f t="shared" si="92"/>
        <v>131.53128089847871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32.374665347407173</v>
      </c>
      <c r="BQ104" s="21">
        <f>EXP(-LN(2)/25)*BQ103+(1-EXP(-LN(2)/25))/(LN(2)/25)*Calculateur!BL104*Calculateur!BN104*VLOOKUP('Données projet'!$B$11,Paramètres!$A$1:$I$89,3,0)*0.475*44/12</f>
        <v>10.644931243728189</v>
      </c>
      <c r="BR104" s="21">
        <f>EXP(-LN(2)/2)*BR103+(1-EXP(-LN(2)/2))/(LN(2)/2)*BL104*BO104*VLOOKUP('Données projet'!$B$11,Paramètres!$A$1:$I$89,3,0)*0.475*44/12</f>
        <v>2.9263288761156277E-5</v>
      </c>
      <c r="BS104" s="22">
        <f t="shared" si="63"/>
        <v>43.01962585442412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925.00000000000034</v>
      </c>
      <c r="BZ104" s="13">
        <f>BY104*VLOOKUP('Données projet'!$B$12,Paramètres!$A$1:$I$89,3,0)*VLOOKUP('Données projet'!$B$12,Paramètres!$A$1:$I$89,5,0)</f>
        <v>408.85000000000014</v>
      </c>
      <c r="CA104" s="13">
        <f t="shared" si="93"/>
        <v>93.568575358321141</v>
      </c>
      <c r="CB104" s="20">
        <f t="shared" si="64"/>
        <v>875.04568541574281</v>
      </c>
      <c r="CC104" s="59">
        <f t="shared" si="65"/>
        <v>1168.3790187490761</v>
      </c>
      <c r="CD104" s="59">
        <f ca="1">AVERAGE(OFFSET($CC$3,0,0,'Données projet'!$E$12+1,1))-AVERAGE(OFFSET($H$3,0,0,'Données projet'!$E$12+1,1))</f>
        <v>415.83983761562189</v>
      </c>
      <c r="CE104" s="59">
        <f t="shared" si="94"/>
        <v>339.37869344688829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45.119425020559937</v>
      </c>
      <c r="CL104" s="21">
        <f>EXP(-LN(2)/25)*CL103+(1-EXP(-LN(2)/25))/(LN(2)/25)*Calculateur!CG104*Calculateur!CI104*VLOOKUP('Données projet'!$B$12,Paramètres!$A$1:$I$89,3,0)*0.475*44/12</f>
        <v>16.383220397849566</v>
      </c>
      <c r="CM104" s="21">
        <f>EXP(-LN(2)/2)*CM103+(1-EXP(-LN(2)/2))/(LN(2)/2)*CG104*CJ104*VLOOKUP('Données projet'!$B$12,Paramètres!$A$1:$I$89,3,0)*0.475*44/12</f>
        <v>1.6936581683935636E-3</v>
      </c>
      <c r="CN104" s="22">
        <f t="shared" si="66"/>
        <v>61.504339076577892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258.68215148478868</v>
      </c>
      <c r="T105" s="59">
        <f t="shared" si="88"/>
        <v>153.16792125610209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52.004266884839311</v>
      </c>
      <c r="AA105" s="21">
        <f>EXP(-LN(2)/25)*AA104+(1-EXP(-LN(2)/25))/(LN(2)/25)*Calculateur!V105*Calculateur!X105*VLOOKUP('Données projet'!$B$9,Paramètres!$A$1:$I$89,3,0)*0.475*44/12</f>
        <v>2.372999554658775</v>
      </c>
      <c r="AB105" s="21">
        <f>EXP(-LN(2)/2)*AB104+(1-EXP(-LN(2)/2))/(LN(2)/2)*V105*Y105*VLOOKUP('Données projet'!$B$9,Paramètres!$A$1:$I$89,3,0)*0.475*44/12</f>
        <v>0.65332575422462358</v>
      </c>
      <c r="AC105" s="22">
        <f t="shared" si="57"/>
        <v>55.030592193722711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884.93674196859047</v>
      </c>
      <c r="AN105" s="59">
        <f ca="1">AVERAGE(OFFSET($AM$3,0,0,'Données projet'!$E$10+1,1))-AVERAGE(OFFSET($H$3,0,0,'Données projet'!$E$10+1,1))</f>
        <v>298.68533387773886</v>
      </c>
      <c r="AO105" s="59">
        <f t="shared" si="90"/>
        <v>176.04868734496114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58.28064392266478</v>
      </c>
      <c r="AV105" s="21">
        <f>EXP(-LN(2)/25)*AV104+(1-EXP(-LN(2)/25))/(LN(2)/25)*Calculateur!AQ105*Calculateur!AS105*VLOOKUP('Données projet'!$B$10,Paramètres!$A$1:$I$89,3,0)*0.475*44/12</f>
        <v>2.6593960526348339</v>
      </c>
      <c r="AW105" s="21">
        <f>EXP(-LN(2)/2)*AW104+(1-EXP(-LN(2)/2))/(LN(2)/2)*AQ105*AT105*VLOOKUP('Données projet'!$B$10,Paramètres!$A$1:$I$89,3,0)*0.475*44/12</f>
        <v>0.73217541421725074</v>
      </c>
      <c r="AX105" s="21">
        <f t="shared" si="60"/>
        <v>61.672215389516865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-5.999999999994543E-2</v>
      </c>
      <c r="BE105" s="13">
        <f>BD105*VLOOKUP('Données projet'!$B$11,Paramètres!$A$1:$I$89,3,0)*VLOOKUP('Données projet'!$B$11,Paramètres!$A$1:$I$89,5,0)</f>
        <v>-2.8079999999974462E-2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83.62456509032836</v>
      </c>
      <c r="BJ105" s="59">
        <f t="shared" si="92"/>
        <v>131.53128089847871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31.739817906540566</v>
      </c>
      <c r="BQ105" s="21">
        <f>EXP(-LN(2)/25)*BQ104+(1-EXP(-LN(2)/25))/(LN(2)/25)*Calculateur!BL105*Calculateur!BN105*VLOOKUP('Données projet'!$B$11,Paramètres!$A$1:$I$89,3,0)*0.475*44/12</f>
        <v>10.353845039075837</v>
      </c>
      <c r="BR105" s="21">
        <f>EXP(-LN(2)/2)*BR104+(1-EXP(-LN(2)/2))/(LN(2)/2)*BL105*BO105*VLOOKUP('Données projet'!$B$11,Paramètres!$A$1:$I$89,3,0)*0.475*44/12</f>
        <v>2.0692269922833689E-5</v>
      </c>
      <c r="BS105" s="22">
        <f t="shared" si="63"/>
        <v>42.093683637886322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925.00000000000034</v>
      </c>
      <c r="BZ105" s="13">
        <f>BY105*VLOOKUP('Données projet'!$B$12,Paramètres!$A$1:$I$89,3,0)*VLOOKUP('Données projet'!$B$12,Paramètres!$A$1:$I$89,5,0)</f>
        <v>408.85000000000014</v>
      </c>
      <c r="CA105" s="13">
        <f t="shared" si="93"/>
        <v>93.568575358321141</v>
      </c>
      <c r="CB105" s="20">
        <f t="shared" si="64"/>
        <v>875.04568541574281</v>
      </c>
      <c r="CC105" s="59">
        <f t="shared" si="65"/>
        <v>1168.3790187490761</v>
      </c>
      <c r="CD105" s="59">
        <f ca="1">AVERAGE(OFFSET($CC$3,0,0,'Données projet'!$E$12+1,1))-AVERAGE(OFFSET($H$3,0,0,'Données projet'!$E$12+1,1))</f>
        <v>415.83983761562189</v>
      </c>
      <c r="CE105" s="59">
        <f t="shared" si="94"/>
        <v>339.37869344688829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44.234660616038632</v>
      </c>
      <c r="CL105" s="21">
        <f>EXP(-LN(2)/25)*CL104+(1-EXP(-LN(2)/25))/(LN(2)/25)*Calculateur!CG105*Calculateur!CI105*VLOOKUP('Données projet'!$B$12,Paramètres!$A$1:$I$89,3,0)*0.475*44/12</f>
        <v>15.935220374514254</v>
      </c>
      <c r="CM105" s="21">
        <f>EXP(-LN(2)/2)*CM104+(1-EXP(-LN(2)/2))/(LN(2)/2)*CG105*CJ105*VLOOKUP('Données projet'!$B$12,Paramètres!$A$1:$I$89,3,0)*0.475*44/12</f>
        <v>1.1975971758830764E-3</v>
      </c>
      <c r="CN105" s="22">
        <f t="shared" si="66"/>
        <v>60.171078587728765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258.68215148478868</v>
      </c>
      <c r="T106" s="59">
        <f t="shared" si="88"/>
        <v>153.16792125610209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50.984494930698375</v>
      </c>
      <c r="AA106" s="21">
        <f>EXP(-LN(2)/25)*AA105+(1-EXP(-LN(2)/25))/(LN(2)/25)*Calculateur!V106*Calculateur!X106*VLOOKUP('Données projet'!$B$9,Paramètres!$A$1:$I$89,3,0)*0.475*44/12</f>
        <v>2.3081097570460076</v>
      </c>
      <c r="AB106" s="21">
        <f>EXP(-LN(2)/2)*AB105+(1-EXP(-LN(2)/2))/(LN(2)/2)*V106*Y106*VLOOKUP('Données projet'!$B$9,Paramètres!$A$1:$I$89,3,0)*0.475*44/12</f>
        <v>0.46197107113604707</v>
      </c>
      <c r="AC106" s="22">
        <f t="shared" si="57"/>
        <v>53.754575758880428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894.78002291132771</v>
      </c>
      <c r="AN106" s="59">
        <f ca="1">AVERAGE(OFFSET($AM$3,0,0,'Données projet'!$E$10+1,1))-AVERAGE(OFFSET($H$3,0,0,'Données projet'!$E$10+1,1))</f>
        <v>298.68533387773886</v>
      </c>
      <c r="AO106" s="59">
        <f t="shared" si="90"/>
        <v>176.04868734496114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57.137796043024075</v>
      </c>
      <c r="AV106" s="21">
        <f>EXP(-LN(2)/25)*AV105+(1-EXP(-LN(2)/25))/(LN(2)/25)*Calculateur!AQ106*Calculateur!AS106*VLOOKUP('Données projet'!$B$10,Paramètres!$A$1:$I$89,3,0)*0.475*44/12</f>
        <v>2.5866747277239739</v>
      </c>
      <c r="AW106" s="21">
        <f>EXP(-LN(2)/2)*AW105+(1-EXP(-LN(2)/2))/(LN(2)/2)*AQ106*AT106*VLOOKUP('Données projet'!$B$10,Paramètres!$A$1:$I$89,3,0)*0.475*44/12</f>
        <v>0.5177262004110873</v>
      </c>
      <c r="AX106" s="21">
        <f t="shared" si="60"/>
        <v>60.242196971159139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-5.999999999994543E-2</v>
      </c>
      <c r="BE106" s="13">
        <f>BD106*VLOOKUP('Données projet'!$B$11,Paramètres!$A$1:$I$89,3,0)*VLOOKUP('Données projet'!$B$11,Paramètres!$A$1:$I$89,5,0)</f>
        <v>-2.8079999999974462E-2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83.62456509032836</v>
      </c>
      <c r="BJ106" s="59">
        <f t="shared" si="92"/>
        <v>131.53128089847871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31.11741943677065</v>
      </c>
      <c r="BQ106" s="21">
        <f>EXP(-LN(2)/25)*BQ105+(1-EXP(-LN(2)/25))/(LN(2)/25)*Calculateur!BL106*Calculateur!BN106*VLOOKUP('Données projet'!$B$11,Paramètres!$A$1:$I$89,3,0)*0.475*44/12</f>
        <v>10.070718601997262</v>
      </c>
      <c r="BR106" s="21">
        <f>EXP(-LN(2)/2)*BR105+(1-EXP(-LN(2)/2))/(LN(2)/2)*BL106*BO106*VLOOKUP('Données projet'!$B$11,Paramètres!$A$1:$I$89,3,0)*0.475*44/12</f>
        <v>1.463164438057814E-5</v>
      </c>
      <c r="BS106" s="22">
        <f t="shared" si="63"/>
        <v>41.188152670412293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925.00000000000034</v>
      </c>
      <c r="BZ106" s="13">
        <f>BY106*VLOOKUP('Données projet'!$B$12,Paramètres!$A$1:$I$89,3,0)*VLOOKUP('Données projet'!$B$12,Paramètres!$A$1:$I$89,5,0)</f>
        <v>408.85000000000014</v>
      </c>
      <c r="CA106" s="13">
        <f t="shared" si="93"/>
        <v>93.568575358321141</v>
      </c>
      <c r="CB106" s="20">
        <f t="shared" si="64"/>
        <v>875.04568541574281</v>
      </c>
      <c r="CC106" s="59">
        <f t="shared" si="65"/>
        <v>1168.3790187490761</v>
      </c>
      <c r="CD106" s="59">
        <f ca="1">AVERAGE(OFFSET($CC$3,0,0,'Données projet'!$E$12+1,1))-AVERAGE(OFFSET($H$3,0,0,'Données projet'!$E$12+1,1))</f>
        <v>415.83983761562189</v>
      </c>
      <c r="CE106" s="59">
        <f t="shared" si="94"/>
        <v>339.37869344688829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43.367245901836988</v>
      </c>
      <c r="CL106" s="21">
        <f>EXP(-LN(2)/25)*CL105+(1-EXP(-LN(2)/25))/(LN(2)/25)*Calculateur!CG106*Calculateur!CI106*VLOOKUP('Données projet'!$B$12,Paramètres!$A$1:$I$89,3,0)*0.475*44/12</f>
        <v>15.499470935376342</v>
      </c>
      <c r="CM106" s="21">
        <f>EXP(-LN(2)/2)*CM105+(1-EXP(-LN(2)/2))/(LN(2)/2)*CG106*CJ106*VLOOKUP('Données projet'!$B$12,Paramètres!$A$1:$I$89,3,0)*0.475*44/12</f>
        <v>8.4682908419678182E-4</v>
      </c>
      <c r="CN106" s="22">
        <f t="shared" si="66"/>
        <v>58.867563666297528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258.68215148478868</v>
      </c>
      <c r="T107" s="59">
        <f t="shared" si="88"/>
        <v>153.16792125610209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49.984720082578669</v>
      </c>
      <c r="AA107" s="21">
        <f>EXP(-LN(2)/25)*AA106+(1-EXP(-LN(2)/25))/(LN(2)/25)*Calculateur!V107*Calculateur!X107*VLOOKUP('Données projet'!$B$9,Paramètres!$A$1:$I$89,3,0)*0.475*44/12</f>
        <v>2.2449943743613678</v>
      </c>
      <c r="AB107" s="21">
        <f>EXP(-LN(2)/2)*AB106+(1-EXP(-LN(2)/2))/(LN(2)/2)*V107*Y107*VLOOKUP('Données projet'!$B$9,Paramètres!$A$1:$I$89,3,0)*0.475*44/12</f>
        <v>0.32666287711231184</v>
      </c>
      <c r="AC107" s="22">
        <f t="shared" si="57"/>
        <v>52.55637733405235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904.61995664930578</v>
      </c>
      <c r="AN107" s="59">
        <f ca="1">AVERAGE(OFFSET($AM$3,0,0,'Données projet'!$E$10+1,1))-AVERAGE(OFFSET($H$3,0,0,'Données projet'!$E$10+1,1))</f>
        <v>298.68533387773886</v>
      </c>
      <c r="AO107" s="59">
        <f t="shared" si="90"/>
        <v>176.04868734496114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56.017358713234749</v>
      </c>
      <c r="AV107" s="21">
        <f>EXP(-LN(2)/25)*AV106+(1-EXP(-LN(2)/25))/(LN(2)/25)*Calculateur!AQ107*Calculateur!AS107*VLOOKUP('Données projet'!$B$10,Paramètres!$A$1:$I$89,3,0)*0.475*44/12</f>
        <v>2.5159419712670497</v>
      </c>
      <c r="AW107" s="21">
        <f>EXP(-LN(2)/2)*AW106+(1-EXP(-LN(2)/2))/(LN(2)/2)*AQ107*AT107*VLOOKUP('Données projet'!$B$10,Paramètres!$A$1:$I$89,3,0)*0.475*44/12</f>
        <v>0.36608770710862537</v>
      </c>
      <c r="AX107" s="21">
        <f t="shared" si="60"/>
        <v>58.899388391610422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-5.999999999994543E-2</v>
      </c>
      <c r="BE107" s="13">
        <f>BD107*VLOOKUP('Données projet'!$B$11,Paramètres!$A$1:$I$89,3,0)*VLOOKUP('Données projet'!$B$11,Paramètres!$A$1:$I$89,5,0)</f>
        <v>-2.8079999999974462E-2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83.62456509032836</v>
      </c>
      <c r="BJ107" s="59">
        <f t="shared" si="92"/>
        <v>131.53128089847871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30.507225821367339</v>
      </c>
      <c r="BQ107" s="21">
        <f>EXP(-LN(2)/25)*BQ106+(1-EXP(-LN(2)/25))/(LN(2)/25)*Calculateur!BL107*Calculateur!BN107*VLOOKUP('Données projet'!$B$11,Paramètres!$A$1:$I$89,3,0)*0.475*44/12</f>
        <v>9.7953342722295726</v>
      </c>
      <c r="BR107" s="21">
        <f>EXP(-LN(2)/2)*BR106+(1-EXP(-LN(2)/2))/(LN(2)/2)*BL107*BO107*VLOOKUP('Données projet'!$B$11,Paramètres!$A$1:$I$89,3,0)*0.475*44/12</f>
        <v>1.0346134961416846E-5</v>
      </c>
      <c r="BS107" s="22">
        <f t="shared" si="63"/>
        <v>40.302570439731873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925.00000000000034</v>
      </c>
      <c r="BZ107" s="13">
        <f>BY107*VLOOKUP('Données projet'!$B$12,Paramètres!$A$1:$I$89,3,0)*VLOOKUP('Données projet'!$B$12,Paramètres!$A$1:$I$89,5,0)</f>
        <v>408.85000000000014</v>
      </c>
      <c r="CA107" s="13">
        <f t="shared" si="93"/>
        <v>93.568575358321141</v>
      </c>
      <c r="CB107" s="20">
        <f t="shared" si="64"/>
        <v>875.04568541574281</v>
      </c>
      <c r="CC107" s="59">
        <f t="shared" si="65"/>
        <v>1168.3790187490761</v>
      </c>
      <c r="CD107" s="59">
        <f ca="1">AVERAGE(OFFSET($CC$3,0,0,'Données projet'!$E$12+1,1))-AVERAGE(OFFSET($H$3,0,0,'Données projet'!$E$12+1,1))</f>
        <v>415.83983761562189</v>
      </c>
      <c r="CE107" s="59">
        <f t="shared" si="94"/>
        <v>339.37869344688829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42.516840661110102</v>
      </c>
      <c r="CL107" s="21">
        <f>EXP(-LN(2)/25)*CL106+(1-EXP(-LN(2)/25))/(LN(2)/25)*Calculateur!CG107*Calculateur!CI107*VLOOKUP('Données projet'!$B$12,Paramètres!$A$1:$I$89,3,0)*0.475*44/12</f>
        <v>15.075637087566724</v>
      </c>
      <c r="CM107" s="21">
        <f>EXP(-LN(2)/2)*CM106+(1-EXP(-LN(2)/2))/(LN(2)/2)*CG107*CJ107*VLOOKUP('Données projet'!$B$12,Paramètres!$A$1:$I$89,3,0)*0.475*44/12</f>
        <v>5.9879858794153822E-4</v>
      </c>
      <c r="CN107" s="22">
        <f t="shared" si="66"/>
        <v>57.593076547264772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258.68215148478868</v>
      </c>
      <c r="T108" s="59">
        <f t="shared" si="88"/>
        <v>153.16792125610209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1.72E-2</v>
      </c>
      <c r="Y108" s="16">
        <f>IF(ISNA(VLOOKUP(A108,'Données projet'!$A$35:$I$55,7,0)),0%,VLOOKUP(A108,'Données projet'!$A$35:$I$55,7,0))</f>
        <v>0.06</v>
      </c>
      <c r="Z108" s="21">
        <f>EXP(-LN(2)/35)*Z107+(1-EXP(-LN(2)/35))/(LN(2)/35)*V108*W108*VLOOKUP('Données projet'!$B$9,Paramètres!$A$1:$I$89,3,0)*0.475*44/12</f>
        <v>55.886129853309868</v>
      </c>
      <c r="AA108" s="21">
        <f>EXP(-LN(2)/25)*AA107+(1-EXP(-LN(2)/25))/(LN(2)/25)*Calculateur!V108*Calculateur!X108*VLOOKUP('Données projet'!$B$9,Paramètres!$A$1:$I$89,3,0)*0.475*44/12</f>
        <v>2.5263290972721504</v>
      </c>
      <c r="AB108" s="21">
        <f>EXP(-LN(2)/2)*AB107+(1-EXP(-LN(2)/2))/(LN(2)/2)*V108*Y108*VLOOKUP('Données projet'!$B$9,Paramètres!$A$1:$I$89,3,0)*0.475*44/12</f>
        <v>1.2554293183699698</v>
      </c>
      <c r="AC108" s="22">
        <f t="shared" si="57"/>
        <v>59.667888268951991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914.45660465164497</v>
      </c>
      <c r="AN108" s="59">
        <f ca="1">AVERAGE(OFFSET($AM$3,0,0,'Données projet'!$E$10+1,1))-AVERAGE(OFFSET($H$3,0,0,'Données projet'!$E$10+1,1))</f>
        <v>298.68533387773886</v>
      </c>
      <c r="AO108" s="59">
        <f t="shared" si="90"/>
        <v>176.04868734496114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0.34400000000000003</v>
      </c>
      <c r="AS108" s="16">
        <f>IF(ISNA(VLOOKUP(A108,'Données projet'!$A$61:$I$81,6,0)),0%,VLOOKUP(A108,'Données projet'!$A$61:$I$81,6,0)*VLOOKUP('Données projet'!$B$10,Paramètres!$A$1:$I$89,7,0))</f>
        <v>1.72E-2</v>
      </c>
      <c r="AT108" s="16">
        <f>IF(ISNA(VLOOKUP(A108,'Données projet'!$A$61:$I$81,7,0)),0%,VLOOKUP(A108,'Données projet'!$A$61:$I$81,7,0))</f>
        <v>0.06</v>
      </c>
      <c r="AU108" s="21">
        <f>EXP(-LN(2)/35)*AU107+(1-EXP(-LN(2)/35))/(LN(2)/35)*AQ108*AR108*VLOOKUP('Données projet'!$B$10,Paramètres!$A$1:$I$89,3,0)*0.475*44/12</f>
        <v>62.631007594226617</v>
      </c>
      <c r="AV108" s="21">
        <f>EXP(-LN(2)/25)*AV107+(1-EXP(-LN(2)/25))/(LN(2)/25)*Calculateur!AQ108*Calculateur!AS108*VLOOKUP('Données projet'!$B$10,Paramètres!$A$1:$I$89,3,0)*0.475*44/12</f>
        <v>2.8312308848739614</v>
      </c>
      <c r="AW108" s="21">
        <f>EXP(-LN(2)/2)*AW107+(1-EXP(-LN(2)/2))/(LN(2)/2)*AQ108*AT108*VLOOKUP('Données projet'!$B$10,Paramètres!$A$1:$I$89,3,0)*0.475*44/12</f>
        <v>1.4069466498973802</v>
      </c>
      <c r="AX108" s="21">
        <f t="shared" si="60"/>
        <v>66.869185128997955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-5.999999999994543E-2</v>
      </c>
      <c r="BE108" s="13">
        <f>BD108*VLOOKUP('Données projet'!$B$11,Paramètres!$A$1:$I$89,3,0)*VLOOKUP('Données projet'!$B$11,Paramètres!$A$1:$I$89,5,0)</f>
        <v>-2.8079999999974462E-2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83.62456509032836</v>
      </c>
      <c r="BJ108" s="59">
        <f t="shared" si="92"/>
        <v>131.53128089847871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29.90899773058073</v>
      </c>
      <c r="BQ108" s="21">
        <f>EXP(-LN(2)/25)*BQ107+(1-EXP(-LN(2)/25))/(LN(2)/25)*Calculateur!BL108*Calculateur!BN108*VLOOKUP('Données projet'!$B$11,Paramètres!$A$1:$I$89,3,0)*0.475*44/12</f>
        <v>9.5274803414412137</v>
      </c>
      <c r="BR108" s="21">
        <f>EXP(-LN(2)/2)*BR107+(1-EXP(-LN(2)/2))/(LN(2)/2)*BL108*BO108*VLOOKUP('Données projet'!$B$11,Paramètres!$A$1:$I$89,3,0)*0.475*44/12</f>
        <v>7.3158221902890717E-6</v>
      </c>
      <c r="BS108" s="22">
        <f t="shared" si="63"/>
        <v>39.436485387844129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925.00000000000034</v>
      </c>
      <c r="BZ108" s="13">
        <f>BY108*VLOOKUP('Données projet'!$B$12,Paramètres!$A$1:$I$89,3,0)*VLOOKUP('Données projet'!$B$12,Paramètres!$A$1:$I$89,5,0)</f>
        <v>408.85000000000014</v>
      </c>
      <c r="CA108" s="13">
        <f t="shared" si="93"/>
        <v>93.568575358321141</v>
      </c>
      <c r="CB108" s="20">
        <f t="shared" si="64"/>
        <v>875.04568541574281</v>
      </c>
      <c r="CC108" s="59">
        <f t="shared" si="65"/>
        <v>1168.3790187490761</v>
      </c>
      <c r="CD108" s="59">
        <f ca="1">AVERAGE(OFFSET($CC$3,0,0,'Données projet'!$E$12+1,1))-AVERAGE(OFFSET($H$3,0,0,'Données projet'!$E$12+1,1))</f>
        <v>415.83983761562189</v>
      </c>
      <c r="CE108" s="59">
        <f t="shared" si="94"/>
        <v>339.37869344688829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41.683111348457892</v>
      </c>
      <c r="CL108" s="21">
        <f>EXP(-LN(2)/25)*CL107+(1-EXP(-LN(2)/25))/(LN(2)/25)*Calculateur!CG108*Calculateur!CI108*VLOOKUP('Données projet'!$B$12,Paramètres!$A$1:$I$89,3,0)*0.475*44/12</f>
        <v>14.663392998613913</v>
      </c>
      <c r="CM108" s="21">
        <f>EXP(-LN(2)/2)*CM107+(1-EXP(-LN(2)/2))/(LN(2)/2)*CG108*CJ108*VLOOKUP('Données projet'!$B$12,Paramètres!$A$1:$I$89,3,0)*0.475*44/12</f>
        <v>4.2341454209839091E-4</v>
      </c>
      <c r="CN108" s="22">
        <f t="shared" si="66"/>
        <v>56.346927761613905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258.68215148478868</v>
      </c>
      <c r="T109" s="59">
        <f t="shared" si="88"/>
        <v>153.16792125610209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54.790236934059841</v>
      </c>
      <c r="AA109" s="21">
        <f>EXP(-LN(2)/25)*AA108+(1-EXP(-LN(2)/25))/(LN(2)/25)*Calculateur!V109*Calculateur!X109*VLOOKUP('Données projet'!$B$9,Paramètres!$A$1:$I$89,3,0)*0.475*44/12</f>
        <v>2.4572464952533704</v>
      </c>
      <c r="AB109" s="21">
        <f>EXP(-LN(2)/2)*AB108+(1-EXP(-LN(2)/2))/(LN(2)/2)*V109*Y109*VLOOKUP('Données projet'!$B$9,Paramètres!$A$1:$I$89,3,0)*0.475*44/12</f>
        <v>0.88772258431981088</v>
      </c>
      <c r="AC109" s="22">
        <f t="shared" si="57"/>
        <v>58.135206013633024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880.65599453840537</v>
      </c>
      <c r="AN109" s="59">
        <f ca="1">AVERAGE(OFFSET($AM$3,0,0,'Données projet'!$E$10+1,1))-AVERAGE(OFFSET($H$3,0,0,'Données projet'!$E$10+1,1))</f>
        <v>298.68533387773886</v>
      </c>
      <c r="AO109" s="59">
        <f t="shared" si="90"/>
        <v>176.04868734496114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61.402851736446415</v>
      </c>
      <c r="AV109" s="21">
        <f>EXP(-LN(2)/25)*AV108+(1-EXP(-LN(2)/25))/(LN(2)/25)*Calculateur!AQ109*Calculateur!AS109*VLOOKUP('Données projet'!$B$10,Paramètres!$A$1:$I$89,3,0)*0.475*44/12</f>
        <v>2.7538107274391215</v>
      </c>
      <c r="AW109" s="21">
        <f>EXP(-LN(2)/2)*AW108+(1-EXP(-LN(2)/2))/(LN(2)/2)*AQ109*AT109*VLOOKUP('Données projet'!$B$10,Paramètres!$A$1:$I$89,3,0)*0.475*44/12</f>
        <v>0.99486151691013291</v>
      </c>
      <c r="AX109" s="21">
        <f t="shared" si="60"/>
        <v>65.151523980795673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-5.999999999994543E-2</v>
      </c>
      <c r="BE109" s="13">
        <f>BD109*VLOOKUP('Données projet'!$B$11,Paramètres!$A$1:$I$89,3,0)*VLOOKUP('Données projet'!$B$11,Paramètres!$A$1:$I$89,5,0)</f>
        <v>-2.8079999999974462E-2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83.62456509032836</v>
      </c>
      <c r="BJ109" s="59">
        <f t="shared" si="92"/>
        <v>131.53128089847871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29.322500527771343</v>
      </c>
      <c r="BQ109" s="21">
        <f>EXP(-LN(2)/25)*BQ108+(1-EXP(-LN(2)/25))/(LN(2)/25)*Calculateur!BL109*Calculateur!BN109*VLOOKUP('Données projet'!$B$11,Paramètres!$A$1:$I$89,3,0)*0.475*44/12</f>
        <v>9.2669508904760871</v>
      </c>
      <c r="BR109" s="21">
        <f>EXP(-LN(2)/2)*BR108+(1-EXP(-LN(2)/2))/(LN(2)/2)*BL109*BO109*VLOOKUP('Données projet'!$B$11,Paramètres!$A$1:$I$89,3,0)*0.475*44/12</f>
        <v>5.1730674807084239E-6</v>
      </c>
      <c r="BS109" s="22">
        <f t="shared" si="63"/>
        <v>38.589456591314907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925.00000000000034</v>
      </c>
      <c r="BZ109" s="13">
        <f>BY109*VLOOKUP('Données projet'!$B$12,Paramètres!$A$1:$I$89,3,0)*VLOOKUP('Données projet'!$B$12,Paramètres!$A$1:$I$89,5,0)</f>
        <v>408.85000000000014</v>
      </c>
      <c r="CA109" s="13">
        <f t="shared" si="93"/>
        <v>93.568575358321141</v>
      </c>
      <c r="CB109" s="20">
        <f t="shared" si="64"/>
        <v>875.04568541574281</v>
      </c>
      <c r="CC109" s="59">
        <f t="shared" si="65"/>
        <v>1168.3790187490761</v>
      </c>
      <c r="CD109" s="59">
        <f ca="1">AVERAGE(OFFSET($CC$3,0,0,'Données projet'!$E$12+1,1))-AVERAGE(OFFSET($H$3,0,0,'Données projet'!$E$12+1,1))</f>
        <v>415.83983761562189</v>
      </c>
      <c r="CE109" s="59">
        <f t="shared" si="94"/>
        <v>339.37869344688829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40.865730959102123</v>
      </c>
      <c r="CL109" s="21">
        <f>EXP(-LN(2)/25)*CL108+(1-EXP(-LN(2)/25))/(LN(2)/25)*Calculateur!CG109*Calculateur!CI109*VLOOKUP('Données projet'!$B$12,Paramètres!$A$1:$I$89,3,0)*0.475*44/12</f>
        <v>14.262421745952492</v>
      </c>
      <c r="CM109" s="21">
        <f>EXP(-LN(2)/2)*CM108+(1-EXP(-LN(2)/2))/(LN(2)/2)*CG109*CJ109*VLOOKUP('Données projet'!$B$12,Paramètres!$A$1:$I$89,3,0)*0.475*44/12</f>
        <v>2.9939929397076911E-4</v>
      </c>
      <c r="CN109" s="22">
        <f t="shared" si="66"/>
        <v>55.12845210434859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258.68215148478868</v>
      </c>
      <c r="T110" s="59">
        <f t="shared" si="88"/>
        <v>153.16792125610209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53.715833806527634</v>
      </c>
      <c r="AA110" s="21">
        <f>EXP(-LN(2)/25)*AA109+(1-EXP(-LN(2)/25))/(LN(2)/25)*Calculateur!V110*Calculateur!X110*VLOOKUP('Données projet'!$B$9,Paramètres!$A$1:$I$89,3,0)*0.475*44/12</f>
        <v>2.3900529606196899</v>
      </c>
      <c r="AB110" s="21">
        <f>EXP(-LN(2)/2)*AB109+(1-EXP(-LN(2)/2))/(LN(2)/2)*V110*Y110*VLOOKUP('Données projet'!$B$9,Paramètres!$A$1:$I$89,3,0)*0.475*44/12</f>
        <v>0.62771465918498504</v>
      </c>
      <c r="AC110" s="22">
        <f t="shared" si="57"/>
        <v>56.733601426332314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889.64481965852815</v>
      </c>
      <c r="AN110" s="59">
        <f ca="1">AVERAGE(OFFSET($AM$3,0,0,'Données projet'!$E$10+1,1))-AVERAGE(OFFSET($H$3,0,0,'Données projet'!$E$10+1,1))</f>
        <v>298.68533387773886</v>
      </c>
      <c r="AO110" s="59">
        <f t="shared" si="90"/>
        <v>176.04868734496114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60.198779265936182</v>
      </c>
      <c r="AV110" s="21">
        <f>EXP(-LN(2)/25)*AV109+(1-EXP(-LN(2)/25))/(LN(2)/25)*Calculateur!AQ110*Calculateur!AS110*VLOOKUP('Données projet'!$B$10,Paramètres!$A$1:$I$89,3,0)*0.475*44/12</f>
        <v>2.6785076282806863</v>
      </c>
      <c r="AW110" s="21">
        <f>EXP(-LN(2)/2)*AW109+(1-EXP(-LN(2)/2))/(LN(2)/2)*AQ110*AT110*VLOOKUP('Données projet'!$B$10,Paramètres!$A$1:$I$89,3,0)*0.475*44/12</f>
        <v>0.70347332494869019</v>
      </c>
      <c r="AX110" s="21">
        <f t="shared" si="60"/>
        <v>63.580760219165555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-5.999999999994543E-2</v>
      </c>
      <c r="BE110" s="13">
        <f>BD110*VLOOKUP('Données projet'!$B$11,Paramètres!$A$1:$I$89,3,0)*VLOOKUP('Données projet'!$B$11,Paramètres!$A$1:$I$89,5,0)</f>
        <v>-2.8079999999974462E-2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83.62456509032836</v>
      </c>
      <c r="BJ110" s="59">
        <f t="shared" si="92"/>
        <v>131.53128089847871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28.747504177381074</v>
      </c>
      <c r="BQ110" s="21">
        <f>EXP(-LN(2)/25)*BQ109+(1-EXP(-LN(2)/25))/(LN(2)/25)*Calculateur!BL110*Calculateur!BN110*VLOOKUP('Données projet'!$B$11,Paramètres!$A$1:$I$89,3,0)*0.475*44/12</f>
        <v>9.0135456310482507</v>
      </c>
      <c r="BR110" s="21">
        <f>EXP(-LN(2)/2)*BR109+(1-EXP(-LN(2)/2))/(LN(2)/2)*BL110*BO110*VLOOKUP('Données projet'!$B$11,Paramètres!$A$1:$I$89,3,0)*0.475*44/12</f>
        <v>3.6579110951445363E-6</v>
      </c>
      <c r="BS110" s="22">
        <f t="shared" si="63"/>
        <v>37.761053466340421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925.00000000000034</v>
      </c>
      <c r="BZ110" s="13">
        <f>BY110*VLOOKUP('Données projet'!$B$12,Paramètres!$A$1:$I$89,3,0)*VLOOKUP('Données projet'!$B$12,Paramètres!$A$1:$I$89,5,0)</f>
        <v>408.85000000000014</v>
      </c>
      <c r="CA110" s="13">
        <f t="shared" si="93"/>
        <v>93.568575358321141</v>
      </c>
      <c r="CB110" s="20">
        <f t="shared" si="64"/>
        <v>875.04568541574281</v>
      </c>
      <c r="CC110" s="59">
        <f t="shared" si="65"/>
        <v>1168.3790187490761</v>
      </c>
      <c r="CD110" s="59">
        <f ca="1">AVERAGE(OFFSET($CC$3,0,0,'Données projet'!$E$12+1,1))-AVERAGE(OFFSET($H$3,0,0,'Données projet'!$E$12+1,1))</f>
        <v>415.83983761562189</v>
      </c>
      <c r="CE110" s="59">
        <f t="shared" si="94"/>
        <v>339.37869344688829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40.06437890062881</v>
      </c>
      <c r="CL110" s="21">
        <f>EXP(-LN(2)/25)*CL109+(1-EXP(-LN(2)/25))/(LN(2)/25)*Calculateur!CG110*Calculateur!CI110*VLOOKUP('Données projet'!$B$12,Paramètres!$A$1:$I$89,3,0)*0.475*44/12</f>
        <v>13.872415073281259</v>
      </c>
      <c r="CM110" s="21">
        <f>EXP(-LN(2)/2)*CM109+(1-EXP(-LN(2)/2))/(LN(2)/2)*CG110*CJ110*VLOOKUP('Données projet'!$B$12,Paramètres!$A$1:$I$89,3,0)*0.475*44/12</f>
        <v>2.1170727104919546E-4</v>
      </c>
      <c r="CN110" s="22">
        <f t="shared" si="66"/>
        <v>53.93700568118112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258.68215148478868</v>
      </c>
      <c r="T111" s="59">
        <f t="shared" si="88"/>
        <v>153.16792125610209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52.662499069005129</v>
      </c>
      <c r="AA111" s="21">
        <f>EXP(-LN(2)/25)*AA110+(1-EXP(-LN(2)/25))/(LN(2)/25)*Calculateur!V111*Calculateur!X111*VLOOKUP('Données projet'!$B$9,Paramètres!$A$1:$I$89,3,0)*0.475*44/12</f>
        <v>2.3246968367241219</v>
      </c>
      <c r="AB111" s="21">
        <f>EXP(-LN(2)/2)*AB110+(1-EXP(-LN(2)/2))/(LN(2)/2)*V111*Y111*VLOOKUP('Données projet'!$B$9,Paramètres!$A$1:$I$89,3,0)*0.475*44/12</f>
        <v>0.4438612921599055</v>
      </c>
      <c r="AC111" s="22">
        <f t="shared" si="57"/>
        <v>55.43105719788916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898.63082694967784</v>
      </c>
      <c r="AN111" s="59">
        <f ca="1">AVERAGE(OFFSET($AM$3,0,0,'Données projet'!$E$10+1,1))-AVERAGE(OFFSET($H$3,0,0,'Données projet'!$E$10+1,1))</f>
        <v>298.68533387773886</v>
      </c>
      <c r="AO111" s="59">
        <f t="shared" si="90"/>
        <v>176.04868734496114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59.018317922160961</v>
      </c>
      <c r="AV111" s="21">
        <f>EXP(-LN(2)/25)*AV110+(1-EXP(-LN(2)/25))/(LN(2)/25)*Calculateur!AQ111*Calculateur!AS111*VLOOKUP('Données projet'!$B$10,Paramètres!$A$1:$I$89,3,0)*0.475*44/12</f>
        <v>2.6052636963287568</v>
      </c>
      <c r="AW111" s="21">
        <f>EXP(-LN(2)/2)*AW110+(1-EXP(-LN(2)/2))/(LN(2)/2)*AQ111*AT111*VLOOKUP('Données projet'!$B$10,Paramètres!$A$1:$I$89,3,0)*0.475*44/12</f>
        <v>0.49743075845506657</v>
      </c>
      <c r="AX111" s="21">
        <f t="shared" si="60"/>
        <v>62.121012376944783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-5.999999999994543E-2</v>
      </c>
      <c r="BE111" s="13">
        <f>BD111*VLOOKUP('Données projet'!$B$11,Paramètres!$A$1:$I$89,3,0)*VLOOKUP('Données projet'!$B$11,Paramètres!$A$1:$I$89,5,0)</f>
        <v>-2.8079999999974462E-2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83.62456509032836</v>
      </c>
      <c r="BJ111" s="59">
        <f t="shared" si="92"/>
        <v>131.53128089847871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28.183783154708816</v>
      </c>
      <c r="BQ111" s="21">
        <f>EXP(-LN(2)/25)*BQ110+(1-EXP(-LN(2)/25))/(LN(2)/25)*Calculateur!BL111*Calculateur!BN111*VLOOKUP('Données projet'!$B$11,Paramètres!$A$1:$I$89,3,0)*0.475*44/12</f>
        <v>8.7670697517654723</v>
      </c>
      <c r="BR111" s="21">
        <f>EXP(-LN(2)/2)*BR110+(1-EXP(-LN(2)/2))/(LN(2)/2)*BL111*BO111*VLOOKUP('Données projet'!$B$11,Paramètres!$A$1:$I$89,3,0)*0.475*44/12</f>
        <v>2.5865337403542124E-6</v>
      </c>
      <c r="BS111" s="22">
        <f t="shared" si="63"/>
        <v>36.950855493008028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925.00000000000034</v>
      </c>
      <c r="BZ111" s="13">
        <f>BY111*VLOOKUP('Données projet'!$B$12,Paramètres!$A$1:$I$89,3,0)*VLOOKUP('Données projet'!$B$12,Paramètres!$A$1:$I$89,5,0)</f>
        <v>408.85000000000014</v>
      </c>
      <c r="CA111" s="13">
        <f t="shared" si="93"/>
        <v>93.568575358321141</v>
      </c>
      <c r="CB111" s="20">
        <f t="shared" si="64"/>
        <v>875.04568541574281</v>
      </c>
      <c r="CC111" s="59">
        <f t="shared" si="65"/>
        <v>1168.3790187490761</v>
      </c>
      <c r="CD111" s="59">
        <f ca="1">AVERAGE(OFFSET($CC$3,0,0,'Données projet'!$E$12+1,1))-AVERAGE(OFFSET($H$3,0,0,'Données projet'!$E$12+1,1))</f>
        <v>415.83983761562189</v>
      </c>
      <c r="CE111" s="59">
        <f t="shared" si="94"/>
        <v>339.37869344688829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39.278740867245666</v>
      </c>
      <c r="CL111" s="21">
        <f>EXP(-LN(2)/25)*CL110+(1-EXP(-LN(2)/25))/(LN(2)/25)*Calculateur!CG111*Calculateur!CI111*VLOOKUP('Données projet'!$B$12,Paramètres!$A$1:$I$89,3,0)*0.475*44/12</f>
        <v>13.493073153583779</v>
      </c>
      <c r="CM111" s="21">
        <f>EXP(-LN(2)/2)*CM110+(1-EXP(-LN(2)/2))/(LN(2)/2)*CG111*CJ111*VLOOKUP('Données projet'!$B$12,Paramètres!$A$1:$I$89,3,0)*0.475*44/12</f>
        <v>1.4969964698538456E-4</v>
      </c>
      <c r="CN111" s="22">
        <f t="shared" si="66"/>
        <v>52.771963720476428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258.68215148478868</v>
      </c>
      <c r="T112" s="59">
        <f t="shared" si="88"/>
        <v>153.16792125610209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51.62981958321469</v>
      </c>
      <c r="AA112" s="21">
        <f>EXP(-LN(2)/25)*AA111+(1-EXP(-LN(2)/25))/(LN(2)/25)*Calculateur!V112*Calculateur!X112*VLOOKUP('Données projet'!$B$9,Paramètres!$A$1:$I$89,3,0)*0.475*44/12</f>
        <v>2.2611278794734071</v>
      </c>
      <c r="AB112" s="21">
        <f>EXP(-LN(2)/2)*AB111+(1-EXP(-LN(2)/2))/(LN(2)/2)*V112*Y112*VLOOKUP('Données projet'!$B$9,Paramètres!$A$1:$I$89,3,0)*0.475*44/12</f>
        <v>0.31385732959249257</v>
      </c>
      <c r="AC112" s="22">
        <f t="shared" si="57"/>
        <v>54.204804792280591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907.61406414075554</v>
      </c>
      <c r="AN112" s="59">
        <f ca="1">AVERAGE(OFFSET($AM$3,0,0,'Données projet'!$E$10+1,1))-AVERAGE(OFFSET($H$3,0,0,'Données projet'!$E$10+1,1))</f>
        <v>298.68533387773886</v>
      </c>
      <c r="AO112" s="59">
        <f t="shared" si="90"/>
        <v>176.04868734496114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57.861004705326849</v>
      </c>
      <c r="AV112" s="21">
        <f>EXP(-LN(2)/25)*AV111+(1-EXP(-LN(2)/25))/(LN(2)/25)*Calculateur!AQ112*Calculateur!AS112*VLOOKUP('Données projet'!$B$10,Paramètres!$A$1:$I$89,3,0)*0.475*44/12</f>
        <v>2.5340226235477834</v>
      </c>
      <c r="AW112" s="21">
        <f>EXP(-LN(2)/2)*AW111+(1-EXP(-LN(2)/2))/(LN(2)/2)*AQ112*AT112*VLOOKUP('Données projet'!$B$10,Paramètres!$A$1:$I$89,3,0)*0.475*44/12</f>
        <v>0.35173666247434515</v>
      </c>
      <c r="AX112" s="21">
        <f t="shared" si="60"/>
        <v>60.746763991348978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-5.999999999994543E-2</v>
      </c>
      <c r="BE112" s="13">
        <f>BD112*VLOOKUP('Données projet'!$B$11,Paramètres!$A$1:$I$89,3,0)*VLOOKUP('Données projet'!$B$11,Paramètres!$A$1:$I$89,5,0)</f>
        <v>-2.8079999999974462E-2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83.62456509032836</v>
      </c>
      <c r="BJ112" s="59">
        <f t="shared" si="92"/>
        <v>131.53128089847871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27.631116357455287</v>
      </c>
      <c r="BQ112" s="21">
        <f>EXP(-LN(2)/25)*BQ111+(1-EXP(-LN(2)/25))/(LN(2)/25)*Calculateur!BL112*Calculateur!BN112*VLOOKUP('Données projet'!$B$11,Paramètres!$A$1:$I$89,3,0)*0.475*44/12</f>
        <v>8.5273337683632846</v>
      </c>
      <c r="BR112" s="21">
        <f>EXP(-LN(2)/2)*BR111+(1-EXP(-LN(2)/2))/(LN(2)/2)*BL112*BO112*VLOOKUP('Données projet'!$B$11,Paramètres!$A$1:$I$89,3,0)*0.475*44/12</f>
        <v>1.8289555475722686E-6</v>
      </c>
      <c r="BS112" s="22">
        <f t="shared" si="63"/>
        <v>36.158451954774122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925.00000000000034</v>
      </c>
      <c r="BZ112" s="13">
        <f>BY112*VLOOKUP('Données projet'!$B$12,Paramètres!$A$1:$I$89,3,0)*VLOOKUP('Données projet'!$B$12,Paramètres!$A$1:$I$89,5,0)</f>
        <v>408.85000000000014</v>
      </c>
      <c r="CA112" s="13">
        <f t="shared" si="93"/>
        <v>93.568575358321141</v>
      </c>
      <c r="CB112" s="20">
        <f t="shared" si="64"/>
        <v>875.04568541574281</v>
      </c>
      <c r="CC112" s="59">
        <f t="shared" si="65"/>
        <v>1168.3790187490761</v>
      </c>
      <c r="CD112" s="59">
        <f ca="1">AVERAGE(OFFSET($CC$3,0,0,'Données projet'!$E$12+1,1))-AVERAGE(OFFSET($H$3,0,0,'Données projet'!$E$12+1,1))</f>
        <v>415.83983761562189</v>
      </c>
      <c r="CE112" s="59">
        <f t="shared" si="94"/>
        <v>339.37869344688829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38.508508716505283</v>
      </c>
      <c r="CL112" s="21">
        <f>EXP(-LN(2)/25)*CL111+(1-EXP(-LN(2)/25))/(LN(2)/25)*Calculateur!CG112*Calculateur!CI112*VLOOKUP('Données projet'!$B$12,Paramètres!$A$1:$I$89,3,0)*0.475*44/12</f>
        <v>13.124104358629152</v>
      </c>
      <c r="CM112" s="21">
        <f>EXP(-LN(2)/2)*CM111+(1-EXP(-LN(2)/2))/(LN(2)/2)*CG112*CJ112*VLOOKUP('Données projet'!$B$12,Paramètres!$A$1:$I$89,3,0)*0.475*44/12</f>
        <v>1.0585363552459773E-4</v>
      </c>
      <c r="CN112" s="22">
        <f t="shared" si="66"/>
        <v>51.632718928769961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258.68215148478868</v>
      </c>
      <c r="T113" s="59">
        <f t="shared" si="88"/>
        <v>153.16792125610209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1.72E-2</v>
      </c>
      <c r="Y113" s="16">
        <f>IF(ISNA(VLOOKUP(A113,'Données projet'!$A$35:$I$55,7,0)),0%,VLOOKUP(A113,'Données projet'!$A$35:$I$55,7,0))</f>
        <v>0.06</v>
      </c>
      <c r="Z113" s="21">
        <f>EXP(-LN(2)/35)*Z112+(1-EXP(-LN(2)/35))/(LN(2)/35)*V113*W113*VLOOKUP('Données projet'!$B$9,Paramètres!$A$1:$I$89,3,0)*0.475*44/12</f>
        <v>57.154890973955951</v>
      </c>
      <c r="AA113" s="21">
        <f>EXP(-LN(2)/25)*AA112+(1-EXP(-LN(2)/25))/(LN(2)/25)*Calculateur!V113*Calculateur!X113*VLOOKUP('Données projet'!$B$9,Paramètres!$A$1:$I$89,3,0)*0.475*44/12</f>
        <v>2.5248852202316359</v>
      </c>
      <c r="AB113" s="21">
        <f>EXP(-LN(2)/2)*AB112+(1-EXP(-LN(2)/2))/(LN(2)/2)*V113*Y113*VLOOKUP('Données projet'!$B$9,Paramètres!$A$1:$I$89,3,0)*0.475*44/12</f>
        <v>1.1951522397418015</v>
      </c>
      <c r="AC113" s="22">
        <f t="shared" si="57"/>
        <v>60.874928433929391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916.59457745092391</v>
      </c>
      <c r="AN113" s="59">
        <f ca="1">AVERAGE(OFFSET($AM$3,0,0,'Données projet'!$E$10+1,1))-AVERAGE(OFFSET($H$3,0,0,'Données projet'!$E$10+1,1))</f>
        <v>298.68533387773886</v>
      </c>
      <c r="AO113" s="59">
        <f t="shared" si="90"/>
        <v>176.04868734496114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1.72E-2</v>
      </c>
      <c r="AT113" s="16">
        <f>IF(ISNA(VLOOKUP(A113,'Données projet'!$A$61:$I$81,7,0)),0%,VLOOKUP(A113,'Données projet'!$A$61:$I$81,7,0))</f>
        <v>0.06</v>
      </c>
      <c r="AU113" s="21">
        <f>EXP(-LN(2)/35)*AU112+(1-EXP(-LN(2)/35))/(LN(2)/35)*AQ113*AR113*VLOOKUP('Données projet'!$B$10,Paramètres!$A$1:$I$89,3,0)*0.475*44/12</f>
        <v>64.05289505701964</v>
      </c>
      <c r="AV113" s="21">
        <f>EXP(-LN(2)/25)*AV112+(1-EXP(-LN(2)/25))/(LN(2)/25)*Calculateur!AQ113*Calculateur!AS113*VLOOKUP('Données projet'!$B$10,Paramètres!$A$1:$I$89,3,0)*0.475*44/12</f>
        <v>2.8296127468113159</v>
      </c>
      <c r="AW113" s="21">
        <f>EXP(-LN(2)/2)*AW112+(1-EXP(-LN(2)/2))/(LN(2)/2)*AQ113*AT113*VLOOKUP('Données projet'!$B$10,Paramètres!$A$1:$I$89,3,0)*0.475*44/12</f>
        <v>1.3393947514347779</v>
      </c>
      <c r="AX113" s="21">
        <f t="shared" si="60"/>
        <v>68.221902555265743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-5.999999999994543E-2</v>
      </c>
      <c r="BE113" s="13">
        <f>BD113*VLOOKUP('Données projet'!$B$11,Paramètres!$A$1:$I$89,3,0)*VLOOKUP('Données projet'!$B$11,Paramètres!$A$1:$I$89,5,0)</f>
        <v>-2.8079999999974462E-2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83.62456509032836</v>
      </c>
      <c r="BJ113" s="59">
        <f t="shared" si="92"/>
        <v>131.53128089847871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27.089287019002441</v>
      </c>
      <c r="BQ113" s="21">
        <f>EXP(-LN(2)/25)*BQ112+(1-EXP(-LN(2)/25))/(LN(2)/25)*Calculateur!BL113*Calculateur!BN113*VLOOKUP('Données projet'!$B$11,Paramètres!$A$1:$I$89,3,0)*0.475*44/12</f>
        <v>8.2941533780343963</v>
      </c>
      <c r="BR113" s="21">
        <f>EXP(-LN(2)/2)*BR112+(1-EXP(-LN(2)/2))/(LN(2)/2)*BL113*BO113*VLOOKUP('Données projet'!$B$11,Paramètres!$A$1:$I$89,3,0)*0.475*44/12</f>
        <v>1.2932668701771064E-6</v>
      </c>
      <c r="BS113" s="22">
        <f t="shared" si="63"/>
        <v>35.383441690303705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925.00000000000034</v>
      </c>
      <c r="BZ113" s="13">
        <f>BY113*VLOOKUP('Données projet'!$B$12,Paramètres!$A$1:$I$89,3,0)*VLOOKUP('Données projet'!$B$12,Paramètres!$A$1:$I$89,5,0)</f>
        <v>408.85000000000014</v>
      </c>
      <c r="CA113" s="13">
        <f t="shared" si="93"/>
        <v>93.568575358321141</v>
      </c>
      <c r="CB113" s="20">
        <f t="shared" si="64"/>
        <v>875.04568541574281</v>
      </c>
      <c r="CC113" s="59">
        <f t="shared" si="65"/>
        <v>1168.3790187490761</v>
      </c>
      <c r="CD113" s="59">
        <f ca="1">AVERAGE(OFFSET($CC$3,0,0,'Données projet'!$E$12+1,1))-AVERAGE(OFFSET($H$3,0,0,'Données projet'!$E$12+1,1))</f>
        <v>415.83983761562189</v>
      </c>
      <c r="CE113" s="59">
        <f t="shared" si="94"/>
        <v>339.37869344688829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37.753380348445695</v>
      </c>
      <c r="CL113" s="21">
        <f>EXP(-LN(2)/25)*CL112+(1-EXP(-LN(2)/25))/(LN(2)/25)*Calculateur!CG113*Calculateur!CI113*VLOOKUP('Données projet'!$B$12,Paramètres!$A$1:$I$89,3,0)*0.475*44/12</f>
        <v>12.765225034775785</v>
      </c>
      <c r="CM113" s="21">
        <f>EXP(-LN(2)/2)*CM112+(1-EXP(-LN(2)/2))/(LN(2)/2)*CG113*CJ113*VLOOKUP('Données projet'!$B$12,Paramètres!$A$1:$I$89,3,0)*0.475*44/12</f>
        <v>7.4849823492692278E-5</v>
      </c>
      <c r="CN113" s="22">
        <f t="shared" si="66"/>
        <v>50.518680233044975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821.82303552923008</v>
      </c>
      <c r="S114" s="59">
        <f ca="1">AVERAGE(OFFSET($R$3,0,0,'Données projet'!$E$9+1,1))-AVERAGE(OFFSET($H$3,0,0,'Données projet'!$E$9+1,1))</f>
        <v>258.68215148478868</v>
      </c>
      <c r="T114" s="59">
        <f t="shared" si="88"/>
        <v>153.16792125610209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56.034118422997928</v>
      </c>
      <c r="AA114" s="21">
        <f>EXP(-LN(2)/25)*AA113+(1-EXP(-LN(2)/25))/(LN(2)/25)*Calculateur!V114*Calculateur!X114*VLOOKUP('Données projet'!$B$9,Paramètres!$A$1:$I$89,3,0)*0.475*44/12</f>
        <v>2.4558421011064588</v>
      </c>
      <c r="AB114" s="21">
        <f>EXP(-LN(2)/2)*AB113+(1-EXP(-LN(2)/2))/(LN(2)/2)*V114*Y114*VLOOKUP('Données projet'!$B$9,Paramètres!$A$1:$I$89,3,0)*0.475*44/12</f>
        <v>0.84510025327171834</v>
      </c>
      <c r="AC114" s="22">
        <f t="shared" si="57"/>
        <v>59.335060777376107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273.57719999999995</v>
      </c>
      <c r="AK114" s="13">
        <f t="shared" si="89"/>
        <v>65.60785888991505</v>
      </c>
      <c r="AL114" s="20">
        <f t="shared" si="58"/>
        <v>590.74731089993531</v>
      </c>
      <c r="AM114" s="59">
        <f t="shared" si="59"/>
        <v>884.08064423326869</v>
      </c>
      <c r="AN114" s="59">
        <f ca="1">AVERAGE(OFFSET($AM$3,0,0,'Données projet'!$E$10+1,1))-AVERAGE(OFFSET($H$3,0,0,'Données projet'!$E$10+1,1))</f>
        <v>298.68533387773886</v>
      </c>
      <c r="AO114" s="59">
        <f t="shared" si="90"/>
        <v>176.04868734496114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62.796856853359785</v>
      </c>
      <c r="AV114" s="21">
        <f>EXP(-LN(2)/25)*AV113+(1-EXP(-LN(2)/25))/(LN(2)/25)*Calculateur!AQ114*Calculateur!AS114*VLOOKUP('Données projet'!$B$10,Paramètres!$A$1:$I$89,3,0)*0.475*44/12</f>
        <v>2.7522368374468935</v>
      </c>
      <c r="AW114" s="21">
        <f>EXP(-LN(2)/2)*AW113+(1-EXP(-LN(2)/2))/(LN(2)/2)*AQ114*AT114*VLOOKUP('Données projet'!$B$10,Paramètres!$A$1:$I$89,3,0)*0.475*44/12</f>
        <v>0.94709511142520175</v>
      </c>
      <c r="AX114" s="21">
        <f t="shared" si="60"/>
        <v>66.49618880223187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-5.999999999994543E-2</v>
      </c>
      <c r="BE114" s="13">
        <f>BD114*VLOOKUP('Données projet'!$B$11,Paramètres!$A$1:$I$89,3,0)*VLOOKUP('Données projet'!$B$11,Paramètres!$A$1:$I$89,5,0)</f>
        <v>-2.8079999999974462E-2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83.62456509032836</v>
      </c>
      <c r="BJ114" s="59">
        <f t="shared" si="92"/>
        <v>131.53128089847871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26.558082623393389</v>
      </c>
      <c r="BQ114" s="21">
        <f>EXP(-LN(2)/25)*BQ113+(1-EXP(-LN(2)/25))/(LN(2)/25)*Calculateur!BL114*Calculateur!BN114*VLOOKUP('Données projet'!$B$11,Paramètres!$A$1:$I$89,3,0)*0.475*44/12</f>
        <v>8.0673493177414759</v>
      </c>
      <c r="BR114" s="21">
        <f>EXP(-LN(2)/2)*BR113+(1-EXP(-LN(2)/2))/(LN(2)/2)*BL114*BO114*VLOOKUP('Données projet'!$B$11,Paramètres!$A$1:$I$89,3,0)*0.475*44/12</f>
        <v>9.1447777378613439E-7</v>
      </c>
      <c r="BS114" s="22">
        <f t="shared" si="63"/>
        <v>34.625432855612637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925.00000000000034</v>
      </c>
      <c r="BZ114" s="13">
        <f>BY114*VLOOKUP('Données projet'!$B$12,Paramètres!$A$1:$I$89,3,0)*VLOOKUP('Données projet'!$B$12,Paramètres!$A$1:$I$89,5,0)</f>
        <v>408.85000000000014</v>
      </c>
      <c r="CA114" s="13">
        <f t="shared" si="93"/>
        <v>93.568575358321141</v>
      </c>
      <c r="CB114" s="20">
        <f t="shared" si="64"/>
        <v>875.04568541574281</v>
      </c>
      <c r="CC114" s="59">
        <f t="shared" si="65"/>
        <v>1168.3790187490761</v>
      </c>
      <c r="CD114" s="59">
        <f ca="1">AVERAGE(OFFSET($CC$3,0,0,'Données projet'!$E$12+1,1))-AVERAGE(OFFSET($H$3,0,0,'Données projet'!$E$12+1,1))</f>
        <v>415.83983761562189</v>
      </c>
      <c r="CE114" s="59">
        <f t="shared" si="94"/>
        <v>339.37869344688829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37.013059587100933</v>
      </c>
      <c r="CL114" s="21">
        <f>EXP(-LN(2)/25)*CL113+(1-EXP(-LN(2)/25))/(LN(2)/25)*Calculateur!CG114*Calculateur!CI114*VLOOKUP('Données projet'!$B$12,Paramètres!$A$1:$I$89,3,0)*0.475*44/12</f>
        <v>12.416159284905833</v>
      </c>
      <c r="CM114" s="21">
        <f>EXP(-LN(2)/2)*CM113+(1-EXP(-LN(2)/2))/(LN(2)/2)*CG114*CJ114*VLOOKUP('Données projet'!$B$12,Paramètres!$A$1:$I$89,3,0)*0.475*44/12</f>
        <v>5.2926817762298864E-5</v>
      </c>
      <c r="CN114" s="22">
        <f t="shared" si="66"/>
        <v>49.42927179882453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829.09611292828231</v>
      </c>
      <c r="S115" s="59">
        <f ca="1">AVERAGE(OFFSET($R$3,0,0,'Données projet'!$E$9+1,1))-AVERAGE(OFFSET($H$3,0,0,'Données projet'!$E$9+1,1))</f>
        <v>258.68215148478868</v>
      </c>
      <c r="T115" s="59">
        <f t="shared" si="88"/>
        <v>153.16792125610209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54.935323538160432</v>
      </c>
      <c r="AA115" s="21">
        <f>EXP(-LN(2)/25)*AA114+(1-EXP(-LN(2)/25))/(LN(2)/25)*Calculateur!V115*Calculateur!X115*VLOOKUP('Données projet'!$B$9,Paramètres!$A$1:$I$89,3,0)*0.475*44/12</f>
        <v>2.3886869697045796</v>
      </c>
      <c r="AB115" s="21">
        <f>EXP(-LN(2)/2)*AB114+(1-EXP(-LN(2)/2))/(LN(2)/2)*V115*Y115*VLOOKUP('Données projet'!$B$9,Paramètres!$A$1:$I$89,3,0)*0.475*44/12</f>
        <v>0.59757611987090087</v>
      </c>
      <c r="AC115" s="22">
        <f t="shared" si="57"/>
        <v>57.921586627735913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277.43039999999996</v>
      </c>
      <c r="AK115" s="13">
        <f t="shared" si="89"/>
        <v>66.423687500715673</v>
      </c>
      <c r="AL115" s="20">
        <f t="shared" si="58"/>
        <v>598.87920239707967</v>
      </c>
      <c r="AM115" s="59">
        <f t="shared" si="59"/>
        <v>892.21253573041304</v>
      </c>
      <c r="AN115" s="59">
        <f ca="1">AVERAGE(OFFSET($AM$3,0,0,'Données projet'!$E$10+1,1))-AVERAGE(OFFSET($H$3,0,0,'Données projet'!$E$10+1,1))</f>
        <v>298.68533387773886</v>
      </c>
      <c r="AO115" s="59">
        <f t="shared" si="90"/>
        <v>176.04868734496114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61.565448792766041</v>
      </c>
      <c r="AV115" s="21">
        <f>EXP(-LN(2)/25)*AV114+(1-EXP(-LN(2)/25))/(LN(2)/25)*Calculateur!AQ115*Calculateur!AS115*VLOOKUP('Données projet'!$B$10,Paramètres!$A$1:$I$89,3,0)*0.475*44/12</f>
        <v>2.6769767763930634</v>
      </c>
      <c r="AW115" s="21">
        <f>EXP(-LN(2)/2)*AW114+(1-EXP(-LN(2)/2))/(LN(2)/2)*AQ115*AT115*VLOOKUP('Données projet'!$B$10,Paramètres!$A$1:$I$89,3,0)*0.475*44/12</f>
        <v>0.66969737571738908</v>
      </c>
      <c r="AX115" s="21">
        <f t="shared" si="60"/>
        <v>64.912122944876501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-5.999999999994543E-2</v>
      </c>
      <c r="BE115" s="13">
        <f>BD115*VLOOKUP('Données projet'!$B$11,Paramètres!$A$1:$I$89,3,0)*VLOOKUP('Données projet'!$B$11,Paramètres!$A$1:$I$89,5,0)</f>
        <v>-2.8079999999974462E-2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83.62456509032836</v>
      </c>
      <c r="BJ115" s="59">
        <f t="shared" si="92"/>
        <v>131.53128089847871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26.037294821979543</v>
      </c>
      <c r="BQ115" s="21">
        <f>EXP(-LN(2)/25)*BQ114+(1-EXP(-LN(2)/25))/(LN(2)/25)*Calculateur!BL115*Calculateur!BN115*VLOOKUP('Données projet'!$B$11,Paramètres!$A$1:$I$89,3,0)*0.475*44/12</f>
        <v>7.8467472264043732</v>
      </c>
      <c r="BR115" s="21">
        <f>EXP(-LN(2)/2)*BR114+(1-EXP(-LN(2)/2))/(LN(2)/2)*BL115*BO115*VLOOKUP('Données projet'!$B$11,Paramètres!$A$1:$I$89,3,0)*0.475*44/12</f>
        <v>6.466334350885533E-7</v>
      </c>
      <c r="BS115" s="22">
        <f t="shared" si="63"/>
        <v>33.884042695017357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925.00000000000034</v>
      </c>
      <c r="BZ115" s="13">
        <f>BY115*VLOOKUP('Données projet'!$B$12,Paramètres!$A$1:$I$89,3,0)*VLOOKUP('Données projet'!$B$12,Paramètres!$A$1:$I$89,5,0)</f>
        <v>408.85000000000014</v>
      </c>
      <c r="CA115" s="13">
        <f t="shared" si="93"/>
        <v>93.568575358321141</v>
      </c>
      <c r="CB115" s="20">
        <f t="shared" si="64"/>
        <v>875.04568541574281</v>
      </c>
      <c r="CC115" s="59">
        <f t="shared" si="65"/>
        <v>1168.3790187490761</v>
      </c>
      <c r="CD115" s="59">
        <f ca="1">AVERAGE(OFFSET($CC$3,0,0,'Données projet'!$E$12+1,1))-AVERAGE(OFFSET($H$3,0,0,'Données projet'!$E$12+1,1))</f>
        <v>415.83983761562189</v>
      </c>
      <c r="CE115" s="59">
        <f t="shared" si="94"/>
        <v>339.37869344688829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36.287256064335061</v>
      </c>
      <c r="CL115" s="21">
        <f>EXP(-LN(2)/25)*CL114+(1-EXP(-LN(2)/25))/(LN(2)/25)*Calculateur!CG115*Calculateur!CI115*VLOOKUP('Données projet'!$B$12,Paramètres!$A$1:$I$89,3,0)*0.475*44/12</f>
        <v>12.076638756322643</v>
      </c>
      <c r="CM115" s="21">
        <f>EXP(-LN(2)/2)*CM114+(1-EXP(-LN(2)/2))/(LN(2)/2)*CG115*CJ115*VLOOKUP('Données projet'!$B$12,Paramètres!$A$1:$I$89,3,0)*0.475*44/12</f>
        <v>3.7424911746346139E-5</v>
      </c>
      <c r="CN115" s="22">
        <f t="shared" si="66"/>
        <v>48.363932245569451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836.36711482633996</v>
      </c>
      <c r="S116" s="59">
        <f ca="1">AVERAGE(OFFSET($R$3,0,0,'Données projet'!$E$9+1,1))-AVERAGE(OFFSET($H$3,0,0,'Données projet'!$E$9+1,1))</f>
        <v>258.68215148478868</v>
      </c>
      <c r="T116" s="59">
        <f t="shared" si="88"/>
        <v>153.16792125610209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53.858075350815902</v>
      </c>
      <c r="AA116" s="21">
        <f>EXP(-LN(2)/25)*AA115+(1-EXP(-LN(2)/25))/(LN(2)/25)*Calculateur!V116*Calculateur!X116*VLOOKUP('Données projet'!$B$9,Paramètres!$A$1:$I$89,3,0)*0.475*44/12</f>
        <v>2.3233681989024197</v>
      </c>
      <c r="AB116" s="21">
        <f>EXP(-LN(2)/2)*AB115+(1-EXP(-LN(2)/2))/(LN(2)/2)*V116*Y116*VLOOKUP('Données projet'!$B$9,Paramètres!$A$1:$I$89,3,0)*0.475*44/12</f>
        <v>0.42255012663585922</v>
      </c>
      <c r="AC116" s="22">
        <f t="shared" si="57"/>
        <v>56.603993676354186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281.28360000000004</v>
      </c>
      <c r="AK116" s="13">
        <f t="shared" si="89"/>
        <v>67.238198209347928</v>
      </c>
      <c r="AL116" s="20">
        <f t="shared" si="58"/>
        <v>607.00879854794766</v>
      </c>
      <c r="AM116" s="59">
        <f t="shared" si="59"/>
        <v>900.34213188128092</v>
      </c>
      <c r="AN116" s="59">
        <f ca="1">AVERAGE(OFFSET($AM$3,0,0,'Données projet'!$E$10+1,1))-AVERAGE(OFFSET($H$3,0,0,'Données projet'!$E$10+1,1))</f>
        <v>298.68533387773886</v>
      </c>
      <c r="AO116" s="59">
        <f t="shared" si="90"/>
        <v>176.04868734496114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60.358187893155787</v>
      </c>
      <c r="AV116" s="21">
        <f>EXP(-LN(2)/25)*AV115+(1-EXP(-LN(2)/25))/(LN(2)/25)*Calculateur!AQ116*Calculateur!AS116*VLOOKUP('Données projet'!$B$10,Paramètres!$A$1:$I$89,3,0)*0.475*44/12</f>
        <v>2.6037747056665048</v>
      </c>
      <c r="AW116" s="21">
        <f>EXP(-LN(2)/2)*AW115+(1-EXP(-LN(2)/2))/(LN(2)/2)*AQ116*AT116*VLOOKUP('Données projet'!$B$10,Paramètres!$A$1:$I$89,3,0)*0.475*44/12</f>
        <v>0.47354755571260099</v>
      </c>
      <c r="AX116" s="21">
        <f t="shared" si="60"/>
        <v>63.435510154534889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-5.999999999994543E-2</v>
      </c>
      <c r="BE116" s="13">
        <f>BD116*VLOOKUP('Données projet'!$B$11,Paramètres!$A$1:$I$89,3,0)*VLOOKUP('Données projet'!$B$11,Paramètres!$A$1:$I$89,5,0)</f>
        <v>-2.8079999999974462E-2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83.62456509032836</v>
      </c>
      <c r="BJ116" s="59">
        <f t="shared" si="92"/>
        <v>131.53128089847871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25.52671935170223</v>
      </c>
      <c r="BQ116" s="21">
        <f>EXP(-LN(2)/25)*BQ115+(1-EXP(-LN(2)/25))/(LN(2)/25)*Calculateur!BL116*Calculateur!BN116*VLOOKUP('Données projet'!$B$11,Paramètres!$A$1:$I$89,3,0)*0.475*44/12</f>
        <v>7.6321775108558425</v>
      </c>
      <c r="BR116" s="21">
        <f>EXP(-LN(2)/2)*BR115+(1-EXP(-LN(2)/2))/(LN(2)/2)*BL116*BO116*VLOOKUP('Données projet'!$B$11,Paramètres!$A$1:$I$89,3,0)*0.475*44/12</f>
        <v>4.572388868930673E-7</v>
      </c>
      <c r="BS116" s="22">
        <f t="shared" si="63"/>
        <v>33.158897319796964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925.00000000000034</v>
      </c>
      <c r="BZ116" s="13">
        <f>BY116*VLOOKUP('Données projet'!$B$12,Paramètres!$A$1:$I$89,3,0)*VLOOKUP('Données projet'!$B$12,Paramètres!$A$1:$I$89,5,0)</f>
        <v>408.85000000000014</v>
      </c>
      <c r="CA116" s="13">
        <f t="shared" si="93"/>
        <v>93.568575358321141</v>
      </c>
      <c r="CB116" s="20">
        <f t="shared" si="64"/>
        <v>875.04568541574281</v>
      </c>
      <c r="CC116" s="59">
        <f t="shared" si="65"/>
        <v>1168.3790187490761</v>
      </c>
      <c r="CD116" s="59">
        <f ca="1">AVERAGE(OFFSET($CC$3,0,0,'Données projet'!$E$12+1,1))-AVERAGE(OFFSET($H$3,0,0,'Données projet'!$E$12+1,1))</f>
        <v>415.83983761562189</v>
      </c>
      <c r="CE116" s="59">
        <f t="shared" si="94"/>
        <v>339.37869344688829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35.575685105954193</v>
      </c>
      <c r="CL116" s="21">
        <f>EXP(-LN(2)/25)*CL115+(1-EXP(-LN(2)/25))/(LN(2)/25)*Calculateur!CG116*Calculateur!CI116*VLOOKUP('Données projet'!$B$12,Paramètres!$A$1:$I$89,3,0)*0.475*44/12</f>
        <v>11.74640243444817</v>
      </c>
      <c r="CM116" s="21">
        <f>EXP(-LN(2)/2)*CM115+(1-EXP(-LN(2)/2))/(LN(2)/2)*CG116*CJ116*VLOOKUP('Données projet'!$B$12,Paramètres!$A$1:$I$89,3,0)*0.475*44/12</f>
        <v>2.6463408881149432E-5</v>
      </c>
      <c r="CN116" s="22">
        <f t="shared" si="66"/>
        <v>47.322114003811244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843.63607294105645</v>
      </c>
      <c r="S117" s="59">
        <f ca="1">AVERAGE(OFFSET($R$3,0,0,'Données projet'!$E$9+1,1))-AVERAGE(OFFSET($H$3,0,0,'Données projet'!$E$9+1,1))</f>
        <v>258.68215148478868</v>
      </c>
      <c r="T117" s="59">
        <f t="shared" si="88"/>
        <v>153.16792125610209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52.801951343368678</v>
      </c>
      <c r="AA117" s="21">
        <f>EXP(-LN(2)/25)*AA116+(1-EXP(-LN(2)/25))/(LN(2)/25)*Calculateur!V117*Calculateur!X117*VLOOKUP('Données projet'!$B$9,Paramètres!$A$1:$I$89,3,0)*0.475*44/12</f>
        <v>2.2598355733228095</v>
      </c>
      <c r="AB117" s="21">
        <f>EXP(-LN(2)/2)*AB116+(1-EXP(-LN(2)/2))/(LN(2)/2)*V117*Y117*VLOOKUP('Données projet'!$B$9,Paramètres!$A$1:$I$89,3,0)*0.475*44/12</f>
        <v>0.29878805993545049</v>
      </c>
      <c r="AC117" s="22">
        <f t="shared" si="57"/>
        <v>55.360574976626943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285.13679999999999</v>
      </c>
      <c r="AK117" s="13">
        <f t="shared" si="89"/>
        <v>68.051411155895636</v>
      </c>
      <c r="AL117" s="20">
        <f t="shared" si="58"/>
        <v>615.1361344298515</v>
      </c>
      <c r="AM117" s="59">
        <f t="shared" si="59"/>
        <v>908.46946776318487</v>
      </c>
      <c r="AN117" s="59">
        <f ca="1">AVERAGE(OFFSET($AM$3,0,0,'Données projet'!$E$10+1,1))-AVERAGE(OFFSET($H$3,0,0,'Données projet'!$E$10+1,1))</f>
        <v>298.68533387773886</v>
      </c>
      <c r="AO117" s="59">
        <f t="shared" si="90"/>
        <v>176.04868734496114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59.174600643430452</v>
      </c>
      <c r="AV117" s="21">
        <f>EXP(-LN(2)/25)*AV116+(1-EXP(-LN(2)/25))/(LN(2)/25)*Calculateur!AQ117*Calculateur!AS117*VLOOKUP('Données projet'!$B$10,Paramètres!$A$1:$I$89,3,0)*0.475*44/12</f>
        <v>2.5325743494134936</v>
      </c>
      <c r="AW117" s="21">
        <f>EXP(-LN(2)/2)*AW116+(1-EXP(-LN(2)/2))/(LN(2)/2)*AQ117*AT117*VLOOKUP('Données projet'!$B$10,Paramètres!$A$1:$I$89,3,0)*0.475*44/12</f>
        <v>0.33484868785869459</v>
      </c>
      <c r="AX117" s="21">
        <f t="shared" si="60"/>
        <v>62.042023680702641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-5.999999999994543E-2</v>
      </c>
      <c r="BE117" s="13">
        <f>BD117*VLOOKUP('Données projet'!$B$11,Paramètres!$A$1:$I$89,3,0)*VLOOKUP('Données projet'!$B$11,Paramètres!$A$1:$I$89,5,0)</f>
        <v>-2.8079999999974462E-2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83.62456509032836</v>
      </c>
      <c r="BJ117" s="59">
        <f t="shared" si="92"/>
        <v>131.53128089847871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25.026155954976769</v>
      </c>
      <c r="BQ117" s="21">
        <f>EXP(-LN(2)/25)*BQ116+(1-EXP(-LN(2)/25))/(LN(2)/25)*Calculateur!BL117*Calculateur!BN117*VLOOKUP('Données projet'!$B$11,Paramètres!$A$1:$I$89,3,0)*0.475*44/12</f>
        <v>7.4234752154627177</v>
      </c>
      <c r="BR117" s="21">
        <f>EXP(-LN(2)/2)*BR116+(1-EXP(-LN(2)/2))/(LN(2)/2)*BL117*BO117*VLOOKUP('Données projet'!$B$11,Paramètres!$A$1:$I$89,3,0)*0.475*44/12</f>
        <v>3.2331671754427671E-7</v>
      </c>
      <c r="BS117" s="22">
        <f t="shared" si="63"/>
        <v>32.449631493756208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925.00000000000034</v>
      </c>
      <c r="BZ117" s="13">
        <f>BY117*VLOOKUP('Données projet'!$B$12,Paramètres!$A$1:$I$89,3,0)*VLOOKUP('Données projet'!$B$12,Paramètres!$A$1:$I$89,5,0)</f>
        <v>408.85000000000014</v>
      </c>
      <c r="CA117" s="13">
        <f t="shared" si="93"/>
        <v>93.568575358321141</v>
      </c>
      <c r="CB117" s="20">
        <f t="shared" si="64"/>
        <v>875.04568541574281</v>
      </c>
      <c r="CC117" s="59">
        <f t="shared" si="65"/>
        <v>1168.3790187490761</v>
      </c>
      <c r="CD117" s="59">
        <f ca="1">AVERAGE(OFFSET($CC$3,0,0,'Données projet'!$E$12+1,1))-AVERAGE(OFFSET($H$3,0,0,'Données projet'!$E$12+1,1))</f>
        <v>415.83983761562189</v>
      </c>
      <c r="CE117" s="59">
        <f t="shared" si="94"/>
        <v>339.37869344688829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34.878067620051745</v>
      </c>
      <c r="CL117" s="21">
        <f>EXP(-LN(2)/25)*CL116+(1-EXP(-LN(2)/25))/(LN(2)/25)*Calculateur!CG117*Calculateur!CI117*VLOOKUP('Données projet'!$B$12,Paramètres!$A$1:$I$89,3,0)*0.475*44/12</f>
        <v>11.425196442161727</v>
      </c>
      <c r="CM117" s="21">
        <f>EXP(-LN(2)/2)*CM116+(1-EXP(-LN(2)/2))/(LN(2)/2)*CG117*CJ117*VLOOKUP('Données projet'!$B$12,Paramètres!$A$1:$I$89,3,0)*0.475*44/12</f>
        <v>1.8712455873173069E-5</v>
      </c>
      <c r="CN117" s="22">
        <f t="shared" si="66"/>
        <v>46.303282774669348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850.90301808359141</v>
      </c>
      <c r="S118" s="59">
        <f ca="1">AVERAGE(OFFSET($R$3,0,0,'Données projet'!$E$9+1,1))-AVERAGE(OFFSET($H$3,0,0,'Données projet'!$E$9+1,1))</f>
        <v>258.68215148478868</v>
      </c>
      <c r="T118" s="59">
        <f t="shared" si="88"/>
        <v>153.16792125610209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1.72E-2</v>
      </c>
      <c r="Y118" s="16">
        <f>IF(ISNA(VLOOKUP(A118,'Données projet'!$A$35:$I$55,7,0)),0%,VLOOKUP(A118,'Données projet'!$A$35:$I$55,7,0))</f>
        <v>0.06</v>
      </c>
      <c r="Z118" s="21">
        <f>EXP(-LN(2)/35)*Z117+(1-EXP(-LN(2)/35))/(LN(2)/35)*V118*W118*VLOOKUP('Données projet'!$B$9,Paramètres!$A$1:$I$89,3,0)*0.475*44/12</f>
        <v>57.95995896302901</v>
      </c>
      <c r="AA118" s="21">
        <f>EXP(-LN(2)/25)*AA117+(1-EXP(-LN(2)/25))/(LN(2)/25)*Calculateur!V118*Calculateur!X118*VLOOKUP('Données projet'!$B$9,Paramètres!$A$1:$I$89,3,0)*0.475*44/12</f>
        <v>2.506492041653845</v>
      </c>
      <c r="AB118" s="21">
        <f>EXP(-LN(2)/2)*AB117+(1-EXP(-LN(2)/2))/(LN(2)/2)*V118*Y118*VLOOKUP('Données projet'!$B$9,Paramètres!$A$1:$I$89,3,0)*0.475*44/12</f>
        <v>1.1332744678396809</v>
      </c>
      <c r="AC118" s="22">
        <f t="shared" si="57"/>
        <v>61.599725472522536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288.99</v>
      </c>
      <c r="AK118" s="13">
        <f t="shared" si="89"/>
        <v>68.863345904836791</v>
      </c>
      <c r="AL118" s="20">
        <f t="shared" si="58"/>
        <v>623.26124411759076</v>
      </c>
      <c r="AM118" s="59">
        <f t="shared" si="59"/>
        <v>916.59457745092413</v>
      </c>
      <c r="AN118" s="59">
        <f ca="1">AVERAGE(OFFSET($AM$3,0,0,'Données projet'!$E$10+1,1))-AVERAGE(OFFSET($H$3,0,0,'Données projet'!$E$10+1,1))</f>
        <v>298.68533387773886</v>
      </c>
      <c r="AO118" s="59">
        <f t="shared" si="90"/>
        <v>176.04868734496114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1.72E-2</v>
      </c>
      <c r="AT118" s="16">
        <f>IF(ISNA(VLOOKUP(A118,'Données projet'!$A$61:$I$81,7,0)),0%,VLOOKUP(A118,'Données projet'!$A$61:$I$81,7,0))</f>
        <v>0.06</v>
      </c>
      <c r="AU118" s="21">
        <f>EXP(-LN(2)/35)*AU117+(1-EXP(-LN(2)/35))/(LN(2)/35)*AQ118*AR118*VLOOKUP('Données projet'!$B$10,Paramètres!$A$1:$I$89,3,0)*0.475*44/12</f>
        <v>64.95512642408427</v>
      </c>
      <c r="AV118" s="21">
        <f>EXP(-LN(2)/25)*AV117+(1-EXP(-LN(2)/25))/(LN(2)/25)*Calculateur!AQ118*Calculateur!AS118*VLOOKUP('Données projet'!$B$10,Paramètres!$A$1:$I$89,3,0)*0.475*44/12</f>
        <v>2.8089997018534474</v>
      </c>
      <c r="AW118" s="21">
        <f>EXP(-LN(2)/2)*AW117+(1-EXP(-LN(2)/2))/(LN(2)/2)*AQ118*AT118*VLOOKUP('Données projet'!$B$10,Paramètres!$A$1:$I$89,3,0)*0.475*44/12</f>
        <v>1.2700489725789532</v>
      </c>
      <c r="AX118" s="21">
        <f t="shared" si="60"/>
        <v>69.03417509851667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-5.999999999994543E-2</v>
      </c>
      <c r="BE118" s="13">
        <f>BD118*VLOOKUP('Données projet'!$B$11,Paramètres!$A$1:$I$89,3,0)*VLOOKUP('Données projet'!$B$11,Paramètres!$A$1:$I$89,5,0)</f>
        <v>-2.8079999999974462E-2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83.62456509032836</v>
      </c>
      <c r="BJ118" s="59">
        <f t="shared" si="92"/>
        <v>131.53128089847871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24.535408301147569</v>
      </c>
      <c r="BQ118" s="21">
        <f>EXP(-LN(2)/25)*BQ117+(1-EXP(-LN(2)/25))/(LN(2)/25)*Calculateur!BL118*Calculateur!BN118*VLOOKUP('Données projet'!$B$11,Paramètres!$A$1:$I$89,3,0)*0.475*44/12</f>
        <v>7.2204798953122946</v>
      </c>
      <c r="BR118" s="21">
        <f>EXP(-LN(2)/2)*BR117+(1-EXP(-LN(2)/2))/(LN(2)/2)*BL118*BO118*VLOOKUP('Données projet'!$B$11,Paramètres!$A$1:$I$89,3,0)*0.475*44/12</f>
        <v>2.2861944344653368E-7</v>
      </c>
      <c r="BS118" s="22">
        <f t="shared" si="63"/>
        <v>31.755888425079309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925.00000000000034</v>
      </c>
      <c r="BZ118" s="13">
        <f>BY118*VLOOKUP('Données projet'!$B$12,Paramètres!$A$1:$I$89,3,0)*VLOOKUP('Données projet'!$B$12,Paramètres!$A$1:$I$89,5,0)</f>
        <v>408.85000000000014</v>
      </c>
      <c r="CA118" s="13">
        <f t="shared" si="93"/>
        <v>93.568575358321141</v>
      </c>
      <c r="CB118" s="20">
        <f t="shared" si="64"/>
        <v>875.04568541574281</v>
      </c>
      <c r="CC118" s="59">
        <f t="shared" si="65"/>
        <v>1168.3790187490761</v>
      </c>
      <c r="CD118" s="59">
        <f ca="1">AVERAGE(OFFSET($CC$3,0,0,'Données projet'!$E$12+1,1))-AVERAGE(OFFSET($H$3,0,0,'Données projet'!$E$12+1,1))</f>
        <v>415.83983761562189</v>
      </c>
      <c r="CE118" s="59">
        <f t="shared" si="94"/>
        <v>339.37869344688829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34.194129987543192</v>
      </c>
      <c r="CL118" s="21">
        <f>EXP(-LN(2)/25)*CL117+(1-EXP(-LN(2)/25))/(LN(2)/25)*Calculateur!CG118*Calculateur!CI118*VLOOKUP('Données projet'!$B$12,Paramètres!$A$1:$I$89,3,0)*0.475*44/12</f>
        <v>11.112773844625847</v>
      </c>
      <c r="CM118" s="21">
        <f>EXP(-LN(2)/2)*CM117+(1-EXP(-LN(2)/2))/(LN(2)/2)*CG118*CJ118*VLOOKUP('Données projet'!$B$12,Paramètres!$A$1:$I$89,3,0)*0.475*44/12</f>
        <v>1.3231704440574716E-5</v>
      </c>
      <c r="CN118" s="22">
        <f t="shared" si="66"/>
        <v>45.306917063873485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3.6</v>
      </c>
      <c r="N119" s="13">
        <f>IF('Données projet'!$A$36&gt;35,N118+M119-V118,IF(A119&lt;'Données projet'!$A$36,$K$205^A119,IF(A119='Données projet'!$A$36,'Données projet'!$B$36,N118+M119-V118)))</f>
        <v>270.60000000000002</v>
      </c>
      <c r="O119" s="13">
        <f>N119*VLOOKUP('Données projet'!$B$9,Paramètres!$A$1:$I$89,3,0)*VLOOKUP('Données projet'!$B$9,Paramètres!$A$1:$I$89,5,0)</f>
        <v>244.83888000000002</v>
      </c>
      <c r="P119" s="13">
        <f t="shared" si="87"/>
        <v>59.479426489427787</v>
      </c>
      <c r="Q119" s="20">
        <f t="shared" si="107"/>
        <v>530.02105046908684</v>
      </c>
      <c r="R119" s="59">
        <f t="shared" si="55"/>
        <v>823.35438380242022</v>
      </c>
      <c r="S119" s="59">
        <f ca="1">AVERAGE(OFFSET($R$3,0,0,'Données projet'!$E$9+1,1))-AVERAGE(OFFSET($H$3,0,0,'Données projet'!$E$9+1,1))</f>
        <v>258.68215148478868</v>
      </c>
      <c r="T119" s="59">
        <f t="shared" si="88"/>
        <v>153.16792125610209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56.823399519848252</v>
      </c>
      <c r="AA119" s="21">
        <f>EXP(-LN(2)/25)*AA118+(1-EXP(-LN(2)/25))/(LN(2)/25)*Calculateur!V119*Calculateur!X119*VLOOKUP('Données projet'!$B$9,Paramètres!$A$1:$I$89,3,0)*0.475*44/12</f>
        <v>2.4379518849641326</v>
      </c>
      <c r="AB119" s="21">
        <f>EXP(-LN(2)/2)*AB118+(1-EXP(-LN(2)/2))/(LN(2)/2)*V119*Y119*VLOOKUP('Données projet'!$B$9,Paramètres!$A$1:$I$89,3,0)*0.475*44/12</f>
        <v>0.80134606115501439</v>
      </c>
      <c r="AC119" s="22">
        <f t="shared" si="57"/>
        <v>60.062697465967403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274.38840000000005</v>
      </c>
      <c r="AK119" s="13">
        <f t="shared" si="89"/>
        <v>65.77972282151319</v>
      </c>
      <c r="AL119" s="20">
        <f t="shared" si="58"/>
        <v>592.45948058080216</v>
      </c>
      <c r="AM119" s="59">
        <f t="shared" si="59"/>
        <v>885.79281391413542</v>
      </c>
      <c r="AN119" s="59">
        <f ca="1">AVERAGE(OFFSET($AM$3,0,0,'Données projet'!$E$10+1,1))-AVERAGE(OFFSET($H$3,0,0,'Données projet'!$E$10+1,1))</f>
        <v>298.68533387773886</v>
      </c>
      <c r="AO119" s="59">
        <f t="shared" si="90"/>
        <v>176.04868734496114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63.681396013623072</v>
      </c>
      <c r="AV119" s="21">
        <f>EXP(-LN(2)/25)*AV118+(1-EXP(-LN(2)/25))/(LN(2)/25)*Calculateur!AQ119*Calculateur!AS119*VLOOKUP('Données projet'!$B$10,Paramètres!$A$1:$I$89,3,0)*0.475*44/12</f>
        <v>2.7321874572873908</v>
      </c>
      <c r="AW119" s="21">
        <f>EXP(-LN(2)/2)*AW118+(1-EXP(-LN(2)/2))/(LN(2)/2)*AQ119*AT119*VLOOKUP('Données projet'!$B$10,Paramètres!$A$1:$I$89,3,0)*0.475*44/12</f>
        <v>0.89806024094958548</v>
      </c>
      <c r="AX119" s="21">
        <f t="shared" si="60"/>
        <v>67.311643711860057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-5.999999999994543E-2</v>
      </c>
      <c r="BE119" s="13">
        <f>BD119*VLOOKUP('Données projet'!$B$11,Paramètres!$A$1:$I$89,3,0)*VLOOKUP('Données projet'!$B$11,Paramètres!$A$1:$I$89,5,0)</f>
        <v>-2.8079999999974462E-2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83.62456509032836</v>
      </c>
      <c r="BJ119" s="59">
        <f t="shared" si="92"/>
        <v>131.53128089847871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24.054283909483445</v>
      </c>
      <c r="BQ119" s="21">
        <f>EXP(-LN(2)/25)*BQ118+(1-EXP(-LN(2)/25))/(LN(2)/25)*Calculateur!BL119*Calculateur!BN119*VLOOKUP('Données projet'!$B$11,Paramètres!$A$1:$I$89,3,0)*0.475*44/12</f>
        <v>7.0230354928664447</v>
      </c>
      <c r="BR119" s="21">
        <f>EXP(-LN(2)/2)*BR118+(1-EXP(-LN(2)/2))/(LN(2)/2)*BL119*BO119*VLOOKUP('Données projet'!$B$11,Paramètres!$A$1:$I$89,3,0)*0.475*44/12</f>
        <v>1.6165835877213838E-7</v>
      </c>
      <c r="BS119" s="22">
        <f t="shared" si="63"/>
        <v>31.077319564008249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925.00000000000034</v>
      </c>
      <c r="BZ119" s="13">
        <f>BY119*VLOOKUP('Données projet'!$B$12,Paramètres!$A$1:$I$89,3,0)*VLOOKUP('Données projet'!$B$12,Paramètres!$A$1:$I$89,5,0)</f>
        <v>408.85000000000014</v>
      </c>
      <c r="CA119" s="13">
        <f t="shared" si="93"/>
        <v>93.568575358321141</v>
      </c>
      <c r="CB119" s="20">
        <f t="shared" si="64"/>
        <v>875.04568541574281</v>
      </c>
      <c r="CC119" s="59">
        <f t="shared" si="65"/>
        <v>1168.3790187490761</v>
      </c>
      <c r="CD119" s="59">
        <f ca="1">AVERAGE(OFFSET($CC$3,0,0,'Données projet'!$E$12+1,1))-AVERAGE(OFFSET($H$3,0,0,'Données projet'!$E$12+1,1))</f>
        <v>415.83983761562189</v>
      </c>
      <c r="CE119" s="59">
        <f t="shared" si="94"/>
        <v>339.37869344688829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33.523603954847367</v>
      </c>
      <c r="CL119" s="21">
        <f>EXP(-LN(2)/25)*CL118+(1-EXP(-LN(2)/25))/(LN(2)/25)*Calculateur!CG119*Calculateur!CI119*VLOOKUP('Données projet'!$B$12,Paramètres!$A$1:$I$89,3,0)*0.475*44/12</f>
        <v>10.808894459449176</v>
      </c>
      <c r="CM119" s="21">
        <f>EXP(-LN(2)/2)*CM118+(1-EXP(-LN(2)/2))/(LN(2)/2)*CG119*CJ119*VLOOKUP('Données projet'!$B$12,Paramètres!$A$1:$I$89,3,0)*0.475*44/12</f>
        <v>9.3562279365865347E-6</v>
      </c>
      <c r="CN119" s="22">
        <f t="shared" si="66"/>
        <v>44.332507770524479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3.6</v>
      </c>
      <c r="N120" s="13">
        <f>IF('Données projet'!$A$36&gt;35,N119+M120-V119,IF(A120&lt;'Données projet'!$A$36,$K$205^A120,IF(A120='Données projet'!$A$36,'Données projet'!$B$36,N119+M120-V119)))</f>
        <v>274.20000000000005</v>
      </c>
      <c r="O120" s="13">
        <f>N120*VLOOKUP('Données projet'!$B$9,Paramètres!$A$1:$I$89,3,0)*VLOOKUP('Données projet'!$B$9,Paramètres!$A$1:$I$89,5,0)</f>
        <v>248.09616</v>
      </c>
      <c r="P120" s="13">
        <f t="shared" si="87"/>
        <v>60.178080967364686</v>
      </c>
      <c r="Q120" s="20">
        <f t="shared" si="107"/>
        <v>536.91096968482668</v>
      </c>
      <c r="R120" s="59">
        <f t="shared" si="55"/>
        <v>830.24430301816005</v>
      </c>
      <c r="S120" s="59">
        <f ca="1">AVERAGE(OFFSET($R$3,0,0,'Données projet'!$E$9+1,1))-AVERAGE(OFFSET($H$3,0,0,'Données projet'!$E$9+1,1))</f>
        <v>258.68215148478868</v>
      </c>
      <c r="T120" s="59">
        <f t="shared" si="88"/>
        <v>153.16792125610209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55.709127314115456</v>
      </c>
      <c r="AA120" s="21">
        <f>EXP(-LN(2)/25)*AA119+(1-EXP(-LN(2)/25))/(LN(2)/25)*Calculateur!V120*Calculateur!X120*VLOOKUP('Données projet'!$B$9,Paramètres!$A$1:$I$89,3,0)*0.475*44/12</f>
        <v>2.371285962463471</v>
      </c>
      <c r="AB120" s="21">
        <f>EXP(-LN(2)/2)*AB119+(1-EXP(-LN(2)/2))/(LN(2)/2)*V120*Y120*VLOOKUP('Données projet'!$B$9,Paramètres!$A$1:$I$89,3,0)*0.475*44/12</f>
        <v>0.56663723391984055</v>
      </c>
      <c r="AC120" s="22">
        <f t="shared" si="57"/>
        <v>58.647050510498765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278.03880000000009</v>
      </c>
      <c r="AK120" s="13">
        <f t="shared" si="89"/>
        <v>66.5523815477178</v>
      </c>
      <c r="AL120" s="20">
        <f t="shared" si="58"/>
        <v>600.16297452894207</v>
      </c>
      <c r="AM120" s="59">
        <f t="shared" si="59"/>
        <v>893.49630786227544</v>
      </c>
      <c r="AN120" s="59">
        <f ca="1">AVERAGE(OFFSET($AM$3,0,0,'Données projet'!$E$10+1,1))-AVERAGE(OFFSET($H$3,0,0,'Données projet'!$E$10+1,1))</f>
        <v>298.68533387773886</v>
      </c>
      <c r="AO120" s="59">
        <f t="shared" si="90"/>
        <v>176.04868734496114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62.432642679612179</v>
      </c>
      <c r="AV120" s="21">
        <f>EXP(-LN(2)/25)*AV119+(1-EXP(-LN(2)/25))/(LN(2)/25)*Calculateur!AQ120*Calculateur!AS120*VLOOKUP('Données projet'!$B$10,Paramètres!$A$1:$I$89,3,0)*0.475*44/12</f>
        <v>2.6574756475883734</v>
      </c>
      <c r="AW120" s="21">
        <f>EXP(-LN(2)/2)*AW119+(1-EXP(-LN(2)/2))/(LN(2)/2)*AQ120*AT120*VLOOKUP('Données projet'!$B$10,Paramètres!$A$1:$I$89,3,0)*0.475*44/12</f>
        <v>0.63502448628947672</v>
      </c>
      <c r="AX120" s="21">
        <f t="shared" si="60"/>
        <v>65.725142813490038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-5.999999999994543E-2</v>
      </c>
      <c r="BE120" s="13">
        <f>BD120*VLOOKUP('Données projet'!$B$11,Paramètres!$A$1:$I$89,3,0)*VLOOKUP('Données projet'!$B$11,Paramètres!$A$1:$I$89,5,0)</f>
        <v>-2.8079999999974462E-2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83.62456509032836</v>
      </c>
      <c r="BJ120" s="59">
        <f t="shared" si="92"/>
        <v>131.53128089847871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23.582594073682952</v>
      </c>
      <c r="BQ120" s="21">
        <f>EXP(-LN(2)/25)*BQ119+(1-EXP(-LN(2)/25))/(LN(2)/25)*Calculateur!BL120*Calculateur!BN120*VLOOKUP('Données projet'!$B$11,Paramètres!$A$1:$I$89,3,0)*0.475*44/12</f>
        <v>6.8309902179886262</v>
      </c>
      <c r="BR120" s="21">
        <f>EXP(-LN(2)/2)*BR119+(1-EXP(-LN(2)/2))/(LN(2)/2)*BL120*BO120*VLOOKUP('Données projet'!$B$11,Paramètres!$A$1:$I$89,3,0)*0.475*44/12</f>
        <v>1.1430972172326685E-7</v>
      </c>
      <c r="BS120" s="22">
        <f t="shared" si="63"/>
        <v>30.413584405981297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925.00000000000034</v>
      </c>
      <c r="BZ120" s="13">
        <f>BY120*VLOOKUP('Données projet'!$B$12,Paramètres!$A$1:$I$89,3,0)*VLOOKUP('Données projet'!$B$12,Paramètres!$A$1:$I$89,5,0)</f>
        <v>408.85000000000014</v>
      </c>
      <c r="CA120" s="13">
        <f t="shared" si="93"/>
        <v>93.568575358321141</v>
      </c>
      <c r="CB120" s="20">
        <f t="shared" si="64"/>
        <v>875.04568541574281</v>
      </c>
      <c r="CC120" s="59">
        <f t="shared" si="65"/>
        <v>1168.3790187490761</v>
      </c>
      <c r="CD120" s="59">
        <f ca="1">AVERAGE(OFFSET($CC$3,0,0,'Données projet'!$E$12+1,1))-AVERAGE(OFFSET($H$3,0,0,'Données projet'!$E$12+1,1))</f>
        <v>415.83983761562189</v>
      </c>
      <c r="CE120" s="59">
        <f t="shared" si="94"/>
        <v>339.37869344688829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32.866226528672215</v>
      </c>
      <c r="CL120" s="21">
        <f>EXP(-LN(2)/25)*CL119+(1-EXP(-LN(2)/25))/(LN(2)/25)*Calculateur!CG120*Calculateur!CI120*VLOOKUP('Données projet'!$B$12,Paramètres!$A$1:$I$89,3,0)*0.475*44/12</f>
        <v>10.513324672040483</v>
      </c>
      <c r="CM120" s="21">
        <f>EXP(-LN(2)/2)*CM119+(1-EXP(-LN(2)/2))/(LN(2)/2)*CG120*CJ120*VLOOKUP('Données projet'!$B$12,Paramètres!$A$1:$I$89,3,0)*0.475*44/12</f>
        <v>6.615852220287358E-6</v>
      </c>
      <c r="CN120" s="22">
        <f t="shared" si="66"/>
        <v>43.379557816564919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3.6</v>
      </c>
      <c r="N121" s="13">
        <f>IF('Données projet'!$A$36&gt;35,N120+M121-V120,IF(A121&lt;'Données projet'!$A$36,$K$205^A121,IF(A121='Données projet'!$A$36,'Données projet'!$B$36,N120+M121-V120)))</f>
        <v>277.80000000000007</v>
      </c>
      <c r="O121" s="13">
        <f>N121*VLOOKUP('Données projet'!$B$9,Paramètres!$A$1:$I$89,3,0)*VLOOKUP('Données projet'!$B$9,Paramètres!$A$1:$I$89,5,0)</f>
        <v>251.35344000000003</v>
      </c>
      <c r="P121" s="13">
        <f t="shared" si="87"/>
        <v>60.875668525285015</v>
      </c>
      <c r="Q121" s="20">
        <f t="shared" si="107"/>
        <v>543.79903068153806</v>
      </c>
      <c r="R121" s="59">
        <f t="shared" si="55"/>
        <v>837.13236401487143</v>
      </c>
      <c r="S121" s="59">
        <f ca="1">AVERAGE(OFFSET($R$3,0,0,'Données projet'!$E$9+1,1))-AVERAGE(OFFSET($H$3,0,0,'Données projet'!$E$9+1,1))</f>
        <v>258.68215148478868</v>
      </c>
      <c r="T121" s="59">
        <f t="shared" si="88"/>
        <v>153.16792125610209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54.616705306698144</v>
      </c>
      <c r="AA121" s="21">
        <f>EXP(-LN(2)/25)*AA120+(1-EXP(-LN(2)/25))/(LN(2)/25)*Calculateur!V121*Calculateur!X121*VLOOKUP('Données projet'!$B$9,Paramètres!$A$1:$I$89,3,0)*0.475*44/12</f>
        <v>2.3064430231193982</v>
      </c>
      <c r="AB121" s="21">
        <f>EXP(-LN(2)/2)*AB120+(1-EXP(-LN(2)/2))/(LN(2)/2)*V121*Y121*VLOOKUP('Données projet'!$B$9,Paramètres!$A$1:$I$89,3,0)*0.475*44/12</f>
        <v>0.40067303057750725</v>
      </c>
      <c r="AC121" s="22">
        <f t="shared" si="57"/>
        <v>57.323821360395051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281.68920000000008</v>
      </c>
      <c r="AK121" s="13">
        <f t="shared" si="89"/>
        <v>67.323860341513637</v>
      </c>
      <c r="AL121" s="20">
        <f t="shared" si="58"/>
        <v>607.86441342813634</v>
      </c>
      <c r="AM121" s="59">
        <f t="shared" si="59"/>
        <v>901.19774676146972</v>
      </c>
      <c r="AN121" s="59">
        <f ca="1">AVERAGE(OFFSET($AM$3,0,0,'Données projet'!$E$10+1,1))-AVERAGE(OFFSET($H$3,0,0,'Données projet'!$E$10+1,1))</f>
        <v>298.68533387773886</v>
      </c>
      <c r="AO121" s="59">
        <f t="shared" si="90"/>
        <v>176.04868734496114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61.208376636816915</v>
      </c>
      <c r="AV121" s="21">
        <f>EXP(-LN(2)/25)*AV120+(1-EXP(-LN(2)/25))/(LN(2)/25)*Calculateur!AQ121*Calculateur!AS121*VLOOKUP('Données projet'!$B$10,Paramètres!$A$1:$I$89,3,0)*0.475*44/12</f>
        <v>2.5848068362544989</v>
      </c>
      <c r="AW121" s="21">
        <f>EXP(-LN(2)/2)*AW120+(1-EXP(-LN(2)/2))/(LN(2)/2)*AQ121*AT121*VLOOKUP('Données projet'!$B$10,Paramètres!$A$1:$I$89,3,0)*0.475*44/12</f>
        <v>0.44903012047479279</v>
      </c>
      <c r="AX121" s="21">
        <f t="shared" si="60"/>
        <v>64.242213593546211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-5.999999999994543E-2</v>
      </c>
      <c r="BE121" s="13">
        <f>BD121*VLOOKUP('Données projet'!$B$11,Paramètres!$A$1:$I$89,3,0)*VLOOKUP('Données projet'!$B$11,Paramètres!$A$1:$I$89,5,0)</f>
        <v>-2.8079999999974462E-2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83.62456509032836</v>
      </c>
      <c r="BJ121" s="59">
        <f t="shared" si="92"/>
        <v>131.53128089847871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23.120153787860115</v>
      </c>
      <c r="BQ121" s="21">
        <f>EXP(-LN(2)/25)*BQ120+(1-EXP(-LN(2)/25))/(LN(2)/25)*Calculateur!BL121*Calculateur!BN121*VLOOKUP('Données projet'!$B$11,Paramètres!$A$1:$I$89,3,0)*0.475*44/12</f>
        <v>6.6441964312515642</v>
      </c>
      <c r="BR121" s="21">
        <f>EXP(-LN(2)/2)*BR120+(1-EXP(-LN(2)/2))/(LN(2)/2)*BL121*BO121*VLOOKUP('Données projet'!$B$11,Paramètres!$A$1:$I$89,3,0)*0.475*44/12</f>
        <v>8.0829179386069203E-8</v>
      </c>
      <c r="BS121" s="22">
        <f t="shared" si="63"/>
        <v>29.764350299940858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925.00000000000034</v>
      </c>
      <c r="BZ121" s="13">
        <f>BY121*VLOOKUP('Données projet'!$B$12,Paramètres!$A$1:$I$89,3,0)*VLOOKUP('Données projet'!$B$12,Paramètres!$A$1:$I$89,5,0)</f>
        <v>408.85000000000014</v>
      </c>
      <c r="CA121" s="13">
        <f t="shared" si="93"/>
        <v>93.568575358321141</v>
      </c>
      <c r="CB121" s="20">
        <f t="shared" si="64"/>
        <v>875.04568541574281</v>
      </c>
      <c r="CC121" s="59">
        <f t="shared" si="65"/>
        <v>1168.3790187490761</v>
      </c>
      <c r="CD121" s="59">
        <f ca="1">AVERAGE(OFFSET($CC$3,0,0,'Données projet'!$E$12+1,1))-AVERAGE(OFFSET($H$3,0,0,'Données projet'!$E$12+1,1))</f>
        <v>415.83983761562189</v>
      </c>
      <c r="CE121" s="59">
        <f t="shared" si="94"/>
        <v>339.37869344688829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32.221739872863715</v>
      </c>
      <c r="CL121" s="21">
        <f>EXP(-LN(2)/25)*CL120+(1-EXP(-LN(2)/25))/(LN(2)/25)*Calculateur!CG121*Calculateur!CI121*VLOOKUP('Données projet'!$B$12,Paramètres!$A$1:$I$89,3,0)*0.475*44/12</f>
        <v>10.22583725601182</v>
      </c>
      <c r="CM121" s="21">
        <f>EXP(-LN(2)/2)*CM120+(1-EXP(-LN(2)/2))/(LN(2)/2)*CG121*CJ121*VLOOKUP('Données projet'!$B$12,Paramètres!$A$1:$I$89,3,0)*0.475*44/12</f>
        <v>4.6781139682932674E-6</v>
      </c>
      <c r="CN121" s="22">
        <f t="shared" si="66"/>
        <v>42.447581806989504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3.6</v>
      </c>
      <c r="N122" s="13">
        <f>IF('Données projet'!$A$36&gt;35,N121+M122-V121,IF(A122&lt;'Données projet'!$A$36,$K$205^A122,IF(A122='Données projet'!$A$36,'Données projet'!$B$36,N121+M122-V121)))</f>
        <v>281.40000000000009</v>
      </c>
      <c r="O122" s="13">
        <f>N122*VLOOKUP('Données projet'!$B$9,Paramètres!$A$1:$I$89,3,0)*VLOOKUP('Données projet'!$B$9,Paramètres!$A$1:$I$89,5,0)</f>
        <v>254.61072000000007</v>
      </c>
      <c r="P122" s="13">
        <f t="shared" si="87"/>
        <v>61.572204587965729</v>
      </c>
      <c r="Q122" s="20">
        <f t="shared" si="107"/>
        <v>550.68526032404031</v>
      </c>
      <c r="R122" s="59">
        <f t="shared" si="55"/>
        <v>844.01859365737369</v>
      </c>
      <c r="S122" s="59">
        <f ca="1">AVERAGE(OFFSET($R$3,0,0,'Données projet'!$E$9+1,1))-AVERAGE(OFFSET($H$3,0,0,'Données projet'!$E$9+1,1))</f>
        <v>258.68215148478868</v>
      </c>
      <c r="T122" s="59">
        <f t="shared" si="88"/>
        <v>153.16792125610209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53.545705028534655</v>
      </c>
      <c r="AA122" s="21">
        <f>EXP(-LN(2)/25)*AA121+(1-EXP(-LN(2)/25))/(LN(2)/25)*Calculateur!V122*Calculateur!X122*VLOOKUP('Données projet'!$B$9,Paramètres!$A$1:$I$89,3,0)*0.475*44/12</f>
        <v>2.243373217361631</v>
      </c>
      <c r="AB122" s="21">
        <f>EXP(-LN(2)/2)*AB121+(1-EXP(-LN(2)/2))/(LN(2)/2)*V122*Y122*VLOOKUP('Données projet'!$B$9,Paramètres!$A$1:$I$89,3,0)*0.475*44/12</f>
        <v>0.28331861695992028</v>
      </c>
      <c r="AC122" s="22">
        <f t="shared" si="57"/>
        <v>56.072396862856202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285.33960000000008</v>
      </c>
      <c r="AK122" s="13">
        <f t="shared" si="89"/>
        <v>68.094176261531288</v>
      </c>
      <c r="AL122" s="20">
        <f t="shared" si="58"/>
        <v>615.56382698883374</v>
      </c>
      <c r="AM122" s="59">
        <f t="shared" si="59"/>
        <v>908.89716032216711</v>
      </c>
      <c r="AN122" s="59">
        <f ca="1">AVERAGE(OFFSET($AM$3,0,0,'Données projet'!$E$10+1,1))-AVERAGE(OFFSET($H$3,0,0,'Données projet'!$E$10+1,1))</f>
        <v>298.68533387773886</v>
      </c>
      <c r="AO122" s="59">
        <f t="shared" si="90"/>
        <v>176.04868734496114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60.008117704392312</v>
      </c>
      <c r="AV122" s="21">
        <f>EXP(-LN(2)/25)*AV121+(1-EXP(-LN(2)/25))/(LN(2)/25)*Calculateur!AQ122*Calculateur!AS122*VLOOKUP('Données projet'!$B$10,Paramètres!$A$1:$I$89,3,0)*0.475*44/12</f>
        <v>2.5141251573880359</v>
      </c>
      <c r="AW122" s="21">
        <f>EXP(-LN(2)/2)*AW121+(1-EXP(-LN(2)/2))/(LN(2)/2)*AQ122*AT122*VLOOKUP('Données projet'!$B$10,Paramètres!$A$1:$I$89,3,0)*0.475*44/12</f>
        <v>0.31751224314473842</v>
      </c>
      <c r="AX122" s="21">
        <f t="shared" si="60"/>
        <v>62.839755104925089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-5.999999999994543E-2</v>
      </c>
      <c r="BE122" s="13">
        <f>BD122*VLOOKUP('Données projet'!$B$11,Paramètres!$A$1:$I$89,3,0)*VLOOKUP('Données projet'!$B$11,Paramètres!$A$1:$I$89,5,0)</f>
        <v>-2.8079999999974462E-2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83.62456509032836</v>
      </c>
      <c r="BJ122" s="59">
        <f t="shared" si="92"/>
        <v>131.53128089847871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22.666781673981543</v>
      </c>
      <c r="BQ122" s="21">
        <f>EXP(-LN(2)/25)*BQ121+(1-EXP(-LN(2)/25))/(LN(2)/25)*Calculateur!BL122*Calculateur!BN122*VLOOKUP('Données projet'!$B$11,Paramètres!$A$1:$I$89,3,0)*0.475*44/12</f>
        <v>6.4625105304358854</v>
      </c>
      <c r="BR122" s="21">
        <f>EXP(-LN(2)/2)*BR121+(1-EXP(-LN(2)/2))/(LN(2)/2)*BL122*BO122*VLOOKUP('Données projet'!$B$11,Paramètres!$A$1:$I$89,3,0)*0.475*44/12</f>
        <v>5.7154860861633439E-8</v>
      </c>
      <c r="BS122" s="22">
        <f t="shared" si="63"/>
        <v>29.129292261572289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925.00000000000034</v>
      </c>
      <c r="BZ122" s="13">
        <f>BY122*VLOOKUP('Données projet'!$B$12,Paramètres!$A$1:$I$89,3,0)*VLOOKUP('Données projet'!$B$12,Paramètres!$A$1:$I$89,5,0)</f>
        <v>408.85000000000014</v>
      </c>
      <c r="CA122" s="13">
        <f t="shared" si="93"/>
        <v>93.568575358321141</v>
      </c>
      <c r="CB122" s="20">
        <f t="shared" si="64"/>
        <v>875.04568541574281</v>
      </c>
      <c r="CC122" s="59">
        <f t="shared" si="65"/>
        <v>1168.3790187490761</v>
      </c>
      <c r="CD122" s="59">
        <f ca="1">AVERAGE(OFFSET($CC$3,0,0,'Données projet'!$E$12+1,1))-AVERAGE(OFFSET($H$3,0,0,'Données projet'!$E$12+1,1))</f>
        <v>415.83983761562189</v>
      </c>
      <c r="CE122" s="59">
        <f t="shared" si="94"/>
        <v>339.37869344688829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31.589891207277574</v>
      </c>
      <c r="CL122" s="21">
        <f>EXP(-LN(2)/25)*CL121+(1-EXP(-LN(2)/25))/(LN(2)/25)*Calculateur!CG122*Calculateur!CI122*VLOOKUP('Données projet'!$B$12,Paramètres!$A$1:$I$89,3,0)*0.475*44/12</f>
        <v>9.946211198492767</v>
      </c>
      <c r="CM122" s="21">
        <f>EXP(-LN(2)/2)*CM121+(1-EXP(-LN(2)/2))/(LN(2)/2)*CG122*CJ122*VLOOKUP('Données projet'!$B$12,Paramètres!$A$1:$I$89,3,0)*0.475*44/12</f>
        <v>3.307926110143679E-6</v>
      </c>
      <c r="CN122" s="22">
        <f t="shared" si="66"/>
        <v>41.53610571369645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3.6</v>
      </c>
      <c r="M123" s="12">
        <f t="array" ref="M123">INDEX(L:L,MIN(IF(ISNUMBER(L123:L319),ROW(L123:L319),"")))</f>
        <v>3.6</v>
      </c>
      <c r="N123" s="13">
        <f>IF('Données projet'!$A$36&gt;35,N122+M123-V122,IF(A123&lt;'Données projet'!$A$36,$K$205^A123,IF(A123='Données projet'!$A$36,'Données projet'!$B$36,N122+M123-V122)))</f>
        <v>285.00000000000011</v>
      </c>
      <c r="O123" s="13">
        <f>N123*VLOOKUP('Données projet'!$B$9,Paramètres!$A$1:$I$89,3,0)*VLOOKUP('Données projet'!$B$9,Paramètres!$A$1:$I$89,5,0)</f>
        <v>257.86800000000011</v>
      </c>
      <c r="P123" s="13">
        <f t="shared" si="87"/>
        <v>62.267704162827528</v>
      </c>
      <c r="Q123" s="20">
        <f t="shared" si="107"/>
        <v>557.56968475025815</v>
      </c>
      <c r="R123" s="59">
        <f t="shared" si="55"/>
        <v>850.90301808359141</v>
      </c>
      <c r="S123" s="59">
        <f ca="1">AVERAGE(OFFSET($R$3,0,0,'Données projet'!$E$9+1,1))-AVERAGE(OFFSET($H$3,0,0,'Données projet'!$E$9+1,1))</f>
        <v>258.68215148478868</v>
      </c>
      <c r="T123" s="59">
        <f t="shared" si="88"/>
        <v>153.16792125610209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17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1.72E-2</v>
      </c>
      <c r="Y123" s="16">
        <f>IF(ISNA(VLOOKUP(A123,'Données projet'!$A$35:$I$55,7,0)),0%,VLOOKUP(A123,'Données projet'!$A$35:$I$55,7,0))</f>
        <v>0.06</v>
      </c>
      <c r="Z123" s="21">
        <f>EXP(-LN(2)/35)*Z122+(1-EXP(-LN(2)/35))/(LN(2)/35)*V123*W123*VLOOKUP('Données projet'!$B$9,Paramètres!$A$1:$I$89,3,0)*0.475*44/12</f>
        <v>58.345049109879746</v>
      </c>
      <c r="AA123" s="21">
        <f>EXP(-LN(2)/25)*AA122+(1-EXP(-LN(2)/25))/(LN(2)/25)*Calculateur!V123*Calculateur!X123*VLOOKUP('Données projet'!$B$9,Paramètres!$A$1:$I$89,3,0)*0.475*44/12</f>
        <v>2.4733436390753019</v>
      </c>
      <c r="AB123" s="21">
        <f>EXP(-LN(2)/2)*AB122+(1-EXP(-LN(2)/2))/(LN(2)/2)*V123*Y123*VLOOKUP('Données projet'!$B$9,Paramètres!$A$1:$I$89,3,0)*0.475*44/12</f>
        <v>1.0711137306704079</v>
      </c>
      <c r="AC123" s="22">
        <f t="shared" si="57"/>
        <v>61.889506479625453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288.99000000000012</v>
      </c>
      <c r="AK123" s="13">
        <f t="shared" si="89"/>
        <v>68.863345904836791</v>
      </c>
      <c r="AL123" s="20">
        <f t="shared" si="58"/>
        <v>623.26124411759099</v>
      </c>
      <c r="AM123" s="59">
        <f t="shared" si="59"/>
        <v>916.59457745092436</v>
      </c>
      <c r="AN123" s="59">
        <f ca="1">AVERAGE(OFFSET($AM$3,0,0,'Données projet'!$E$10+1,1))-AVERAGE(OFFSET($H$3,0,0,'Données projet'!$E$10+1,1))</f>
        <v>298.68533387773886</v>
      </c>
      <c r="AO123" s="59">
        <f t="shared" si="90"/>
        <v>176.04868734496114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17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1.72E-2</v>
      </c>
      <c r="AT123" s="16">
        <f>IF(ISNA(VLOOKUP(A123,'Données projet'!$A$61:$I$81,7,0)),0%,VLOOKUP(A123,'Données projet'!$A$61:$I$81,7,0))</f>
        <v>0.06</v>
      </c>
      <c r="AU123" s="21">
        <f>EXP(-LN(2)/35)*AU122+(1-EXP(-LN(2)/35))/(LN(2)/35)*AQ123*AR123*VLOOKUP('Données projet'!$B$10,Paramètres!$A$1:$I$89,3,0)*0.475*44/12</f>
        <v>65.386692967968713</v>
      </c>
      <c r="AV123" s="21">
        <f>EXP(-LN(2)/25)*AV122+(1-EXP(-LN(2)/25))/(LN(2)/25)*Calculateur!AQ123*Calculateur!AS123*VLOOKUP('Données projet'!$B$10,Paramètres!$A$1:$I$89,3,0)*0.475*44/12</f>
        <v>2.771850629998184</v>
      </c>
      <c r="AW123" s="21">
        <f>EXP(-LN(2)/2)*AW122+(1-EXP(-LN(2)/2))/(LN(2)/2)*AQ123*AT123*VLOOKUP('Données projet'!$B$10,Paramètres!$A$1:$I$89,3,0)*0.475*44/12</f>
        <v>1.2003860774754573</v>
      </c>
      <c r="AX123" s="21">
        <f t="shared" si="60"/>
        <v>69.358929675442354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-5.999999999994543E-2</v>
      </c>
      <c r="BE123" s="13">
        <f>BD123*VLOOKUP('Données projet'!$B$11,Paramètres!$A$1:$I$89,3,0)*VLOOKUP('Données projet'!$B$11,Paramètres!$A$1:$I$89,5,0)</f>
        <v>-2.8079999999974462E-2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83.62456509032836</v>
      </c>
      <c r="BJ123" s="59">
        <f t="shared" si="92"/>
        <v>131.53128089847871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22.222299910726445</v>
      </c>
      <c r="BQ123" s="21">
        <f>EXP(-LN(2)/25)*BQ122+(1-EXP(-LN(2)/25))/(LN(2)/25)*Calculateur!BL123*Calculateur!BN123*VLOOKUP('Données projet'!$B$11,Paramètres!$A$1:$I$89,3,0)*0.475*44/12</f>
        <v>6.2857928401324576</v>
      </c>
      <c r="BR123" s="21">
        <f>EXP(-LN(2)/2)*BR122+(1-EXP(-LN(2)/2))/(LN(2)/2)*BL123*BO123*VLOOKUP('Données projet'!$B$11,Paramètres!$A$1:$I$89,3,0)*0.475*44/12</f>
        <v>4.0414589693034608E-8</v>
      </c>
      <c r="BS123" s="22">
        <f t="shared" si="63"/>
        <v>28.508092791273494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925.00000000000034</v>
      </c>
      <c r="BZ123" s="13">
        <f>BY123*VLOOKUP('Données projet'!$B$12,Paramètres!$A$1:$I$89,3,0)*VLOOKUP('Données projet'!$B$12,Paramètres!$A$1:$I$89,5,0)</f>
        <v>408.85000000000014</v>
      </c>
      <c r="CA123" s="13">
        <f t="shared" si="93"/>
        <v>93.568575358321141</v>
      </c>
      <c r="CB123" s="20">
        <f t="shared" si="64"/>
        <v>875.04568541574281</v>
      </c>
      <c r="CC123" s="59">
        <f t="shared" si="65"/>
        <v>1168.3790187490761</v>
      </c>
      <c r="CD123" s="59">
        <f ca="1">AVERAGE(OFFSET($CC$3,0,0,'Données projet'!$E$12+1,1))-AVERAGE(OFFSET($H$3,0,0,'Données projet'!$E$12+1,1))</f>
        <v>415.83983761562189</v>
      </c>
      <c r="CE123" s="59">
        <f t="shared" si="94"/>
        <v>339.37869344688829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30.970432708633947</v>
      </c>
      <c r="CL123" s="21">
        <f>EXP(-LN(2)/25)*CL122+(1-EXP(-LN(2)/25))/(LN(2)/25)*Calculateur!CG123*Calculateur!CI123*VLOOKUP('Données projet'!$B$12,Paramètres!$A$1:$I$89,3,0)*0.475*44/12</f>
        <v>9.6742315302214674</v>
      </c>
      <c r="CM123" s="21">
        <f>EXP(-LN(2)/2)*CM122+(1-EXP(-LN(2)/2))/(LN(2)/2)*CG123*CJ123*VLOOKUP('Données projet'!$B$12,Paramètres!$A$1:$I$89,3,0)*0.475*44/12</f>
        <v>2.3390569841466337E-6</v>
      </c>
      <c r="CN123" s="22">
        <f t="shared" si="66"/>
        <v>40.644666577912396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268.00000000000011</v>
      </c>
      <c r="O124" s="13">
        <f>N124*VLOOKUP('Données projet'!$B$9,Paramètres!$A$1:$I$89,3,0)*VLOOKUP('Données projet'!$B$9,Paramètres!$A$1:$I$89,5,0)</f>
        <v>242.48640000000009</v>
      </c>
      <c r="P124" s="13">
        <f t="shared" si="87"/>
        <v>58.974170235372476</v>
      </c>
      <c r="Q124" s="20">
        <f t="shared" si="107"/>
        <v>525.04382649327385</v>
      </c>
      <c r="R124" s="59">
        <f t="shared" si="55"/>
        <v>818.37715982660711</v>
      </c>
      <c r="S124" s="59">
        <f ca="1">AVERAGE(OFFSET($R$3,0,0,'Données projet'!$E$9+1,1))-AVERAGE(OFFSET($H$3,0,0,'Données projet'!$E$9+1,1))</f>
        <v>258.68215148478868</v>
      </c>
      <c r="T124" s="59">
        <f t="shared" si="88"/>
        <v>153.16792125610209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57.200938283801037</v>
      </c>
      <c r="AA124" s="21">
        <f>EXP(-LN(2)/25)*AA123+(1-EXP(-LN(2)/25))/(LN(2)/25)*Calculateur!V124*Calculateur!X124*VLOOKUP('Données projet'!$B$9,Paramètres!$A$1:$I$89,3,0)*0.475*44/12</f>
        <v>2.4057099271972988</v>
      </c>
      <c r="AB124" s="21">
        <f>EXP(-LN(2)/2)*AB123+(1-EXP(-LN(2)/2))/(LN(2)/2)*V124*Y124*VLOOKUP('Données projet'!$B$9,Paramètres!$A$1:$I$89,3,0)*0.475*44/12</f>
        <v>0.75739178237906679</v>
      </c>
      <c r="AC124" s="22">
        <f t="shared" si="57"/>
        <v>60.364039993377403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268.00000000000011</v>
      </c>
      <c r="AJ124" s="13">
        <f>AI124*VLOOKUP('Données projet'!$B$10,Paramètres!$A$1:$I$89,3,0)*VLOOKUP('Données projet'!$B$10,Paramètres!$A$1:$I$89,5,0)</f>
        <v>271.75200000000012</v>
      </c>
      <c r="AK124" s="13">
        <f t="shared" si="89"/>
        <v>65.220947824724988</v>
      </c>
      <c r="AL124" s="20">
        <f t="shared" si="58"/>
        <v>586.89455079472953</v>
      </c>
      <c r="AM124" s="59">
        <f t="shared" si="59"/>
        <v>880.2278841280629</v>
      </c>
      <c r="AN124" s="59">
        <f ca="1">AVERAGE(OFFSET($AM$3,0,0,'Données projet'!$E$10+1,1))-AVERAGE(OFFSET($H$3,0,0,'Données projet'!$E$10+1,1))</f>
        <v>298.68533387773886</v>
      </c>
      <c r="AO124" s="59">
        <f t="shared" si="90"/>
        <v>176.04868734496114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64.104499800811539</v>
      </c>
      <c r="AV124" s="21">
        <f>EXP(-LN(2)/25)*AV123+(1-EXP(-LN(2)/25))/(LN(2)/25)*Calculateur!AQ124*Calculateur!AS124*VLOOKUP('Données projet'!$B$10,Paramètres!$A$1:$I$89,3,0)*0.475*44/12</f>
        <v>2.6960542287555942</v>
      </c>
      <c r="AW124" s="21">
        <f>EXP(-LN(2)/2)*AW123+(1-EXP(-LN(2)/2))/(LN(2)/2)*AQ124*AT124*VLOOKUP('Données projet'!$B$10,Paramètres!$A$1:$I$89,3,0)*0.475*44/12</f>
        <v>0.84880113542481639</v>
      </c>
      <c r="AX124" s="21">
        <f t="shared" si="60"/>
        <v>67.64935516499196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-5.999999999994543E-2</v>
      </c>
      <c r="BE124" s="13">
        <f>BD124*VLOOKUP('Données projet'!$B$11,Paramètres!$A$1:$I$89,3,0)*VLOOKUP('Données projet'!$B$11,Paramètres!$A$1:$I$89,5,0)</f>
        <v>-2.8079999999974462E-2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83.62456509032836</v>
      </c>
      <c r="BJ124" s="59">
        <f t="shared" si="92"/>
        <v>131.53128089847871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21.786534163741674</v>
      </c>
      <c r="BQ124" s="21">
        <f>EXP(-LN(2)/25)*BQ123+(1-EXP(-LN(2)/25))/(LN(2)/25)*Calculateur!BL124*Calculateur!BN124*VLOOKUP('Données projet'!$B$11,Paramètres!$A$1:$I$89,3,0)*0.475*44/12</f>
        <v>6.1139075043635565</v>
      </c>
      <c r="BR124" s="21">
        <f>EXP(-LN(2)/2)*BR123+(1-EXP(-LN(2)/2))/(LN(2)/2)*BL124*BO124*VLOOKUP('Données projet'!$B$11,Paramètres!$A$1:$I$89,3,0)*0.475*44/12</f>
        <v>2.8577430430816723E-8</v>
      </c>
      <c r="BS124" s="22">
        <f t="shared" si="63"/>
        <v>27.900441696682662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925.00000000000034</v>
      </c>
      <c r="BZ124" s="13">
        <f>BY124*VLOOKUP('Données projet'!$B$12,Paramètres!$A$1:$I$89,3,0)*VLOOKUP('Données projet'!$B$12,Paramètres!$A$1:$I$89,5,0)</f>
        <v>408.85000000000014</v>
      </c>
      <c r="CA124" s="13">
        <f t="shared" si="93"/>
        <v>93.568575358321141</v>
      </c>
      <c r="CB124" s="20">
        <f t="shared" si="64"/>
        <v>875.04568541574281</v>
      </c>
      <c r="CC124" s="59">
        <f t="shared" si="65"/>
        <v>1168.3790187490761</v>
      </c>
      <c r="CD124" s="59">
        <f ca="1">AVERAGE(OFFSET($CC$3,0,0,'Données projet'!$E$12+1,1))-AVERAGE(OFFSET($H$3,0,0,'Données projet'!$E$12+1,1))</f>
        <v>415.83983761562189</v>
      </c>
      <c r="CE124" s="59">
        <f t="shared" si="94"/>
        <v>339.37869344688829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30.363121413316346</v>
      </c>
      <c r="CL124" s="21">
        <f>EXP(-LN(2)/25)*CL123+(1-EXP(-LN(2)/25))/(LN(2)/25)*Calculateur!CG124*Calculateur!CI124*VLOOKUP('Données projet'!$B$12,Paramètres!$A$1:$I$89,3,0)*0.475*44/12</f>
        <v>9.409689160281836</v>
      </c>
      <c r="CM124" s="21">
        <f>EXP(-LN(2)/2)*CM123+(1-EXP(-LN(2)/2))/(LN(2)/2)*CG124*CJ124*VLOOKUP('Données projet'!$B$12,Paramètres!$A$1:$I$89,3,0)*0.475*44/12</f>
        <v>1.6539630550718395E-6</v>
      </c>
      <c r="CN124" s="22">
        <f t="shared" si="66"/>
        <v>39.772812227561232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268.00000000000011</v>
      </c>
      <c r="O125" s="13">
        <f>N125*VLOOKUP('Données projet'!$B$9,Paramètres!$A$1:$I$89,3,0)*VLOOKUP('Données projet'!$B$9,Paramètres!$A$1:$I$89,5,0)</f>
        <v>242.48640000000009</v>
      </c>
      <c r="P125" s="13">
        <f t="shared" si="87"/>
        <v>58.974170235372476</v>
      </c>
      <c r="Q125" s="20">
        <f t="shared" si="107"/>
        <v>525.04382649327385</v>
      </c>
      <c r="R125" s="59">
        <f t="shared" si="55"/>
        <v>818.37715982660711</v>
      </c>
      <c r="S125" s="59">
        <f ca="1">AVERAGE(OFFSET($R$3,0,0,'Données projet'!$E$9+1,1))-AVERAGE(OFFSET($H$3,0,0,'Données projet'!$E$9+1,1))</f>
        <v>258.68215148478868</v>
      </c>
      <c r="T125" s="59">
        <f t="shared" si="88"/>
        <v>153.16792125610209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56.079262773183039</v>
      </c>
      <c r="AA125" s="21">
        <f>EXP(-LN(2)/25)*AA124+(1-EXP(-LN(2)/25))/(LN(2)/25)*Calculateur!V125*Calculateur!X125*VLOOKUP('Données projet'!$B$9,Paramètres!$A$1:$I$89,3,0)*0.475*44/12</f>
        <v>2.339925662727302</v>
      </c>
      <c r="AB125" s="21">
        <f>EXP(-LN(2)/2)*AB124+(1-EXP(-LN(2)/2))/(LN(2)/2)*V125*Y125*VLOOKUP('Données projet'!$B$9,Paramètres!$A$1:$I$89,3,0)*0.475*44/12</f>
        <v>0.53555686533520408</v>
      </c>
      <c r="AC125" s="22">
        <f t="shared" si="57"/>
        <v>58.954745301245545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268.00000000000011</v>
      </c>
      <c r="AJ125" s="13">
        <f>AI125*VLOOKUP('Données projet'!$B$10,Paramètres!$A$1:$I$89,3,0)*VLOOKUP('Données projet'!$B$10,Paramètres!$A$1:$I$89,5,0)</f>
        <v>271.75200000000012</v>
      </c>
      <c r="AK125" s="13">
        <f t="shared" si="89"/>
        <v>65.220947824724988</v>
      </c>
      <c r="AL125" s="20">
        <f t="shared" si="58"/>
        <v>586.89455079472953</v>
      </c>
      <c r="AM125" s="59">
        <f t="shared" si="59"/>
        <v>880.2278841280629</v>
      </c>
      <c r="AN125" s="59">
        <f ca="1">AVERAGE(OFFSET($AM$3,0,0,'Données projet'!$E$10+1,1))-AVERAGE(OFFSET($H$3,0,0,'Données projet'!$E$10+1,1))</f>
        <v>298.68533387773886</v>
      </c>
      <c r="AO125" s="59">
        <f t="shared" si="90"/>
        <v>176.04868734496114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62.847449659601708</v>
      </c>
      <c r="AV125" s="21">
        <f>EXP(-LN(2)/25)*AV124+(1-EXP(-LN(2)/25))/(LN(2)/25)*Calculateur!AQ125*Calculateur!AS125*VLOOKUP('Données projet'!$B$10,Paramètres!$A$1:$I$89,3,0)*0.475*44/12</f>
        <v>2.6223304840909427</v>
      </c>
      <c r="AW125" s="21">
        <f>EXP(-LN(2)/2)*AW124+(1-EXP(-LN(2)/2))/(LN(2)/2)*AQ125*AT125*VLOOKUP('Données projet'!$B$10,Paramètres!$A$1:$I$89,3,0)*0.475*44/12</f>
        <v>0.60019303873772878</v>
      </c>
      <c r="AX125" s="21">
        <f t="shared" si="60"/>
        <v>66.069973182430374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-5.999999999994543E-2</v>
      </c>
      <c r="BE125" s="13">
        <f>BD125*VLOOKUP('Données projet'!$B$11,Paramètres!$A$1:$I$89,3,0)*VLOOKUP('Données projet'!$B$11,Paramètres!$A$1:$I$89,5,0)</f>
        <v>-2.8079999999974462E-2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83.62456509032836</v>
      </c>
      <c r="BJ125" s="59">
        <f t="shared" si="92"/>
        <v>131.53128089847871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21.359313517264411</v>
      </c>
      <c r="BQ125" s="21">
        <f>EXP(-LN(2)/25)*BQ124+(1-EXP(-LN(2)/25))/(LN(2)/25)*Calculateur!BL125*Calculateur!BN125*VLOOKUP('Données projet'!$B$11,Paramètres!$A$1:$I$89,3,0)*0.475*44/12</f>
        <v>5.9467223821403126</v>
      </c>
      <c r="BR125" s="21">
        <f>EXP(-LN(2)/2)*BR124+(1-EXP(-LN(2)/2))/(LN(2)/2)*BL125*BO125*VLOOKUP('Données projet'!$B$11,Paramètres!$A$1:$I$89,3,0)*0.475*44/12</f>
        <v>2.0207294846517307E-8</v>
      </c>
      <c r="BS125" s="22">
        <f t="shared" si="63"/>
        <v>27.306035919612018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925.00000000000034</v>
      </c>
      <c r="BZ125" s="13">
        <f>BY125*VLOOKUP('Données projet'!$B$12,Paramètres!$A$1:$I$89,3,0)*VLOOKUP('Données projet'!$B$12,Paramètres!$A$1:$I$89,5,0)</f>
        <v>408.85000000000014</v>
      </c>
      <c r="CA125" s="13">
        <f t="shared" si="93"/>
        <v>93.568575358321141</v>
      </c>
      <c r="CB125" s="20">
        <f t="shared" si="64"/>
        <v>875.04568541574281</v>
      </c>
      <c r="CC125" s="59">
        <f t="shared" si="65"/>
        <v>1168.3790187490761</v>
      </c>
      <c r="CD125" s="59">
        <f ca="1">AVERAGE(OFFSET($CC$3,0,0,'Données projet'!$E$12+1,1))-AVERAGE(OFFSET($H$3,0,0,'Données projet'!$E$12+1,1))</f>
        <v>415.83983761562189</v>
      </c>
      <c r="CE125" s="59">
        <f t="shared" si="94"/>
        <v>339.37869344688829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29.76771912207661</v>
      </c>
      <c r="CL125" s="21">
        <f>EXP(-LN(2)/25)*CL124+(1-EXP(-LN(2)/25))/(LN(2)/25)*Calculateur!CG125*Calculateur!CI125*VLOOKUP('Données projet'!$B$12,Paramètres!$A$1:$I$89,3,0)*0.475*44/12</f>
        <v>9.1523807153598824</v>
      </c>
      <c r="CM125" s="21">
        <f>EXP(-LN(2)/2)*CM124+(1-EXP(-LN(2)/2))/(LN(2)/2)*CG125*CJ125*VLOOKUP('Données projet'!$B$12,Paramètres!$A$1:$I$89,3,0)*0.475*44/12</f>
        <v>1.1695284920733168E-6</v>
      </c>
      <c r="CN125" s="22">
        <f t="shared" si="66"/>
        <v>38.920101006964991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268.00000000000011</v>
      </c>
      <c r="O126" s="13">
        <f>N126*VLOOKUP('Données projet'!$B$9,Paramètres!$A$1:$I$89,3,0)*VLOOKUP('Données projet'!$B$9,Paramètres!$A$1:$I$89,5,0)</f>
        <v>242.48640000000009</v>
      </c>
      <c r="P126" s="13">
        <f t="shared" si="87"/>
        <v>58.974170235372476</v>
      </c>
      <c r="Q126" s="20">
        <f t="shared" si="107"/>
        <v>525.04382649327385</v>
      </c>
      <c r="R126" s="59">
        <f t="shared" si="55"/>
        <v>818.37715982660711</v>
      </c>
      <c r="S126" s="59">
        <f ca="1">AVERAGE(OFFSET($R$3,0,0,'Données projet'!$E$9+1,1))-AVERAGE(OFFSET($H$3,0,0,'Données projet'!$E$9+1,1))</f>
        <v>258.68215148478868</v>
      </c>
      <c r="T126" s="59">
        <f t="shared" si="88"/>
        <v>153.16792125610209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54.979582635173749</v>
      </c>
      <c r="AA126" s="21">
        <f>EXP(-LN(2)/25)*AA125+(1-EXP(-LN(2)/25))/(LN(2)/25)*Calculateur!V126*Calculateur!X126*VLOOKUP('Données projet'!$B$9,Paramètres!$A$1:$I$89,3,0)*0.475*44/12</f>
        <v>2.2759402724286812</v>
      </c>
      <c r="AB126" s="21">
        <f>EXP(-LN(2)/2)*AB125+(1-EXP(-LN(2)/2))/(LN(2)/2)*V126*Y126*VLOOKUP('Données projet'!$B$9,Paramètres!$A$1:$I$89,3,0)*0.475*44/12</f>
        <v>0.37869589118953345</v>
      </c>
      <c r="AC126" s="22">
        <f t="shared" si="57"/>
        <v>57.63421879879197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268.00000000000011</v>
      </c>
      <c r="AJ126" s="13">
        <f>AI126*VLOOKUP('Données projet'!$B$10,Paramètres!$A$1:$I$89,3,0)*VLOOKUP('Données projet'!$B$10,Paramètres!$A$1:$I$89,5,0)</f>
        <v>271.75200000000012</v>
      </c>
      <c r="AK126" s="13">
        <f t="shared" si="89"/>
        <v>65.220947824724988</v>
      </c>
      <c r="AL126" s="20">
        <f t="shared" si="58"/>
        <v>586.89455079472953</v>
      </c>
      <c r="AM126" s="59">
        <f t="shared" si="59"/>
        <v>880.2278841280629</v>
      </c>
      <c r="AN126" s="59">
        <f ca="1">AVERAGE(OFFSET($AM$3,0,0,'Données projet'!$E$10+1,1))-AVERAGE(OFFSET($H$3,0,0,'Données projet'!$E$10+1,1))</f>
        <v>298.68533387773886</v>
      </c>
      <c r="AO126" s="59">
        <f t="shared" si="90"/>
        <v>176.04868734496114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61.615049504936124</v>
      </c>
      <c r="AV126" s="21">
        <f>EXP(-LN(2)/25)*AV125+(1-EXP(-LN(2)/25))/(LN(2)/25)*Calculateur!AQ126*Calculateur!AS126*VLOOKUP('Données projet'!$B$10,Paramètres!$A$1:$I$89,3,0)*0.475*44/12</f>
        <v>2.550622719101109</v>
      </c>
      <c r="AW126" s="21">
        <f>EXP(-LN(2)/2)*AW125+(1-EXP(-LN(2)/2))/(LN(2)/2)*AQ126*AT126*VLOOKUP('Données projet'!$B$10,Paramètres!$A$1:$I$89,3,0)*0.475*44/12</f>
        <v>0.42440056771240825</v>
      </c>
      <c r="AX126" s="21">
        <f t="shared" si="60"/>
        <v>64.590072791749648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-5.999999999994543E-2</v>
      </c>
      <c r="BE126" s="13">
        <f>BD126*VLOOKUP('Données projet'!$B$11,Paramètres!$A$1:$I$89,3,0)*VLOOKUP('Données projet'!$B$11,Paramètres!$A$1:$I$89,5,0)</f>
        <v>-2.8079999999974462E-2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83.62456509032836</v>
      </c>
      <c r="BJ126" s="59">
        <f t="shared" si="92"/>
        <v>131.53128089847871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20.940470407085705</v>
      </c>
      <c r="BQ126" s="21">
        <f>EXP(-LN(2)/25)*BQ125+(1-EXP(-LN(2)/25))/(LN(2)/25)*Calculateur!BL126*Calculateur!BN126*VLOOKUP('Données projet'!$B$11,Paramètres!$A$1:$I$89,3,0)*0.475*44/12</f>
        <v>5.784108945876147</v>
      </c>
      <c r="BR126" s="21">
        <f>EXP(-LN(2)/2)*BR125+(1-EXP(-LN(2)/2))/(LN(2)/2)*BL126*BO126*VLOOKUP('Données projet'!$B$11,Paramètres!$A$1:$I$89,3,0)*0.475*44/12</f>
        <v>1.4288715215408365E-8</v>
      </c>
      <c r="BS126" s="22">
        <f t="shared" si="63"/>
        <v>26.72457936725057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925.00000000000034</v>
      </c>
      <c r="BZ126" s="13">
        <f>BY126*VLOOKUP('Données projet'!$B$12,Paramètres!$A$1:$I$89,3,0)*VLOOKUP('Données projet'!$B$12,Paramètres!$A$1:$I$89,5,0)</f>
        <v>408.85000000000014</v>
      </c>
      <c r="CA126" s="13">
        <f t="shared" si="93"/>
        <v>93.568575358321141</v>
      </c>
      <c r="CB126" s="20">
        <f t="shared" si="64"/>
        <v>875.04568541574281</v>
      </c>
      <c r="CC126" s="59">
        <f t="shared" si="65"/>
        <v>1168.3790187490761</v>
      </c>
      <c r="CD126" s="59">
        <f ca="1">AVERAGE(OFFSET($CC$3,0,0,'Données projet'!$E$12+1,1))-AVERAGE(OFFSET($H$3,0,0,'Données projet'!$E$12+1,1))</f>
        <v>415.83983761562189</v>
      </c>
      <c r="CE126" s="59">
        <f t="shared" si="94"/>
        <v>339.37869344688829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29.183992306608545</v>
      </c>
      <c r="CL126" s="21">
        <f>EXP(-LN(2)/25)*CL125+(1-EXP(-LN(2)/25))/(LN(2)/25)*Calculateur!CG126*Calculateur!CI126*VLOOKUP('Données projet'!$B$12,Paramètres!$A$1:$I$89,3,0)*0.475*44/12</f>
        <v>8.9021083833955821</v>
      </c>
      <c r="CM126" s="21">
        <f>EXP(-LN(2)/2)*CM125+(1-EXP(-LN(2)/2))/(LN(2)/2)*CG126*CJ126*VLOOKUP('Données projet'!$B$12,Paramètres!$A$1:$I$89,3,0)*0.475*44/12</f>
        <v>8.2698152753591975E-7</v>
      </c>
      <c r="CN126" s="22">
        <f t="shared" si="66"/>
        <v>38.086101516985657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268.00000000000011</v>
      </c>
      <c r="O127" s="13">
        <f>N127*VLOOKUP('Données projet'!$B$9,Paramètres!$A$1:$I$89,3,0)*VLOOKUP('Données projet'!$B$9,Paramètres!$A$1:$I$89,5,0)</f>
        <v>242.48640000000009</v>
      </c>
      <c r="P127" s="13">
        <f t="shared" si="87"/>
        <v>58.974170235372476</v>
      </c>
      <c r="Q127" s="20">
        <f t="shared" si="107"/>
        <v>525.04382649327385</v>
      </c>
      <c r="R127" s="59">
        <f t="shared" si="55"/>
        <v>818.37715982660711</v>
      </c>
      <c r="S127" s="59">
        <f ca="1">AVERAGE(OFFSET($R$3,0,0,'Données projet'!$E$9+1,1))-AVERAGE(OFFSET($H$3,0,0,'Données projet'!$E$9+1,1))</f>
        <v>258.68215148478868</v>
      </c>
      <c r="T127" s="59">
        <f t="shared" si="88"/>
        <v>153.16792125610209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53.901466553932167</v>
      </c>
      <c r="AA127" s="21">
        <f>EXP(-LN(2)/25)*AA126+(1-EXP(-LN(2)/25))/(LN(2)/25)*Calculateur!V127*Calculateur!X127*VLOOKUP('Données projet'!$B$9,Paramètres!$A$1:$I$89,3,0)*0.475*44/12</f>
        <v>2.2137045659926216</v>
      </c>
      <c r="AB127" s="21">
        <f>EXP(-LN(2)/2)*AB126+(1-EXP(-LN(2)/2))/(LN(2)/2)*V127*Y127*VLOOKUP('Données projet'!$B$9,Paramètres!$A$1:$I$89,3,0)*0.475*44/12</f>
        <v>0.26777843266760204</v>
      </c>
      <c r="AC127" s="22">
        <f t="shared" si="57"/>
        <v>56.382949552592393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268.00000000000011</v>
      </c>
      <c r="AJ127" s="13">
        <f>AI127*VLOOKUP('Données projet'!$B$10,Paramètres!$A$1:$I$89,3,0)*VLOOKUP('Données projet'!$B$10,Paramètres!$A$1:$I$89,5,0)</f>
        <v>271.75200000000012</v>
      </c>
      <c r="AK127" s="13">
        <f t="shared" si="89"/>
        <v>65.220947824724988</v>
      </c>
      <c r="AL127" s="20">
        <f t="shared" si="58"/>
        <v>586.89455079472953</v>
      </c>
      <c r="AM127" s="59">
        <f t="shared" si="59"/>
        <v>880.2278841280629</v>
      </c>
      <c r="AN127" s="59">
        <f ca="1">AVERAGE(OFFSET($AM$3,0,0,'Données projet'!$E$10+1,1))-AVERAGE(OFFSET($H$3,0,0,'Données projet'!$E$10+1,1))</f>
        <v>298.68533387773886</v>
      </c>
      <c r="AO127" s="59">
        <f t="shared" si="90"/>
        <v>176.04868734496114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60.40681596561366</v>
      </c>
      <c r="AV127" s="21">
        <f>EXP(-LN(2)/25)*AV126+(1-EXP(-LN(2)/25))/(LN(2)/25)*Calculateur!AQ127*Calculateur!AS127*VLOOKUP('Données projet'!$B$10,Paramètres!$A$1:$I$89,3,0)*0.475*44/12</f>
        <v>2.4808758067158698</v>
      </c>
      <c r="AW127" s="21">
        <f>EXP(-LN(2)/2)*AW126+(1-EXP(-LN(2)/2))/(LN(2)/2)*AQ127*AT127*VLOOKUP('Données projet'!$B$10,Paramètres!$A$1:$I$89,3,0)*0.475*44/12</f>
        <v>0.30009651936886445</v>
      </c>
      <c r="AX127" s="21">
        <f t="shared" si="60"/>
        <v>63.187788291698396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-5.999999999994543E-2</v>
      </c>
      <c r="BE127" s="13">
        <f>BD127*VLOOKUP('Données projet'!$B$11,Paramètres!$A$1:$I$89,3,0)*VLOOKUP('Données projet'!$B$11,Paramètres!$A$1:$I$89,5,0)</f>
        <v>-2.8079999999974462E-2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83.62456509032836</v>
      </c>
      <c r="BJ127" s="59">
        <f t="shared" si="92"/>
        <v>131.53128089847871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20.529840554828532</v>
      </c>
      <c r="BQ127" s="21">
        <f>EXP(-LN(2)/25)*BQ126+(1-EXP(-LN(2)/25))/(LN(2)/25)*Calculateur!BL127*Calculateur!BN127*VLOOKUP('Données projet'!$B$11,Paramètres!$A$1:$I$89,3,0)*0.475*44/12</f>
        <v>5.6259421825780942</v>
      </c>
      <c r="BR127" s="21">
        <f>EXP(-LN(2)/2)*BR126+(1-EXP(-LN(2)/2))/(LN(2)/2)*BL127*BO127*VLOOKUP('Données projet'!$B$11,Paramètres!$A$1:$I$89,3,0)*0.475*44/12</f>
        <v>1.0103647423258655E-8</v>
      </c>
      <c r="BS127" s="22">
        <f t="shared" si="63"/>
        <v>26.155782747510273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925.00000000000034</v>
      </c>
      <c r="BZ127" s="13">
        <f>BY127*VLOOKUP('Données projet'!$B$12,Paramètres!$A$1:$I$89,3,0)*VLOOKUP('Données projet'!$B$12,Paramètres!$A$1:$I$89,5,0)</f>
        <v>408.85000000000014</v>
      </c>
      <c r="CA127" s="13">
        <f t="shared" si="93"/>
        <v>93.568575358321141</v>
      </c>
      <c r="CB127" s="20">
        <f t="shared" si="64"/>
        <v>875.04568541574281</v>
      </c>
      <c r="CC127" s="59">
        <f t="shared" si="65"/>
        <v>1168.3790187490761</v>
      </c>
      <c r="CD127" s="59">
        <f ca="1">AVERAGE(OFFSET($CC$3,0,0,'Données projet'!$E$12+1,1))-AVERAGE(OFFSET($H$3,0,0,'Données projet'!$E$12+1,1))</f>
        <v>415.83983761562189</v>
      </c>
      <c r="CE127" s="59">
        <f t="shared" si="94"/>
        <v>339.37869344688829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28.611712017953607</v>
      </c>
      <c r="CL127" s="21">
        <f>EXP(-LN(2)/25)*CL126+(1-EXP(-LN(2)/25))/(LN(2)/25)*Calculateur!CG127*Calculateur!CI127*VLOOKUP('Données projet'!$B$12,Paramètres!$A$1:$I$89,3,0)*0.475*44/12</f>
        <v>8.6586797615100952</v>
      </c>
      <c r="CM127" s="21">
        <f>EXP(-LN(2)/2)*CM126+(1-EXP(-LN(2)/2))/(LN(2)/2)*CG127*CJ127*VLOOKUP('Données projet'!$B$12,Paramètres!$A$1:$I$89,3,0)*0.475*44/12</f>
        <v>5.8476424603665842E-7</v>
      </c>
      <c r="CN127" s="22">
        <f t="shared" si="66"/>
        <v>37.270392364227945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268.00000000000011</v>
      </c>
      <c r="O128" s="13">
        <f>N128*VLOOKUP('Données projet'!$B$9,Paramètres!$A$1:$I$89,3,0)*VLOOKUP('Données projet'!$B$9,Paramètres!$A$1:$I$89,5,0)</f>
        <v>242.48640000000009</v>
      </c>
      <c r="P128" s="13">
        <f t="shared" si="87"/>
        <v>58.974170235372476</v>
      </c>
      <c r="Q128" s="20">
        <f t="shared" si="107"/>
        <v>525.04382649327385</v>
      </c>
      <c r="R128" s="59">
        <f t="shared" si="55"/>
        <v>818.37715982660711</v>
      </c>
      <c r="S128" s="59">
        <f ca="1">AVERAGE(OFFSET($R$3,0,0,'Données projet'!$E$9+1,1))-AVERAGE(OFFSET($H$3,0,0,'Données projet'!$E$9+1,1))</f>
        <v>258.68215148478868</v>
      </c>
      <c r="T128" s="59">
        <f t="shared" si="88"/>
        <v>153.16792125610209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52.844491671457853</v>
      </c>
      <c r="AA128" s="21">
        <f>EXP(-LN(2)/25)*AA127+(1-EXP(-LN(2)/25))/(LN(2)/25)*Calculateur!V128*Calculateur!X128*VLOOKUP('Données projet'!$B$9,Paramètres!$A$1:$I$89,3,0)*0.475*44/12</f>
        <v>2.1531706982218899</v>
      </c>
      <c r="AB128" s="21">
        <f>EXP(-LN(2)/2)*AB127+(1-EXP(-LN(2)/2))/(LN(2)/2)*V128*Y128*VLOOKUP('Données projet'!$B$9,Paramètres!$A$1:$I$89,3,0)*0.475*44/12</f>
        <v>0.18934794559476673</v>
      </c>
      <c r="AC128" s="22">
        <f t="shared" si="57"/>
        <v>55.187010315274513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268.00000000000011</v>
      </c>
      <c r="AJ128" s="13">
        <f>AI128*VLOOKUP('Données projet'!$B$10,Paramètres!$A$1:$I$89,3,0)*VLOOKUP('Données projet'!$B$10,Paramètres!$A$1:$I$89,5,0)</f>
        <v>271.75200000000012</v>
      </c>
      <c r="AK128" s="13">
        <f t="shared" si="89"/>
        <v>65.220947824724988</v>
      </c>
      <c r="AL128" s="20">
        <f t="shared" si="58"/>
        <v>586.89455079472953</v>
      </c>
      <c r="AM128" s="59">
        <f t="shared" si="59"/>
        <v>880.2278841280629</v>
      </c>
      <c r="AN128" s="59">
        <f ca="1">AVERAGE(OFFSET($AM$3,0,0,'Données projet'!$E$10+1,1))-AVERAGE(OFFSET($H$3,0,0,'Données projet'!$E$10+1,1))</f>
        <v>298.68533387773886</v>
      </c>
      <c r="AO128" s="59">
        <f t="shared" si="90"/>
        <v>176.04868734496114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59.222275149047618</v>
      </c>
      <c r="AV128" s="21">
        <f>EXP(-LN(2)/25)*AV127+(1-EXP(-LN(2)/25))/(LN(2)/25)*Calculateur!AQ128*Calculateur!AS128*VLOOKUP('Données projet'!$B$10,Paramètres!$A$1:$I$89,3,0)*0.475*44/12</f>
        <v>2.4130361273176359</v>
      </c>
      <c r="AW128" s="21">
        <f>EXP(-LN(2)/2)*AW127+(1-EXP(-LN(2)/2))/(LN(2)/2)*AQ128*AT128*VLOOKUP('Données projet'!$B$10,Paramètres!$A$1:$I$89,3,0)*0.475*44/12</f>
        <v>0.21220028385620418</v>
      </c>
      <c r="AX128" s="21">
        <f t="shared" si="60"/>
        <v>61.847511560221463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-5.999999999994543E-2</v>
      </c>
      <c r="BE128" s="13">
        <f>BD128*VLOOKUP('Données projet'!$B$11,Paramètres!$A$1:$I$89,3,0)*VLOOKUP('Données projet'!$B$11,Paramètres!$A$1:$I$89,5,0)</f>
        <v>-2.8079999999974462E-2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83.62456509032836</v>
      </c>
      <c r="BJ128" s="59">
        <f t="shared" si="92"/>
        <v>131.53128089847871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20.127262903514641</v>
      </c>
      <c r="BQ128" s="21">
        <f>EXP(-LN(2)/25)*BQ127+(1-EXP(-LN(2)/25))/(LN(2)/25)*Calculateur!BL128*Calculateur!BN128*VLOOKUP('Données projet'!$B$11,Paramètres!$A$1:$I$89,3,0)*0.475*44/12</f>
        <v>5.4721004977400547</v>
      </c>
      <c r="BR128" s="21">
        <f>EXP(-LN(2)/2)*BR127+(1-EXP(-LN(2)/2))/(LN(2)/2)*BL128*BO128*VLOOKUP('Données projet'!$B$11,Paramètres!$A$1:$I$89,3,0)*0.475*44/12</f>
        <v>7.1443576077041832E-9</v>
      </c>
      <c r="BS128" s="22">
        <f t="shared" si="63"/>
        <v>25.599363408399054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925.00000000000034</v>
      </c>
      <c r="BZ128" s="13">
        <f>BY128*VLOOKUP('Données projet'!$B$12,Paramètres!$A$1:$I$89,3,0)*VLOOKUP('Données projet'!$B$12,Paramètres!$A$1:$I$89,5,0)</f>
        <v>408.85000000000014</v>
      </c>
      <c r="CA128" s="13">
        <f t="shared" si="93"/>
        <v>93.568575358321141</v>
      </c>
      <c r="CB128" s="20">
        <f t="shared" si="64"/>
        <v>875.04568541574281</v>
      </c>
      <c r="CC128" s="59">
        <f t="shared" si="65"/>
        <v>1168.3790187490761</v>
      </c>
      <c r="CD128" s="59">
        <f ca="1">AVERAGE(OFFSET($CC$3,0,0,'Données projet'!$E$12+1,1))-AVERAGE(OFFSET($H$3,0,0,'Données projet'!$E$12+1,1))</f>
        <v>415.83983761562189</v>
      </c>
      <c r="CE128" s="59">
        <f t="shared" si="94"/>
        <v>339.37869344688829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28.050653796702683</v>
      </c>
      <c r="CL128" s="21">
        <f>EXP(-LN(2)/25)*CL127+(1-EXP(-LN(2)/25))/(LN(2)/25)*Calculateur!CG128*Calculateur!CI128*VLOOKUP('Données projet'!$B$12,Paramètres!$A$1:$I$89,3,0)*0.475*44/12</f>
        <v>8.4219077080914229</v>
      </c>
      <c r="CM128" s="21">
        <f>EXP(-LN(2)/2)*CM127+(1-EXP(-LN(2)/2))/(LN(2)/2)*CG128*CJ128*VLOOKUP('Données projet'!$B$12,Paramètres!$A$1:$I$89,3,0)*0.475*44/12</f>
        <v>4.1349076376795987E-7</v>
      </c>
      <c r="CN128" s="22">
        <f t="shared" si="66"/>
        <v>36.472561918284875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268.00000000000011</v>
      </c>
      <c r="O129" s="13">
        <f>N129*VLOOKUP('Données projet'!$B$9,Paramètres!$A$1:$I$89,3,0)*VLOOKUP('Données projet'!$B$9,Paramètres!$A$1:$I$89,5,0)</f>
        <v>242.48640000000009</v>
      </c>
      <c r="P129" s="13">
        <f t="shared" si="87"/>
        <v>58.974170235372476</v>
      </c>
      <c r="Q129" s="20">
        <f t="shared" si="107"/>
        <v>525.04382649327385</v>
      </c>
      <c r="R129" s="59">
        <f t="shared" si="55"/>
        <v>818.37715982660711</v>
      </c>
      <c r="S129" s="59">
        <f ca="1">AVERAGE(OFFSET($R$3,0,0,'Données projet'!$E$9+1,1))-AVERAGE(OFFSET($H$3,0,0,'Données projet'!$E$9+1,1))</f>
        <v>258.68215148478868</v>
      </c>
      <c r="T129" s="59">
        <f t="shared" si="88"/>
        <v>153.16792125610209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51.808243421737842</v>
      </c>
      <c r="AA129" s="21">
        <f>EXP(-LN(2)/25)*AA128+(1-EXP(-LN(2)/25))/(LN(2)/25)*Calculateur!V129*Calculateur!X129*VLOOKUP('Données projet'!$B$9,Paramètres!$A$1:$I$89,3,0)*0.475*44/12</f>
        <v>2.0942921322486865</v>
      </c>
      <c r="AB129" s="21">
        <f>EXP(-LN(2)/2)*AB128+(1-EXP(-LN(2)/2))/(LN(2)/2)*V129*Y129*VLOOKUP('Données projet'!$B$9,Paramètres!$A$1:$I$89,3,0)*0.475*44/12</f>
        <v>0.13388921633380102</v>
      </c>
      <c r="AC129" s="22">
        <f t="shared" si="57"/>
        <v>54.03642477032033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268.00000000000011</v>
      </c>
      <c r="AJ129" s="13">
        <f>AI129*VLOOKUP('Données projet'!$B$10,Paramètres!$A$1:$I$89,3,0)*VLOOKUP('Données projet'!$B$10,Paramètres!$A$1:$I$89,5,0)</f>
        <v>271.75200000000012</v>
      </c>
      <c r="AK129" s="13">
        <f t="shared" si="89"/>
        <v>65.220947824724988</v>
      </c>
      <c r="AL129" s="20">
        <f t="shared" si="58"/>
        <v>586.89455079472953</v>
      </c>
      <c r="AM129" s="59">
        <f t="shared" si="59"/>
        <v>880.2278841280629</v>
      </c>
      <c r="AN129" s="59">
        <f ca="1">AVERAGE(OFFSET($AM$3,0,0,'Données projet'!$E$10+1,1))-AVERAGE(OFFSET($H$3,0,0,'Données projet'!$E$10+1,1))</f>
        <v>298.68533387773886</v>
      </c>
      <c r="AO129" s="59">
        <f t="shared" si="90"/>
        <v>176.04868734496114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58.060962455395881</v>
      </c>
      <c r="AV129" s="21">
        <f>EXP(-LN(2)/25)*AV128+(1-EXP(-LN(2)/25))/(LN(2)/25)*Calculateur!AQ129*Calculateur!AS129*VLOOKUP('Données projet'!$B$10,Paramètres!$A$1:$I$89,3,0)*0.475*44/12</f>
        <v>2.3470515275200805</v>
      </c>
      <c r="AW129" s="21">
        <f>EXP(-LN(2)/2)*AW128+(1-EXP(-LN(2)/2))/(LN(2)/2)*AQ129*AT129*VLOOKUP('Données projet'!$B$10,Paramètres!$A$1:$I$89,3,0)*0.475*44/12</f>
        <v>0.15004825968443225</v>
      </c>
      <c r="AX129" s="21">
        <f t="shared" si="60"/>
        <v>60.558062242600393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-5.999999999994543E-2</v>
      </c>
      <c r="BE129" s="13">
        <f>BD129*VLOOKUP('Données projet'!$B$11,Paramètres!$A$1:$I$89,3,0)*VLOOKUP('Données projet'!$B$11,Paramètres!$A$1:$I$89,5,0)</f>
        <v>-2.8079999999974462E-2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83.62456509032836</v>
      </c>
      <c r="BJ129" s="59">
        <f t="shared" si="92"/>
        <v>131.53128089847871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19.732579554394896</v>
      </c>
      <c r="BQ129" s="21">
        <f>EXP(-LN(2)/25)*BQ128+(1-EXP(-LN(2)/25))/(LN(2)/25)*Calculateur!BL129*Calculateur!BN129*VLOOKUP('Données projet'!$B$11,Paramètres!$A$1:$I$89,3,0)*0.475*44/12</f>
        <v>5.3224656218640947</v>
      </c>
      <c r="BR129" s="21">
        <f>EXP(-LN(2)/2)*BR128+(1-EXP(-LN(2)/2))/(LN(2)/2)*BL129*BO129*VLOOKUP('Données projet'!$B$11,Paramètres!$A$1:$I$89,3,0)*0.475*44/12</f>
        <v>5.0518237116293285E-9</v>
      </c>
      <c r="BS129" s="22">
        <f t="shared" si="63"/>
        <v>25.055045181310813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925.00000000000034</v>
      </c>
      <c r="BZ129" s="13">
        <f>BY129*VLOOKUP('Données projet'!$B$12,Paramètres!$A$1:$I$89,3,0)*VLOOKUP('Données projet'!$B$12,Paramètres!$A$1:$I$89,5,0)</f>
        <v>408.85000000000014</v>
      </c>
      <c r="CA129" s="13">
        <f t="shared" si="93"/>
        <v>93.568575358321141</v>
      </c>
      <c r="CB129" s="20">
        <f t="shared" si="64"/>
        <v>875.04568541574281</v>
      </c>
      <c r="CC129" s="59">
        <f t="shared" si="65"/>
        <v>1168.3790187490761</v>
      </c>
      <c r="CD129" s="59">
        <f ca="1">AVERAGE(OFFSET($CC$3,0,0,'Données projet'!$E$12+1,1))-AVERAGE(OFFSET($H$3,0,0,'Données projet'!$E$12+1,1))</f>
        <v>415.83983761562189</v>
      </c>
      <c r="CE129" s="59">
        <f t="shared" si="94"/>
        <v>339.37869344688829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27.500597584958765</v>
      </c>
      <c r="CL129" s="21">
        <f>EXP(-LN(2)/25)*CL128+(1-EXP(-LN(2)/25))/(LN(2)/25)*Calculateur!CG129*Calculateur!CI129*VLOOKUP('Données projet'!$B$12,Paramètres!$A$1:$I$89,3,0)*0.475*44/12</f>
        <v>8.1916101989247849</v>
      </c>
      <c r="CM129" s="21">
        <f>EXP(-LN(2)/2)*CM128+(1-EXP(-LN(2)/2))/(LN(2)/2)*CG129*CJ129*VLOOKUP('Données projet'!$B$12,Paramètres!$A$1:$I$89,3,0)*0.475*44/12</f>
        <v>2.9238212301832921E-7</v>
      </c>
      <c r="CN129" s="22">
        <f t="shared" si="66"/>
        <v>35.692208076265672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268.00000000000011</v>
      </c>
      <c r="O130" s="13">
        <f>N130*VLOOKUP('Données projet'!$B$9,Paramètres!$A$1:$I$89,3,0)*VLOOKUP('Données projet'!$B$9,Paramètres!$A$1:$I$89,5,0)</f>
        <v>242.48640000000009</v>
      </c>
      <c r="P130" s="13">
        <f t="shared" si="87"/>
        <v>58.974170235372476</v>
      </c>
      <c r="Q130" s="20">
        <f t="shared" si="107"/>
        <v>525.04382649327385</v>
      </c>
      <c r="R130" s="59">
        <f t="shared" si="55"/>
        <v>818.37715982660711</v>
      </c>
      <c r="S130" s="59">
        <f ca="1">AVERAGE(OFFSET($R$3,0,0,'Données projet'!$E$9+1,1))-AVERAGE(OFFSET($H$3,0,0,'Données projet'!$E$9+1,1))</f>
        <v>258.68215148478868</v>
      </c>
      <c r="T130" s="59">
        <f t="shared" si="88"/>
        <v>153.16792125610209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50.792315368145822</v>
      </c>
      <c r="AA130" s="21">
        <f>EXP(-LN(2)/25)*AA129+(1-EXP(-LN(2)/25))/(LN(2)/25)*Calculateur!V130*Calculateur!X130*VLOOKUP('Données projet'!$B$9,Paramètres!$A$1:$I$89,3,0)*0.475*44/12</f>
        <v>2.0370236037583096</v>
      </c>
      <c r="AB130" s="21">
        <f>EXP(-LN(2)/2)*AB129+(1-EXP(-LN(2)/2))/(LN(2)/2)*V130*Y130*VLOOKUP('Données projet'!$B$9,Paramètres!$A$1:$I$89,3,0)*0.475*44/12</f>
        <v>9.4673972797383363E-2</v>
      </c>
      <c r="AC130" s="22">
        <f t="shared" si="57"/>
        <v>52.924012944701509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268.00000000000011</v>
      </c>
      <c r="AJ130" s="13">
        <f>AI130*VLOOKUP('Données projet'!$B$10,Paramètres!$A$1:$I$89,3,0)*VLOOKUP('Données projet'!$B$10,Paramètres!$A$1:$I$89,5,0)</f>
        <v>271.75200000000012</v>
      </c>
      <c r="AK130" s="13">
        <f t="shared" si="89"/>
        <v>65.220947824724988</v>
      </c>
      <c r="AL130" s="20">
        <f t="shared" si="58"/>
        <v>586.89455079472953</v>
      </c>
      <c r="AM130" s="59">
        <f t="shared" si="59"/>
        <v>880.2278841280629</v>
      </c>
      <c r="AN130" s="59">
        <f ca="1">AVERAGE(OFFSET($AM$3,0,0,'Données projet'!$E$10+1,1))-AVERAGE(OFFSET($H$3,0,0,'Données projet'!$E$10+1,1))</f>
        <v>298.68533387773886</v>
      </c>
      <c r="AO130" s="59">
        <f t="shared" si="90"/>
        <v>176.04868734496114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56.922422395335857</v>
      </c>
      <c r="AV130" s="21">
        <f>EXP(-LN(2)/25)*AV129+(1-EXP(-LN(2)/25))/(LN(2)/25)*Calculateur!AQ130*Calculateur!AS130*VLOOKUP('Données projet'!$B$10,Paramètres!$A$1:$I$89,3,0)*0.475*44/12</f>
        <v>2.2828712800739681</v>
      </c>
      <c r="AW130" s="21">
        <f>EXP(-LN(2)/2)*AW129+(1-EXP(-LN(2)/2))/(LN(2)/2)*AQ130*AT130*VLOOKUP('Données projet'!$B$10,Paramètres!$A$1:$I$89,3,0)*0.475*44/12</f>
        <v>0.1061001419281021</v>
      </c>
      <c r="AX130" s="21">
        <f t="shared" si="60"/>
        <v>59.31139381733793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-5.999999999994543E-2</v>
      </c>
      <c r="BE130" s="13">
        <f>BD130*VLOOKUP('Données projet'!$B$11,Paramètres!$A$1:$I$89,3,0)*VLOOKUP('Données projet'!$B$11,Paramètres!$A$1:$I$89,5,0)</f>
        <v>-2.8079999999974462E-2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83.62456509032836</v>
      </c>
      <c r="BJ130" s="59">
        <f t="shared" si="92"/>
        <v>131.53128089847871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19.345635705018314</v>
      </c>
      <c r="BQ130" s="21">
        <f>EXP(-LN(2)/25)*BQ129+(1-EXP(-LN(2)/25))/(LN(2)/25)*Calculateur!BL130*Calculateur!BN130*VLOOKUP('Données projet'!$B$11,Paramètres!$A$1:$I$89,3,0)*0.475*44/12</f>
        <v>5.1769225195379187</v>
      </c>
      <c r="BR130" s="21">
        <f>EXP(-LN(2)/2)*BR129+(1-EXP(-LN(2)/2))/(LN(2)/2)*BL130*BO130*VLOOKUP('Données projet'!$B$11,Paramètres!$A$1:$I$89,3,0)*0.475*44/12</f>
        <v>3.572178803852092E-9</v>
      </c>
      <c r="BS130" s="22">
        <f t="shared" si="63"/>
        <v>24.52255822812841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925.00000000000034</v>
      </c>
      <c r="BZ130" s="13">
        <f>BY130*VLOOKUP('Données projet'!$B$12,Paramètres!$A$1:$I$89,3,0)*VLOOKUP('Données projet'!$B$12,Paramètres!$A$1:$I$89,5,0)</f>
        <v>408.85000000000014</v>
      </c>
      <c r="CA130" s="13">
        <f t="shared" si="93"/>
        <v>93.568575358321141</v>
      </c>
      <c r="CB130" s="20">
        <f t="shared" si="64"/>
        <v>875.04568541574281</v>
      </c>
      <c r="CC130" s="59">
        <f t="shared" si="65"/>
        <v>1168.3790187490761</v>
      </c>
      <c r="CD130" s="59">
        <f ca="1">AVERAGE(OFFSET($CC$3,0,0,'Données projet'!$E$12+1,1))-AVERAGE(OFFSET($H$3,0,0,'Données projet'!$E$12+1,1))</f>
        <v>415.83983761562189</v>
      </c>
      <c r="CE130" s="59">
        <f t="shared" si="94"/>
        <v>339.37869344688829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26.961327640025985</v>
      </c>
      <c r="CL130" s="21">
        <f>EXP(-LN(2)/25)*CL129+(1-EXP(-LN(2)/25))/(LN(2)/25)*Calculateur!CG130*Calculateur!CI130*VLOOKUP('Données projet'!$B$12,Paramètres!$A$1:$I$89,3,0)*0.475*44/12</f>
        <v>7.9676101872571286</v>
      </c>
      <c r="CM130" s="21">
        <f>EXP(-LN(2)/2)*CM129+(1-EXP(-LN(2)/2))/(LN(2)/2)*CG130*CJ130*VLOOKUP('Données projet'!$B$12,Paramètres!$A$1:$I$89,3,0)*0.475*44/12</f>
        <v>2.0674538188397994E-7</v>
      </c>
      <c r="CN130" s="22">
        <f t="shared" si="66"/>
        <v>34.928938034028498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268.00000000000011</v>
      </c>
      <c r="O131" s="13">
        <f>N131*VLOOKUP('Données projet'!$B$9,Paramètres!$A$1:$I$89,3,0)*VLOOKUP('Données projet'!$B$9,Paramètres!$A$1:$I$89,5,0)</f>
        <v>242.48640000000009</v>
      </c>
      <c r="P131" s="13">
        <f t="shared" si="87"/>
        <v>58.974170235372476</v>
      </c>
      <c r="Q131" s="20">
        <f t="shared" ref="Q131:Q153" si="108">(O131+P131)*0.475*44/12</f>
        <v>525.04382649327385</v>
      </c>
      <c r="R131" s="59">
        <f t="shared" ref="R131:R194" si="109">Q131+(I131+J131)*44/12</f>
        <v>818.37715982660711</v>
      </c>
      <c r="S131" s="59">
        <f ca="1">AVERAGE(OFFSET($R$3,0,0,'Données projet'!$E$9+1,1))-AVERAGE(OFFSET($H$3,0,0,'Données projet'!$E$9+1,1))</f>
        <v>258.68215148478868</v>
      </c>
      <c r="T131" s="59">
        <f t="shared" si="88"/>
        <v>153.16792125610209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49.796309044029812</v>
      </c>
      <c r="AA131" s="21">
        <f>EXP(-LN(2)/25)*AA130+(1-EXP(-LN(2)/25))/(LN(2)/25)*Calculateur!V131*Calculateur!X131*VLOOKUP('Données projet'!$B$9,Paramètres!$A$1:$I$89,3,0)*0.475*44/12</f>
        <v>1.981321086191123</v>
      </c>
      <c r="AB131" s="21">
        <f>EXP(-LN(2)/2)*AB130+(1-EXP(-LN(2)/2))/(LN(2)/2)*V131*Y131*VLOOKUP('Données projet'!$B$9,Paramètres!$A$1:$I$89,3,0)*0.475*44/12</f>
        <v>6.694460816690051E-2</v>
      </c>
      <c r="AC131" s="22">
        <f t="shared" si="57"/>
        <v>51.844574738387834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268.00000000000011</v>
      </c>
      <c r="AJ131" s="13">
        <f>AI131*VLOOKUP('Données projet'!$B$10,Paramètres!$A$1:$I$89,3,0)*VLOOKUP('Données projet'!$B$10,Paramètres!$A$1:$I$89,5,0)</f>
        <v>271.75200000000012</v>
      </c>
      <c r="AK131" s="13">
        <f t="shared" si="89"/>
        <v>65.220947824724988</v>
      </c>
      <c r="AL131" s="20">
        <f t="shared" si="58"/>
        <v>586.89455079472953</v>
      </c>
      <c r="AM131" s="59">
        <f t="shared" si="59"/>
        <v>880.2278841280629</v>
      </c>
      <c r="AN131" s="59">
        <f ca="1">AVERAGE(OFFSET($AM$3,0,0,'Données projet'!$E$10+1,1))-AVERAGE(OFFSET($H$3,0,0,'Données projet'!$E$10+1,1))</f>
        <v>298.68533387773886</v>
      </c>
      <c r="AO131" s="59">
        <f t="shared" si="90"/>
        <v>176.04868734496114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55.80620841141274</v>
      </c>
      <c r="AV131" s="21">
        <f>EXP(-LN(2)/25)*AV130+(1-EXP(-LN(2)/25))/(LN(2)/25)*Calculateur!AQ131*Calculateur!AS131*VLOOKUP('Données projet'!$B$10,Paramètres!$A$1:$I$89,3,0)*0.475*44/12</f>
        <v>2.2204460448693624</v>
      </c>
      <c r="AW131" s="21">
        <f>EXP(-LN(2)/2)*AW130+(1-EXP(-LN(2)/2))/(LN(2)/2)*AQ131*AT131*VLOOKUP('Données projet'!$B$10,Paramètres!$A$1:$I$89,3,0)*0.475*44/12</f>
        <v>7.5024129842216139E-2</v>
      </c>
      <c r="AX131" s="21">
        <f t="shared" si="60"/>
        <v>58.101678586124322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-5.999999999994543E-2</v>
      </c>
      <c r="BE131" s="13">
        <f>BD131*VLOOKUP('Données projet'!$B$11,Paramètres!$A$1:$I$89,3,0)*VLOOKUP('Données projet'!$B$11,Paramètres!$A$1:$I$89,5,0)</f>
        <v>-2.8079999999974462E-2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83.62456509032836</v>
      </c>
      <c r="BJ131" s="59">
        <f t="shared" si="92"/>
        <v>131.53128089847871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18.966279588515565</v>
      </c>
      <c r="BQ131" s="21">
        <f>EXP(-LN(2)/25)*BQ130+(1-EXP(-LN(2)/25))/(LN(2)/25)*Calculateur!BL131*Calculateur!BN131*VLOOKUP('Données projet'!$B$11,Paramètres!$A$1:$I$89,3,0)*0.475*44/12</f>
        <v>5.035359300998631</v>
      </c>
      <c r="BR131" s="21">
        <f>EXP(-LN(2)/2)*BR130+(1-EXP(-LN(2)/2))/(LN(2)/2)*BL131*BO131*VLOOKUP('Données projet'!$B$11,Paramètres!$A$1:$I$89,3,0)*0.475*44/12</f>
        <v>2.5259118558146647E-9</v>
      </c>
      <c r="BS131" s="22">
        <f t="shared" si="63"/>
        <v>24.001638892040109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925.00000000000034</v>
      </c>
      <c r="BZ131" s="13">
        <f>BY131*VLOOKUP('Données projet'!$B$12,Paramètres!$A$1:$I$89,3,0)*VLOOKUP('Données projet'!$B$12,Paramètres!$A$1:$I$89,5,0)</f>
        <v>408.85000000000014</v>
      </c>
      <c r="CA131" s="13">
        <f t="shared" si="93"/>
        <v>93.568575358321141</v>
      </c>
      <c r="CB131" s="20">
        <f t="shared" si="64"/>
        <v>875.04568541574281</v>
      </c>
      <c r="CC131" s="59">
        <f t="shared" si="65"/>
        <v>1168.3790187490761</v>
      </c>
      <c r="CD131" s="59">
        <f ca="1">AVERAGE(OFFSET($CC$3,0,0,'Données projet'!$E$12+1,1))-AVERAGE(OFFSET($H$3,0,0,'Données projet'!$E$12+1,1))</f>
        <v>415.83983761562189</v>
      </c>
      <c r="CE131" s="59">
        <f t="shared" si="94"/>
        <v>339.37869344688829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26.432632449791146</v>
      </c>
      <c r="CL131" s="21">
        <f>EXP(-LN(2)/25)*CL130+(1-EXP(-LN(2)/25))/(LN(2)/25)*Calculateur!CG131*Calculateur!CI131*VLOOKUP('Données projet'!$B$12,Paramètres!$A$1:$I$89,3,0)*0.475*44/12</f>
        <v>7.7497354676881729</v>
      </c>
      <c r="CM131" s="21">
        <f>EXP(-LN(2)/2)*CM130+(1-EXP(-LN(2)/2))/(LN(2)/2)*CG131*CJ131*VLOOKUP('Données projet'!$B$12,Paramètres!$A$1:$I$89,3,0)*0.475*44/12</f>
        <v>1.4619106150916461E-7</v>
      </c>
      <c r="CN131" s="22">
        <f t="shared" si="66"/>
        <v>34.182368063670381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268.00000000000011</v>
      </c>
      <c r="O132" s="13">
        <f>N132*VLOOKUP('Données projet'!$B$9,Paramètres!$A$1:$I$89,3,0)*VLOOKUP('Données projet'!$B$9,Paramètres!$A$1:$I$89,5,0)</f>
        <v>242.48640000000009</v>
      </c>
      <c r="P132" s="13">
        <f t="shared" si="87"/>
        <v>58.974170235372476</v>
      </c>
      <c r="Q132" s="20">
        <f t="shared" si="108"/>
        <v>525.04382649327385</v>
      </c>
      <c r="R132" s="59">
        <f t="shared" si="109"/>
        <v>818.37715982660711</v>
      </c>
      <c r="S132" s="59">
        <f ca="1">AVERAGE(OFFSET($R$3,0,0,'Données projet'!$E$9+1,1))-AVERAGE(OFFSET($H$3,0,0,'Données projet'!$E$9+1,1))</f>
        <v>258.68215148478868</v>
      </c>
      <c r="T132" s="59">
        <f t="shared" si="88"/>
        <v>153.16792125610209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48.819833796425847</v>
      </c>
      <c r="AA132" s="21">
        <f>EXP(-LN(2)/25)*AA131+(1-EXP(-LN(2)/25))/(LN(2)/25)*Calculateur!V132*Calculateur!X132*VLOOKUP('Données projet'!$B$9,Paramètres!$A$1:$I$89,3,0)*0.475*44/12</f>
        <v>1.9271417568960791</v>
      </c>
      <c r="AB132" s="21">
        <f>EXP(-LN(2)/2)*AB131+(1-EXP(-LN(2)/2))/(LN(2)/2)*V132*Y132*VLOOKUP('Données projet'!$B$9,Paramètres!$A$1:$I$89,3,0)*0.475*44/12</f>
        <v>4.7336986398691681E-2</v>
      </c>
      <c r="AC132" s="22">
        <f t="shared" ref="AC132:AC153" si="111">SUM(Z132:AB132)</f>
        <v>50.794312539720615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268.00000000000011</v>
      </c>
      <c r="AJ132" s="13">
        <f>AI132*VLOOKUP('Données projet'!$B$10,Paramètres!$A$1:$I$89,3,0)*VLOOKUP('Données projet'!$B$10,Paramètres!$A$1:$I$89,5,0)</f>
        <v>271.75200000000012</v>
      </c>
      <c r="AK132" s="13">
        <f t="shared" si="89"/>
        <v>65.220947824724988</v>
      </c>
      <c r="AL132" s="20">
        <f t="shared" ref="AL132:AL153" si="112">(AJ132+AK132)*0.475*44/12</f>
        <v>586.89455079472953</v>
      </c>
      <c r="AM132" s="59">
        <f t="shared" ref="AM132:AM195" si="113">AL132+(AD132+AE132)*44/12</f>
        <v>880.2278841280629</v>
      </c>
      <c r="AN132" s="59">
        <f ca="1">AVERAGE(OFFSET($AM$3,0,0,'Données projet'!$E$10+1,1))-AVERAGE(OFFSET($H$3,0,0,'Données projet'!$E$10+1,1))</f>
        <v>298.68533387773886</v>
      </c>
      <c r="AO132" s="59">
        <f t="shared" si="90"/>
        <v>176.04868734496114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54.711882702891053</v>
      </c>
      <c r="AV132" s="21">
        <f>EXP(-LN(2)/25)*AV131+(1-EXP(-LN(2)/25))/(LN(2)/25)*Calculateur!AQ132*Calculateur!AS132*VLOOKUP('Données projet'!$B$10,Paramètres!$A$1:$I$89,3,0)*0.475*44/12</f>
        <v>2.1597278310042269</v>
      </c>
      <c r="AW132" s="21">
        <f>EXP(-LN(2)/2)*AW131+(1-EXP(-LN(2)/2))/(LN(2)/2)*AQ132*AT132*VLOOKUP('Données projet'!$B$10,Paramètres!$A$1:$I$89,3,0)*0.475*44/12</f>
        <v>5.3050070964051059E-2</v>
      </c>
      <c r="AX132" s="21">
        <f t="shared" ref="AX132:AX153" si="114">SUM(AU132:AW132)</f>
        <v>56.924660604859326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-5.999999999994543E-2</v>
      </c>
      <c r="BE132" s="13">
        <f>BD132*VLOOKUP('Données projet'!$B$11,Paramètres!$A$1:$I$89,3,0)*VLOOKUP('Données projet'!$B$11,Paramètres!$A$1:$I$89,5,0)</f>
        <v>-2.8079999999974462E-2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83.62456509032836</v>
      </c>
      <c r="BJ132" s="59">
        <f t="shared" si="92"/>
        <v>131.53128089847871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18.59436241407305</v>
      </c>
      <c r="BQ132" s="21">
        <f>EXP(-LN(2)/25)*BQ131+(1-EXP(-LN(2)/25))/(LN(2)/25)*Calculateur!BL132*Calculateur!BN132*VLOOKUP('Données projet'!$B$11,Paramètres!$A$1:$I$89,3,0)*0.475*44/12</f>
        <v>4.8976671361147863</v>
      </c>
      <c r="BR132" s="21">
        <f>EXP(-LN(2)/2)*BR131+(1-EXP(-LN(2)/2))/(LN(2)/2)*BL132*BO132*VLOOKUP('Données projet'!$B$11,Paramètres!$A$1:$I$89,3,0)*0.475*44/12</f>
        <v>1.7860894019260464E-9</v>
      </c>
      <c r="BS132" s="22">
        <f t="shared" ref="BS132:BS153" si="117">SUM(BP132:BR132)</f>
        <v>23.492029551973925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925.00000000000034</v>
      </c>
      <c r="BZ132" s="13">
        <f>BY132*VLOOKUP('Données projet'!$B$12,Paramètres!$A$1:$I$89,3,0)*VLOOKUP('Données projet'!$B$12,Paramètres!$A$1:$I$89,5,0)</f>
        <v>408.85000000000014</v>
      </c>
      <c r="CA132" s="13">
        <f t="shared" si="93"/>
        <v>93.568575358321141</v>
      </c>
      <c r="CB132" s="20">
        <f t="shared" ref="CB132:CB153" si="118">(BZ132+CA132)*0.475*44/12</f>
        <v>875.04568541574281</v>
      </c>
      <c r="CC132" s="59">
        <f t="shared" ref="CC132:CC195" si="119">CB132+(BT132+BU132)*44/12</f>
        <v>1168.3790187490761</v>
      </c>
      <c r="CD132" s="59">
        <f ca="1">AVERAGE(OFFSET($CC$3,0,0,'Données projet'!$E$12+1,1))-AVERAGE(OFFSET($H$3,0,0,'Données projet'!$E$12+1,1))</f>
        <v>415.83983761562189</v>
      </c>
      <c r="CE132" s="59">
        <f t="shared" si="94"/>
        <v>339.37869344688829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25.914304649764592</v>
      </c>
      <c r="CL132" s="21">
        <f>EXP(-LN(2)/25)*CL131+(1-EXP(-LN(2)/25))/(LN(2)/25)*Calculateur!CG132*Calculateur!CI132*VLOOKUP('Données projet'!$B$12,Paramètres!$A$1:$I$89,3,0)*0.475*44/12</f>
        <v>7.5378185437833638</v>
      </c>
      <c r="CM132" s="21">
        <f>EXP(-LN(2)/2)*CM131+(1-EXP(-LN(2)/2))/(LN(2)/2)*CG132*CJ132*VLOOKUP('Données projet'!$B$12,Paramètres!$A$1:$I$89,3,0)*0.475*44/12</f>
        <v>1.0337269094198997E-7</v>
      </c>
      <c r="CN132" s="22">
        <f t="shared" ref="CN132:CN153" si="120">SUM(CK132:CM132)</f>
        <v>33.452123296920647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268.00000000000011</v>
      </c>
      <c r="O133" s="13">
        <f>N133*VLOOKUP('Données projet'!$B$9,Paramètres!$A$1:$I$89,3,0)*VLOOKUP('Données projet'!$B$9,Paramètres!$A$1:$I$89,5,0)</f>
        <v>242.48640000000009</v>
      </c>
      <c r="P133" s="13">
        <f t="shared" ref="P133:P196" si="141">EXP(-1.0587+0.8836*LN(O133)+0.284)</f>
        <v>58.974170235372476</v>
      </c>
      <c r="Q133" s="20">
        <f t="shared" si="108"/>
        <v>525.04382649327385</v>
      </c>
      <c r="R133" s="59">
        <f t="shared" si="109"/>
        <v>818.37715982660711</v>
      </c>
      <c r="S133" s="59">
        <f ca="1">AVERAGE(OFFSET($R$3,0,0,'Données projet'!$E$9+1,1))-AVERAGE(OFFSET($H$3,0,0,'Données projet'!$E$9+1,1))</f>
        <v>258.68215148478868</v>
      </c>
      <c r="T133" s="59">
        <f t="shared" ref="T133:T196" si="142">$T$3</f>
        <v>153.16792125610209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47.8625066328363</v>
      </c>
      <c r="AA133" s="21">
        <f>EXP(-LN(2)/25)*AA132+(1-EXP(-LN(2)/25))/(LN(2)/25)*Calculateur!V133*Calculateur!X133*VLOOKUP('Données projet'!$B$9,Paramètres!$A$1:$I$89,3,0)*0.475*44/12</f>
        <v>1.8744439642097754</v>
      </c>
      <c r="AB133" s="21">
        <f>EXP(-LN(2)/2)*AB132+(1-EXP(-LN(2)/2))/(LN(2)/2)*V133*Y133*VLOOKUP('Données projet'!$B$9,Paramètres!$A$1:$I$89,3,0)*0.475*44/12</f>
        <v>3.3472304083450255E-2</v>
      </c>
      <c r="AC133" s="22">
        <f t="shared" si="111"/>
        <v>49.770422901129528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268.00000000000011</v>
      </c>
      <c r="AJ133" s="13">
        <f>AI133*VLOOKUP('Données projet'!$B$10,Paramètres!$A$1:$I$89,3,0)*VLOOKUP('Données projet'!$B$10,Paramètres!$A$1:$I$89,5,0)</f>
        <v>271.75200000000012</v>
      </c>
      <c r="AK133" s="13">
        <f t="shared" ref="AK133:AK153" si="143">EXP(-1.0587+0.8836*LN(AJ133)+0.284)</f>
        <v>65.220947824724988</v>
      </c>
      <c r="AL133" s="20">
        <f t="shared" si="112"/>
        <v>586.89455079472953</v>
      </c>
      <c r="AM133" s="59">
        <f t="shared" si="113"/>
        <v>880.2278841280629</v>
      </c>
      <c r="AN133" s="59">
        <f ca="1">AVERAGE(OFFSET($AM$3,0,0,'Données projet'!$E$10+1,1))-AVERAGE(OFFSET($H$3,0,0,'Données projet'!$E$10+1,1))</f>
        <v>298.68533387773886</v>
      </c>
      <c r="AO133" s="59">
        <f t="shared" ref="AO133:AO196" si="144">$AO$3</f>
        <v>176.04868734496114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53.639016054040702</v>
      </c>
      <c r="AV133" s="21">
        <f>EXP(-LN(2)/25)*AV132+(1-EXP(-LN(2)/25))/(LN(2)/25)*Calculateur!AQ133*Calculateur!AS133*VLOOKUP('Données projet'!$B$10,Paramètres!$A$1:$I$89,3,0)*0.475*44/12</f>
        <v>2.1006699598902658</v>
      </c>
      <c r="AW133" s="21">
        <f>EXP(-LN(2)/2)*AW132+(1-EXP(-LN(2)/2))/(LN(2)/2)*AQ133*AT133*VLOOKUP('Données projet'!$B$10,Paramètres!$A$1:$I$89,3,0)*0.475*44/12</f>
        <v>3.7512064921108076E-2</v>
      </c>
      <c r="AX133" s="21">
        <f t="shared" si="114"/>
        <v>55.777198078852081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-5.999999999994543E-2</v>
      </c>
      <c r="BE133" s="13">
        <f>BD133*VLOOKUP('Données projet'!$B$11,Paramètres!$A$1:$I$89,3,0)*VLOOKUP('Données projet'!$B$11,Paramètres!$A$1:$I$89,5,0)</f>
        <v>-2.8079999999974462E-2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83.62456509032836</v>
      </c>
      <c r="BJ133" s="59">
        <f t="shared" ref="BJ133:BJ196" si="146">$BJ$3</f>
        <v>131.53128089847871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18.229738308574277</v>
      </c>
      <c r="BQ133" s="21">
        <f>EXP(-LN(2)/25)*BQ132+(1-EXP(-LN(2)/25))/(LN(2)/25)*Calculateur!BL133*Calculateur!BN133*VLOOKUP('Données projet'!$B$11,Paramètres!$A$1:$I$89,3,0)*0.475*44/12</f>
        <v>4.7637401707206068</v>
      </c>
      <c r="BR133" s="21">
        <f>EXP(-LN(2)/2)*BR132+(1-EXP(-LN(2)/2))/(LN(2)/2)*BL133*BO133*VLOOKUP('Données projet'!$B$11,Paramètres!$A$1:$I$89,3,0)*0.475*44/12</f>
        <v>1.2629559279073325E-9</v>
      </c>
      <c r="BS133" s="22">
        <f t="shared" si="117"/>
        <v>22.993478480557837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925.00000000000034</v>
      </c>
      <c r="BZ133" s="13">
        <f>BY133*VLOOKUP('Données projet'!$B$12,Paramètres!$A$1:$I$89,3,0)*VLOOKUP('Données projet'!$B$12,Paramètres!$A$1:$I$89,5,0)</f>
        <v>408.85000000000014</v>
      </c>
      <c r="CA133" s="13">
        <f t="shared" ref="CA133:CA153" si="147">EXP(-1.0587+0.8836*LN(BZ133)+0.284)</f>
        <v>93.568575358321141</v>
      </c>
      <c r="CB133" s="20">
        <f t="shared" si="118"/>
        <v>875.04568541574281</v>
      </c>
      <c r="CC133" s="59">
        <f t="shared" si="119"/>
        <v>1168.3790187490761</v>
      </c>
      <c r="CD133" s="59">
        <f ca="1">AVERAGE(OFFSET($CC$3,0,0,'Données projet'!$E$12+1,1))-AVERAGE(OFFSET($H$3,0,0,'Données projet'!$E$12+1,1))</f>
        <v>415.83983761562189</v>
      </c>
      <c r="CE133" s="59">
        <f t="shared" ref="CE133:CE196" si="148">$CE$3</f>
        <v>339.37869344688829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25.406140941747815</v>
      </c>
      <c r="CL133" s="21">
        <f>EXP(-LN(2)/25)*CL132+(1-EXP(-LN(2)/25))/(LN(2)/25)*Calculateur!CG133*Calculateur!CI133*VLOOKUP('Données projet'!$B$12,Paramètres!$A$1:$I$89,3,0)*0.475*44/12</f>
        <v>7.3316964993069584</v>
      </c>
      <c r="CM133" s="21">
        <f>EXP(-LN(2)/2)*CM132+(1-EXP(-LN(2)/2))/(LN(2)/2)*CG133*CJ133*VLOOKUP('Données projet'!$B$12,Paramètres!$A$1:$I$89,3,0)*0.475*44/12</f>
        <v>7.3095530754582303E-8</v>
      </c>
      <c r="CN133" s="22">
        <f t="shared" si="120"/>
        <v>32.7378375141503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268.00000000000011</v>
      </c>
      <c r="O134" s="13">
        <f>N134*VLOOKUP('Données projet'!$B$9,Paramètres!$A$1:$I$89,3,0)*VLOOKUP('Données projet'!$B$9,Paramètres!$A$1:$I$89,5,0)</f>
        <v>242.48640000000009</v>
      </c>
      <c r="P134" s="13">
        <f t="shared" si="141"/>
        <v>58.974170235372476</v>
      </c>
      <c r="Q134" s="20">
        <f t="shared" si="108"/>
        <v>525.04382649327385</v>
      </c>
      <c r="R134" s="59">
        <f t="shared" si="109"/>
        <v>818.37715982660711</v>
      </c>
      <c r="S134" s="59">
        <f ca="1">AVERAGE(OFFSET($R$3,0,0,'Données projet'!$E$9+1,1))-AVERAGE(OFFSET($H$3,0,0,'Données projet'!$E$9+1,1))</f>
        <v>258.68215148478868</v>
      </c>
      <c r="T134" s="59">
        <f t="shared" si="142"/>
        <v>153.16792125610209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46.923952071012835</v>
      </c>
      <c r="AA134" s="21">
        <f>EXP(-LN(2)/25)*AA133+(1-EXP(-LN(2)/25))/(LN(2)/25)*Calculateur!V134*Calculateur!X134*VLOOKUP('Données projet'!$B$9,Paramètres!$A$1:$I$89,3,0)*0.475*44/12</f>
        <v>1.823187195435735</v>
      </c>
      <c r="AB134" s="21">
        <f>EXP(-LN(2)/2)*AB133+(1-EXP(-LN(2)/2))/(LN(2)/2)*V134*Y134*VLOOKUP('Données projet'!$B$9,Paramètres!$A$1:$I$89,3,0)*0.475*44/12</f>
        <v>2.3668493199345841E-2</v>
      </c>
      <c r="AC134" s="22">
        <f t="shared" si="111"/>
        <v>48.770807759647916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268.00000000000011</v>
      </c>
      <c r="AJ134" s="13">
        <f>AI134*VLOOKUP('Données projet'!$B$10,Paramètres!$A$1:$I$89,3,0)*VLOOKUP('Données projet'!$B$10,Paramètres!$A$1:$I$89,5,0)</f>
        <v>271.75200000000012</v>
      </c>
      <c r="AK134" s="13">
        <f t="shared" si="143"/>
        <v>65.220947824724988</v>
      </c>
      <c r="AL134" s="20">
        <f t="shared" si="112"/>
        <v>586.89455079472953</v>
      </c>
      <c r="AM134" s="59">
        <f t="shared" si="113"/>
        <v>880.2278841280629</v>
      </c>
      <c r="AN134" s="59">
        <f ca="1">AVERAGE(OFFSET($AM$3,0,0,'Données projet'!$E$10+1,1))-AVERAGE(OFFSET($H$3,0,0,'Données projet'!$E$10+1,1))</f>
        <v>298.68533387773886</v>
      </c>
      <c r="AO134" s="59">
        <f t="shared" si="144"/>
        <v>176.04868734496114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52.587187665790267</v>
      </c>
      <c r="AV134" s="21">
        <f>EXP(-LN(2)/25)*AV133+(1-EXP(-LN(2)/25))/(LN(2)/25)*Calculateur!AQ134*Calculateur!AS134*VLOOKUP('Données projet'!$B$10,Paramètres!$A$1:$I$89,3,0)*0.475*44/12</f>
        <v>2.0432270293676345</v>
      </c>
      <c r="AW134" s="21">
        <f>EXP(-LN(2)/2)*AW133+(1-EXP(-LN(2)/2))/(LN(2)/2)*AQ134*AT134*VLOOKUP('Données projet'!$B$10,Paramètres!$A$1:$I$89,3,0)*0.475*44/12</f>
        <v>2.6525035482025536E-2</v>
      </c>
      <c r="AX134" s="21">
        <f t="shared" si="114"/>
        <v>54.656939730639927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-5.999999999994543E-2</v>
      </c>
      <c r="BE134" s="13">
        <f>BD134*VLOOKUP('Données projet'!$B$11,Paramètres!$A$1:$I$89,3,0)*VLOOKUP('Données projet'!$B$11,Paramètres!$A$1:$I$89,5,0)</f>
        <v>-2.8079999999974462E-2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83.62456509032836</v>
      </c>
      <c r="BJ134" s="59">
        <f t="shared" si="146"/>
        <v>131.53128089847871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17.872264259385588</v>
      </c>
      <c r="BQ134" s="21">
        <f>EXP(-LN(2)/25)*BQ133+(1-EXP(-LN(2)/25))/(LN(2)/25)*Calculateur!BL134*Calculateur!BN134*VLOOKUP('Données projet'!$B$11,Paramètres!$A$1:$I$89,3,0)*0.475*44/12</f>
        <v>4.6334754452380436</v>
      </c>
      <c r="BR134" s="21">
        <f>EXP(-LN(2)/2)*BR133+(1-EXP(-LN(2)/2))/(LN(2)/2)*BL134*BO134*VLOOKUP('Données projet'!$B$11,Paramètres!$A$1:$I$89,3,0)*0.475*44/12</f>
        <v>8.9304470096302331E-10</v>
      </c>
      <c r="BS134" s="22">
        <f t="shared" si="117"/>
        <v>22.505739705516678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925.00000000000034</v>
      </c>
      <c r="BZ134" s="13">
        <f>BY134*VLOOKUP('Données projet'!$B$12,Paramètres!$A$1:$I$89,3,0)*VLOOKUP('Données projet'!$B$12,Paramètres!$A$1:$I$89,5,0)</f>
        <v>408.85000000000014</v>
      </c>
      <c r="CA134" s="13">
        <f t="shared" si="147"/>
        <v>93.568575358321141</v>
      </c>
      <c r="CB134" s="20">
        <f t="shared" si="118"/>
        <v>875.04568541574281</v>
      </c>
      <c r="CC134" s="59">
        <f t="shared" si="119"/>
        <v>1168.3790187490761</v>
      </c>
      <c r="CD134" s="59">
        <f ca="1">AVERAGE(OFFSET($CC$3,0,0,'Données projet'!$E$12+1,1))-AVERAGE(OFFSET($H$3,0,0,'Données projet'!$E$12+1,1))</f>
        <v>415.83983761562189</v>
      </c>
      <c r="CE134" s="59">
        <f t="shared" si="148"/>
        <v>339.37869344688829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24.90794201409599</v>
      </c>
      <c r="CL134" s="21">
        <f>EXP(-LN(2)/25)*CL133+(1-EXP(-LN(2)/25))/(LN(2)/25)*Calculateur!CG134*Calculateur!CI134*VLOOKUP('Données projet'!$B$12,Paramètres!$A$1:$I$89,3,0)*0.475*44/12</f>
        <v>7.131210872976248</v>
      </c>
      <c r="CM134" s="21">
        <f>EXP(-LN(2)/2)*CM133+(1-EXP(-LN(2)/2))/(LN(2)/2)*CG134*CJ134*VLOOKUP('Données projet'!$B$12,Paramètres!$A$1:$I$89,3,0)*0.475*44/12</f>
        <v>5.1686345470994984E-8</v>
      </c>
      <c r="CN134" s="22">
        <f t="shared" si="120"/>
        <v>32.039152938758583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268.00000000000011</v>
      </c>
      <c r="O135" s="13">
        <f>N135*VLOOKUP('Données projet'!$B$9,Paramètres!$A$1:$I$89,3,0)*VLOOKUP('Données projet'!$B$9,Paramètres!$A$1:$I$89,5,0)</f>
        <v>242.48640000000009</v>
      </c>
      <c r="P135" s="13">
        <f t="shared" si="141"/>
        <v>58.974170235372476</v>
      </c>
      <c r="Q135" s="20">
        <f t="shared" si="108"/>
        <v>525.04382649327385</v>
      </c>
      <c r="R135" s="59">
        <f t="shared" si="109"/>
        <v>818.37715982660711</v>
      </c>
      <c r="S135" s="59">
        <f ca="1">AVERAGE(OFFSET($R$3,0,0,'Données projet'!$E$9+1,1))-AVERAGE(OFFSET($H$3,0,0,'Données projet'!$E$9+1,1))</f>
        <v>258.68215148478868</v>
      </c>
      <c r="T135" s="59">
        <f t="shared" si="142"/>
        <v>153.16792125610209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46.003801991684966</v>
      </c>
      <c r="AA135" s="21">
        <f>EXP(-LN(2)/25)*AA134+(1-EXP(-LN(2)/25))/(LN(2)/25)*Calculateur!V135*Calculateur!X135*VLOOKUP('Données projet'!$B$9,Paramètres!$A$1:$I$89,3,0)*0.475*44/12</f>
        <v>1.7733320456992971</v>
      </c>
      <c r="AB135" s="21">
        <f>EXP(-LN(2)/2)*AB134+(1-EXP(-LN(2)/2))/(LN(2)/2)*V135*Y135*VLOOKUP('Données projet'!$B$9,Paramètres!$A$1:$I$89,3,0)*0.475*44/12</f>
        <v>1.6736152041725127E-2</v>
      </c>
      <c r="AC135" s="22">
        <f t="shared" si="111"/>
        <v>47.793870189425988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268.00000000000011</v>
      </c>
      <c r="AJ135" s="13">
        <f>AI135*VLOOKUP('Données projet'!$B$10,Paramètres!$A$1:$I$89,3,0)*VLOOKUP('Données projet'!$B$10,Paramètres!$A$1:$I$89,5,0)</f>
        <v>271.75200000000012</v>
      </c>
      <c r="AK135" s="13">
        <f t="shared" si="143"/>
        <v>65.220947824724988</v>
      </c>
      <c r="AL135" s="20">
        <f t="shared" si="112"/>
        <v>586.89455079472953</v>
      </c>
      <c r="AM135" s="59">
        <f t="shared" si="113"/>
        <v>880.2278841280629</v>
      </c>
      <c r="AN135" s="59">
        <f ca="1">AVERAGE(OFFSET($AM$3,0,0,'Données projet'!$E$10+1,1))-AVERAGE(OFFSET($H$3,0,0,'Données projet'!$E$10+1,1))</f>
        <v>298.68533387773886</v>
      </c>
      <c r="AO135" s="59">
        <f t="shared" si="144"/>
        <v>176.04868734496114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51.555984990681452</v>
      </c>
      <c r="AV135" s="21">
        <f>EXP(-LN(2)/25)*AV134+(1-EXP(-LN(2)/25))/(LN(2)/25)*Calculateur!AQ135*Calculateur!AS135*VLOOKUP('Données projet'!$B$10,Paramètres!$A$1:$I$89,3,0)*0.475*44/12</f>
        <v>1.987354878800937</v>
      </c>
      <c r="AW135" s="21">
        <f>EXP(-LN(2)/2)*AW134+(1-EXP(-LN(2)/2))/(LN(2)/2)*AQ135*AT135*VLOOKUP('Données projet'!$B$10,Paramètres!$A$1:$I$89,3,0)*0.475*44/12</f>
        <v>1.8756032460554042E-2</v>
      </c>
      <c r="AX135" s="21">
        <f t="shared" si="114"/>
        <v>53.562095901942939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-5.999999999994543E-2</v>
      </c>
      <c r="BE135" s="13">
        <f>BD135*VLOOKUP('Données projet'!$B$11,Paramètres!$A$1:$I$89,3,0)*VLOOKUP('Données projet'!$B$11,Paramètres!$A$1:$I$89,5,0)</f>
        <v>-2.8079999999974462E-2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83.62456509032836</v>
      </c>
      <c r="BJ135" s="59">
        <f t="shared" si="146"/>
        <v>131.53128089847871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17.52180005826385</v>
      </c>
      <c r="BQ135" s="21">
        <f>EXP(-LN(2)/25)*BQ134+(1-EXP(-LN(2)/25))/(LN(2)/25)*Calculateur!BL135*Calculateur!BN135*VLOOKUP('Données projet'!$B$11,Paramètres!$A$1:$I$89,3,0)*0.475*44/12</f>
        <v>4.5067728155241253</v>
      </c>
      <c r="BR135" s="21">
        <f>EXP(-LN(2)/2)*BR134+(1-EXP(-LN(2)/2))/(LN(2)/2)*BL135*BO135*VLOOKUP('Données projet'!$B$11,Paramètres!$A$1:$I$89,3,0)*0.475*44/12</f>
        <v>6.3147796395366637E-10</v>
      </c>
      <c r="BS135" s="22">
        <f t="shared" si="117"/>
        <v>22.028572874419453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925.00000000000034</v>
      </c>
      <c r="BZ135" s="13">
        <f>BY135*VLOOKUP('Données projet'!$B$12,Paramètres!$A$1:$I$89,3,0)*VLOOKUP('Données projet'!$B$12,Paramètres!$A$1:$I$89,5,0)</f>
        <v>408.85000000000014</v>
      </c>
      <c r="CA135" s="13">
        <f t="shared" si="147"/>
        <v>93.568575358321141</v>
      </c>
      <c r="CB135" s="20">
        <f t="shared" si="118"/>
        <v>875.04568541574281</v>
      </c>
      <c r="CC135" s="59">
        <f t="shared" si="119"/>
        <v>1168.3790187490761</v>
      </c>
      <c r="CD135" s="59">
        <f ca="1">AVERAGE(OFFSET($CC$3,0,0,'Données projet'!$E$12+1,1))-AVERAGE(OFFSET($H$3,0,0,'Données projet'!$E$12+1,1))</f>
        <v>415.83983761562189</v>
      </c>
      <c r="CE135" s="59">
        <f t="shared" si="148"/>
        <v>339.37869344688829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24.419512463544077</v>
      </c>
      <c r="CL135" s="21">
        <f>EXP(-LN(2)/25)*CL134+(1-EXP(-LN(2)/25))/(LN(2)/25)*Calculateur!CG135*Calculateur!CI135*VLOOKUP('Données projet'!$B$12,Paramètres!$A$1:$I$89,3,0)*0.475*44/12</f>
        <v>6.9362075366406311</v>
      </c>
      <c r="CM135" s="21">
        <f>EXP(-LN(2)/2)*CM134+(1-EXP(-LN(2)/2))/(LN(2)/2)*CG135*CJ135*VLOOKUP('Données projet'!$B$12,Paramètres!$A$1:$I$89,3,0)*0.475*44/12</f>
        <v>3.6547765377291151E-8</v>
      </c>
      <c r="CN135" s="22">
        <f t="shared" si="120"/>
        <v>31.355720036732471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268.00000000000011</v>
      </c>
      <c r="O136" s="13">
        <f>N136*VLOOKUP('Données projet'!$B$9,Paramètres!$A$1:$I$89,3,0)*VLOOKUP('Données projet'!$B$9,Paramètres!$A$1:$I$89,5,0)</f>
        <v>242.48640000000009</v>
      </c>
      <c r="P136" s="13">
        <f t="shared" si="141"/>
        <v>58.974170235372476</v>
      </c>
      <c r="Q136" s="20">
        <f t="shared" si="108"/>
        <v>525.04382649327385</v>
      </c>
      <c r="R136" s="59">
        <f t="shared" si="109"/>
        <v>818.37715982660711</v>
      </c>
      <c r="S136" s="59">
        <f ca="1">AVERAGE(OFFSET($R$3,0,0,'Données projet'!$E$9+1,1))-AVERAGE(OFFSET($H$3,0,0,'Données projet'!$E$9+1,1))</f>
        <v>258.68215148478868</v>
      </c>
      <c r="T136" s="59">
        <f t="shared" si="142"/>
        <v>153.16792125610209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45.101695494176589</v>
      </c>
      <c r="AA136" s="21">
        <f>EXP(-LN(2)/25)*AA135+(1-EXP(-LN(2)/25))/(LN(2)/25)*Calculateur!V136*Calculateur!X136*VLOOKUP('Données projet'!$B$9,Paramètres!$A$1:$I$89,3,0)*0.475*44/12</f>
        <v>1.7248401876541706</v>
      </c>
      <c r="AB136" s="21">
        <f>EXP(-LN(2)/2)*AB135+(1-EXP(-LN(2)/2))/(LN(2)/2)*V136*Y136*VLOOKUP('Données projet'!$B$9,Paramètres!$A$1:$I$89,3,0)*0.475*44/12</f>
        <v>1.183424659967292E-2</v>
      </c>
      <c r="AC136" s="22">
        <f t="shared" si="111"/>
        <v>46.838369928430438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268.00000000000011</v>
      </c>
      <c r="AJ136" s="13">
        <f>AI136*VLOOKUP('Données projet'!$B$10,Paramètres!$A$1:$I$89,3,0)*VLOOKUP('Données projet'!$B$10,Paramètres!$A$1:$I$89,5,0)</f>
        <v>271.75200000000012</v>
      </c>
      <c r="AK136" s="13">
        <f t="shared" si="143"/>
        <v>65.220947824724988</v>
      </c>
      <c r="AL136" s="20">
        <f t="shared" si="112"/>
        <v>586.89455079472953</v>
      </c>
      <c r="AM136" s="59">
        <f t="shared" si="113"/>
        <v>880.2278841280629</v>
      </c>
      <c r="AN136" s="59">
        <f ca="1">AVERAGE(OFFSET($AM$3,0,0,'Données projet'!$E$10+1,1))-AVERAGE(OFFSET($H$3,0,0,'Données projet'!$E$10+1,1))</f>
        <v>298.68533387773886</v>
      </c>
      <c r="AO136" s="59">
        <f t="shared" si="144"/>
        <v>176.04868734496114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50.545003571059993</v>
      </c>
      <c r="AV136" s="21">
        <f>EXP(-LN(2)/25)*AV135+(1-EXP(-LN(2)/25))/(LN(2)/25)*Calculateur!AQ136*Calculateur!AS136*VLOOKUP('Données projet'!$B$10,Paramètres!$A$1:$I$89,3,0)*0.475*44/12</f>
        <v>1.9330105551296743</v>
      </c>
      <c r="AW136" s="21">
        <f>EXP(-LN(2)/2)*AW135+(1-EXP(-LN(2)/2))/(LN(2)/2)*AQ136*AT136*VLOOKUP('Données projet'!$B$10,Paramètres!$A$1:$I$89,3,0)*0.475*44/12</f>
        <v>1.326251774101277E-2</v>
      </c>
      <c r="AX136" s="21">
        <f t="shared" si="114"/>
        <v>52.491276643930682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-5.999999999994543E-2</v>
      </c>
      <c r="BE136" s="13">
        <f>BD136*VLOOKUP('Données projet'!$B$11,Paramètres!$A$1:$I$89,3,0)*VLOOKUP('Données projet'!$B$11,Paramètres!$A$1:$I$89,5,0)</f>
        <v>-2.8079999999974462E-2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83.62456509032836</v>
      </c>
      <c r="BJ136" s="59">
        <f t="shared" si="146"/>
        <v>131.53128089847871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17.178208246364054</v>
      </c>
      <c r="BQ136" s="21">
        <f>EXP(-LN(2)/25)*BQ135+(1-EXP(-LN(2)/25))/(LN(2)/25)*Calculateur!BL136*Calculateur!BN136*VLOOKUP('Données projet'!$B$11,Paramètres!$A$1:$I$89,3,0)*0.475*44/12</f>
        <v>4.3835348758827362</v>
      </c>
      <c r="BR136" s="21">
        <f>EXP(-LN(2)/2)*BR135+(1-EXP(-LN(2)/2))/(LN(2)/2)*BL136*BO136*VLOOKUP('Données projet'!$B$11,Paramètres!$A$1:$I$89,3,0)*0.475*44/12</f>
        <v>4.4652235048151176E-10</v>
      </c>
      <c r="BS136" s="22">
        <f t="shared" si="117"/>
        <v>21.561743122693311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925.00000000000034</v>
      </c>
      <c r="BZ136" s="13">
        <f>BY136*VLOOKUP('Données projet'!$B$12,Paramètres!$A$1:$I$89,3,0)*VLOOKUP('Données projet'!$B$12,Paramètres!$A$1:$I$89,5,0)</f>
        <v>408.85000000000014</v>
      </c>
      <c r="CA136" s="13">
        <f t="shared" si="147"/>
        <v>93.568575358321141</v>
      </c>
      <c r="CB136" s="20">
        <f t="shared" si="118"/>
        <v>875.04568541574281</v>
      </c>
      <c r="CC136" s="59">
        <f t="shared" si="119"/>
        <v>1168.3790187490761</v>
      </c>
      <c r="CD136" s="59">
        <f ca="1">AVERAGE(OFFSET($CC$3,0,0,'Données projet'!$E$12+1,1))-AVERAGE(OFFSET($H$3,0,0,'Données projet'!$E$12+1,1))</f>
        <v>415.83983761562189</v>
      </c>
      <c r="CE136" s="59">
        <f t="shared" si="148"/>
        <v>339.37869344688829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23.940660718565876</v>
      </c>
      <c r="CL136" s="21">
        <f>EXP(-LN(2)/25)*CL135+(1-EXP(-LN(2)/25))/(LN(2)/25)*Calculateur!CG136*Calculateur!CI136*VLOOKUP('Données projet'!$B$12,Paramètres!$A$1:$I$89,3,0)*0.475*44/12</f>
        <v>6.7465365767918914</v>
      </c>
      <c r="CM136" s="21">
        <f>EXP(-LN(2)/2)*CM135+(1-EXP(-LN(2)/2))/(LN(2)/2)*CG136*CJ136*VLOOKUP('Données projet'!$B$12,Paramètres!$A$1:$I$89,3,0)*0.475*44/12</f>
        <v>2.5843172735497492E-8</v>
      </c>
      <c r="CN136" s="22">
        <f t="shared" si="120"/>
        <v>30.687197321200941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268.00000000000011</v>
      </c>
      <c r="O137" s="13">
        <f>N137*VLOOKUP('Données projet'!$B$9,Paramètres!$A$1:$I$89,3,0)*VLOOKUP('Données projet'!$B$9,Paramètres!$A$1:$I$89,5,0)</f>
        <v>242.48640000000009</v>
      </c>
      <c r="P137" s="13">
        <f t="shared" si="141"/>
        <v>58.974170235372476</v>
      </c>
      <c r="Q137" s="20">
        <f t="shared" si="108"/>
        <v>525.04382649327385</v>
      </c>
      <c r="R137" s="59">
        <f t="shared" si="109"/>
        <v>818.37715982660711</v>
      </c>
      <c r="S137" s="59">
        <f ca="1">AVERAGE(OFFSET($R$3,0,0,'Données projet'!$E$9+1,1))-AVERAGE(OFFSET($H$3,0,0,'Données projet'!$E$9+1,1))</f>
        <v>258.68215148478868</v>
      </c>
      <c r="T137" s="59">
        <f t="shared" si="142"/>
        <v>153.16792125610209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44.217278754853716</v>
      </c>
      <c r="AA137" s="21">
        <f>EXP(-LN(2)/25)*AA136+(1-EXP(-LN(2)/25))/(LN(2)/25)*Calculateur!V137*Calculateur!X137*VLOOKUP('Données projet'!$B$9,Paramètres!$A$1:$I$89,3,0)*0.475*44/12</f>
        <v>1.6776743420173641</v>
      </c>
      <c r="AB137" s="21">
        <f>EXP(-LN(2)/2)*AB136+(1-EXP(-LN(2)/2))/(LN(2)/2)*V137*Y137*VLOOKUP('Données projet'!$B$9,Paramètres!$A$1:$I$89,3,0)*0.475*44/12</f>
        <v>8.3680760208625637E-3</v>
      </c>
      <c r="AC137" s="22">
        <f t="shared" si="111"/>
        <v>45.903321172891943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268.00000000000011</v>
      </c>
      <c r="AJ137" s="13">
        <f>AI137*VLOOKUP('Données projet'!$B$10,Paramètres!$A$1:$I$89,3,0)*VLOOKUP('Données projet'!$B$10,Paramètres!$A$1:$I$89,5,0)</f>
        <v>271.75200000000012</v>
      </c>
      <c r="AK137" s="13">
        <f t="shared" si="143"/>
        <v>65.220947824724988</v>
      </c>
      <c r="AL137" s="20">
        <f t="shared" si="112"/>
        <v>586.89455079472953</v>
      </c>
      <c r="AM137" s="59">
        <f t="shared" si="113"/>
        <v>880.2278841280629</v>
      </c>
      <c r="AN137" s="59">
        <f ca="1">AVERAGE(OFFSET($AM$3,0,0,'Données projet'!$E$10+1,1))-AVERAGE(OFFSET($H$3,0,0,'Données projet'!$E$10+1,1))</f>
        <v>298.68533387773886</v>
      </c>
      <c r="AO137" s="59">
        <f t="shared" si="144"/>
        <v>176.04868734496114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49.553846880439536</v>
      </c>
      <c r="AV137" s="21">
        <f>EXP(-LN(2)/25)*AV136+(1-EXP(-LN(2)/25))/(LN(2)/25)*Calculateur!AQ137*Calculateur!AS137*VLOOKUP('Données projet'!$B$10,Paramètres!$A$1:$I$89,3,0)*0.475*44/12</f>
        <v>1.8801522798470462</v>
      </c>
      <c r="AW137" s="21">
        <f>EXP(-LN(2)/2)*AW136+(1-EXP(-LN(2)/2))/(LN(2)/2)*AQ137*AT137*VLOOKUP('Données projet'!$B$10,Paramètres!$A$1:$I$89,3,0)*0.475*44/12</f>
        <v>9.3780162302770226E-3</v>
      </c>
      <c r="AX137" s="21">
        <f t="shared" si="114"/>
        <v>51.443377176516861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-5.999999999994543E-2</v>
      </c>
      <c r="BE137" s="13">
        <f>BD137*VLOOKUP('Données projet'!$B$11,Paramètres!$A$1:$I$89,3,0)*VLOOKUP('Données projet'!$B$11,Paramètres!$A$1:$I$89,5,0)</f>
        <v>-2.8079999999974462E-2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83.62456509032836</v>
      </c>
      <c r="BJ137" s="59">
        <f t="shared" si="146"/>
        <v>131.53128089847871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16.841354060325301</v>
      </c>
      <c r="BQ137" s="21">
        <f>EXP(-LN(2)/25)*BQ136+(1-EXP(-LN(2)/25))/(LN(2)/25)*Calculateur!BL137*Calculateur!BN137*VLOOKUP('Données projet'!$B$11,Paramètres!$A$1:$I$89,3,0)*0.475*44/12</f>
        <v>4.2636668841816423</v>
      </c>
      <c r="BR137" s="21">
        <f>EXP(-LN(2)/2)*BR136+(1-EXP(-LN(2)/2))/(LN(2)/2)*BL137*BO137*VLOOKUP('Données projet'!$B$11,Paramètres!$A$1:$I$89,3,0)*0.475*44/12</f>
        <v>3.1573898197683324E-10</v>
      </c>
      <c r="BS137" s="22">
        <f t="shared" si="117"/>
        <v>21.105020944822684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925.00000000000034</v>
      </c>
      <c r="BZ137" s="13">
        <f>BY137*VLOOKUP('Données projet'!$B$12,Paramètres!$A$1:$I$89,3,0)*VLOOKUP('Données projet'!$B$12,Paramètres!$A$1:$I$89,5,0)</f>
        <v>408.85000000000014</v>
      </c>
      <c r="CA137" s="13">
        <f t="shared" si="147"/>
        <v>93.568575358321141</v>
      </c>
      <c r="CB137" s="20">
        <f t="shared" si="118"/>
        <v>875.04568541574281</v>
      </c>
      <c r="CC137" s="59">
        <f t="shared" si="119"/>
        <v>1168.3790187490761</v>
      </c>
      <c r="CD137" s="59">
        <f ca="1">AVERAGE(OFFSET($CC$3,0,0,'Données projet'!$E$12+1,1))-AVERAGE(OFFSET($H$3,0,0,'Données projet'!$E$12+1,1))</f>
        <v>415.83983761562189</v>
      </c>
      <c r="CE137" s="59">
        <f t="shared" si="148"/>
        <v>339.37869344688829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23.471198964235974</v>
      </c>
      <c r="CL137" s="21">
        <f>EXP(-LN(2)/25)*CL136+(1-EXP(-LN(2)/25))/(LN(2)/25)*Calculateur!CG137*Calculateur!CI137*VLOOKUP('Données projet'!$B$12,Paramètres!$A$1:$I$89,3,0)*0.475*44/12</f>
        <v>6.5620521793145778</v>
      </c>
      <c r="CM137" s="21">
        <f>EXP(-LN(2)/2)*CM136+(1-EXP(-LN(2)/2))/(LN(2)/2)*CG137*CJ137*VLOOKUP('Données projet'!$B$12,Paramètres!$A$1:$I$89,3,0)*0.475*44/12</f>
        <v>1.8273882688645576E-8</v>
      </c>
      <c r="CN137" s="22">
        <f t="shared" si="120"/>
        <v>30.033251161824435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268.00000000000011</v>
      </c>
      <c r="O138" s="13">
        <f>N138*VLOOKUP('Données projet'!$B$9,Paramètres!$A$1:$I$89,3,0)*VLOOKUP('Données projet'!$B$9,Paramètres!$A$1:$I$89,5,0)</f>
        <v>242.48640000000009</v>
      </c>
      <c r="P138" s="13">
        <f t="shared" si="141"/>
        <v>58.974170235372476</v>
      </c>
      <c r="Q138" s="20">
        <f t="shared" si="108"/>
        <v>525.04382649327385</v>
      </c>
      <c r="R138" s="59">
        <f t="shared" si="109"/>
        <v>818.37715982660711</v>
      </c>
      <c r="S138" s="59">
        <f ca="1">AVERAGE(OFFSET($R$3,0,0,'Données projet'!$E$9+1,1))-AVERAGE(OFFSET($H$3,0,0,'Données projet'!$E$9+1,1))</f>
        <v>258.68215148478868</v>
      </c>
      <c r="T138" s="59">
        <f t="shared" si="142"/>
        <v>153.16792125610209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43.350204888348024</v>
      </c>
      <c r="AA138" s="21">
        <f>EXP(-LN(2)/25)*AA137+(1-EXP(-LN(2)/25))/(LN(2)/25)*Calculateur!V138*Calculateur!X138*VLOOKUP('Données projet'!$B$9,Paramètres!$A$1:$I$89,3,0)*0.475*44/12</f>
        <v>1.6317982489098399</v>
      </c>
      <c r="AB138" s="21">
        <f>EXP(-LN(2)/2)*AB137+(1-EXP(-LN(2)/2))/(LN(2)/2)*V138*Y138*VLOOKUP('Données projet'!$B$9,Paramètres!$A$1:$I$89,3,0)*0.475*44/12</f>
        <v>5.9171232998364602E-3</v>
      </c>
      <c r="AC138" s="22">
        <f t="shared" si="111"/>
        <v>44.987920260557701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268.00000000000011</v>
      </c>
      <c r="AJ138" s="13">
        <f>AI138*VLOOKUP('Données projet'!$B$10,Paramètres!$A$1:$I$89,3,0)*VLOOKUP('Données projet'!$B$10,Paramètres!$A$1:$I$89,5,0)</f>
        <v>271.75200000000012</v>
      </c>
      <c r="AK138" s="13">
        <f t="shared" si="143"/>
        <v>65.220947824724988</v>
      </c>
      <c r="AL138" s="20">
        <f t="shared" si="112"/>
        <v>586.89455079472953</v>
      </c>
      <c r="AM138" s="59">
        <f t="shared" si="113"/>
        <v>880.2278841280629</v>
      </c>
      <c r="AN138" s="59">
        <f ca="1">AVERAGE(OFFSET($AM$3,0,0,'Données projet'!$E$10+1,1))-AVERAGE(OFFSET($H$3,0,0,'Données projet'!$E$10+1,1))</f>
        <v>298.68533387773886</v>
      </c>
      <c r="AO138" s="59">
        <f t="shared" si="144"/>
        <v>176.04868734496114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48.582126167976256</v>
      </c>
      <c r="AV138" s="21">
        <f>EXP(-LN(2)/25)*AV137+(1-EXP(-LN(2)/25))/(LN(2)/25)*Calculateur!AQ138*Calculateur!AS138*VLOOKUP('Données projet'!$B$10,Paramètres!$A$1:$I$89,3,0)*0.475*44/12</f>
        <v>1.8287394168817175</v>
      </c>
      <c r="AW138" s="21">
        <f>EXP(-LN(2)/2)*AW137+(1-EXP(-LN(2)/2))/(LN(2)/2)*AQ138*AT138*VLOOKUP('Données projet'!$B$10,Paramètres!$A$1:$I$89,3,0)*0.475*44/12</f>
        <v>6.6312588705063867E-3</v>
      </c>
      <c r="AX138" s="21">
        <f t="shared" si="114"/>
        <v>50.417496843728479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-5.999999999994543E-2</v>
      </c>
      <c r="BE138" s="13">
        <f>BD138*VLOOKUP('Données projet'!$B$11,Paramètres!$A$1:$I$89,3,0)*VLOOKUP('Données projet'!$B$11,Paramètres!$A$1:$I$89,5,0)</f>
        <v>-2.8079999999974462E-2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83.62456509032836</v>
      </c>
      <c r="BJ138" s="59">
        <f t="shared" si="146"/>
        <v>131.53128089847871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16.511105379414001</v>
      </c>
      <c r="BQ138" s="21">
        <f>EXP(-LN(2)/25)*BQ137+(1-EXP(-LN(2)/25))/(LN(2)/25)*Calculateur!BL138*Calculateur!BN138*VLOOKUP('Données projet'!$B$11,Paramètres!$A$1:$I$89,3,0)*0.475*44/12</f>
        <v>4.1470766890171982</v>
      </c>
      <c r="BR138" s="21">
        <f>EXP(-LN(2)/2)*BR137+(1-EXP(-LN(2)/2))/(LN(2)/2)*BL138*BO138*VLOOKUP('Données projet'!$B$11,Paramètres!$A$1:$I$89,3,0)*0.475*44/12</f>
        <v>2.2326117524075591E-10</v>
      </c>
      <c r="BS138" s="22">
        <f t="shared" si="117"/>
        <v>20.658182068654458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925.00000000000034</v>
      </c>
      <c r="BZ138" s="13">
        <f>BY138*VLOOKUP('Données projet'!$B$12,Paramètres!$A$1:$I$89,3,0)*VLOOKUP('Données projet'!$B$12,Paramètres!$A$1:$I$89,5,0)</f>
        <v>408.85000000000014</v>
      </c>
      <c r="CA138" s="13">
        <f t="shared" si="147"/>
        <v>93.568575358321141</v>
      </c>
      <c r="CB138" s="20">
        <f t="shared" si="118"/>
        <v>875.04568541574281</v>
      </c>
      <c r="CC138" s="59">
        <f t="shared" si="119"/>
        <v>1168.3790187490761</v>
      </c>
      <c r="CD138" s="59">
        <f ca="1">AVERAGE(OFFSET($CC$3,0,0,'Données projet'!$E$12+1,1))-AVERAGE(OFFSET($H$3,0,0,'Données projet'!$E$12+1,1))</f>
        <v>415.83983761562189</v>
      </c>
      <c r="CE138" s="59">
        <f t="shared" si="148"/>
        <v>339.37869344688829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23.010943068565087</v>
      </c>
      <c r="CL138" s="21">
        <f>EXP(-LN(2)/25)*CL137+(1-EXP(-LN(2)/25))/(LN(2)/25)*Calculateur!CG138*Calculateur!CI138*VLOOKUP('Données projet'!$B$12,Paramètres!$A$1:$I$89,3,0)*0.475*44/12</f>
        <v>6.3826125173878943</v>
      </c>
      <c r="CM138" s="21">
        <f>EXP(-LN(2)/2)*CM137+(1-EXP(-LN(2)/2))/(LN(2)/2)*CG138*CJ138*VLOOKUP('Données projet'!$B$12,Paramètres!$A$1:$I$89,3,0)*0.475*44/12</f>
        <v>1.2921586367748746E-8</v>
      </c>
      <c r="CN138" s="22">
        <f t="shared" si="120"/>
        <v>29.393555598874567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268.00000000000011</v>
      </c>
      <c r="O139" s="13">
        <f>N139*VLOOKUP('Données projet'!$B$9,Paramètres!$A$1:$I$89,3,0)*VLOOKUP('Données projet'!$B$9,Paramètres!$A$1:$I$89,5,0)</f>
        <v>242.48640000000009</v>
      </c>
      <c r="P139" s="13">
        <f t="shared" si="141"/>
        <v>58.974170235372476</v>
      </c>
      <c r="Q139" s="20">
        <f t="shared" si="108"/>
        <v>525.04382649327385</v>
      </c>
      <c r="R139" s="59">
        <f t="shared" si="109"/>
        <v>818.37715982660711</v>
      </c>
      <c r="S139" s="59">
        <f ca="1">AVERAGE(OFFSET($R$3,0,0,'Données projet'!$E$9+1,1))-AVERAGE(OFFSET($H$3,0,0,'Données projet'!$E$9+1,1))</f>
        <v>258.68215148478868</v>
      </c>
      <c r="T139" s="59">
        <f t="shared" si="142"/>
        <v>153.16792125610209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42.500133811501669</v>
      </c>
      <c r="AA139" s="21">
        <f>EXP(-LN(2)/25)*AA138+(1-EXP(-LN(2)/25))/(LN(2)/25)*Calculateur!V139*Calculateur!X139*VLOOKUP('Données projet'!$B$9,Paramètres!$A$1:$I$89,3,0)*0.475*44/12</f>
        <v>1.58717663998086</v>
      </c>
      <c r="AB139" s="21">
        <f>EXP(-LN(2)/2)*AB138+(1-EXP(-LN(2)/2))/(LN(2)/2)*V139*Y139*VLOOKUP('Données projet'!$B$9,Paramètres!$A$1:$I$89,3,0)*0.475*44/12</f>
        <v>4.1840380104312819E-3</v>
      </c>
      <c r="AC139" s="22">
        <f t="shared" si="111"/>
        <v>44.091494489492959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268.00000000000011</v>
      </c>
      <c r="AJ139" s="13">
        <f>AI139*VLOOKUP('Données projet'!$B$10,Paramètres!$A$1:$I$89,3,0)*VLOOKUP('Données projet'!$B$10,Paramètres!$A$1:$I$89,5,0)</f>
        <v>271.75200000000012</v>
      </c>
      <c r="AK139" s="13">
        <f t="shared" si="143"/>
        <v>65.220947824724988</v>
      </c>
      <c r="AL139" s="20">
        <f t="shared" si="112"/>
        <v>586.89455079472953</v>
      </c>
      <c r="AM139" s="59">
        <f t="shared" si="113"/>
        <v>880.2278841280629</v>
      </c>
      <c r="AN139" s="59">
        <f ca="1">AVERAGE(OFFSET($AM$3,0,0,'Données projet'!$E$10+1,1))-AVERAGE(OFFSET($H$3,0,0,'Données projet'!$E$10+1,1))</f>
        <v>298.68533387773886</v>
      </c>
      <c r="AO139" s="59">
        <f t="shared" si="144"/>
        <v>176.04868734496114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47.62946030599327</v>
      </c>
      <c r="AV139" s="21">
        <f>EXP(-LN(2)/25)*AV138+(1-EXP(-LN(2)/25))/(LN(2)/25)*Calculateur!AQ139*Calculateur!AS139*VLOOKUP('Données projet'!$B$10,Paramètres!$A$1:$I$89,3,0)*0.475*44/12</f>
        <v>1.7787324413578607</v>
      </c>
      <c r="AW139" s="21">
        <f>EXP(-LN(2)/2)*AW138+(1-EXP(-LN(2)/2))/(LN(2)/2)*AQ139*AT139*VLOOKUP('Données projet'!$B$10,Paramètres!$A$1:$I$89,3,0)*0.475*44/12</f>
        <v>4.6890081151385122E-3</v>
      </c>
      <c r="AX139" s="21">
        <f t="shared" si="114"/>
        <v>49.412881755466266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-5.999999999994543E-2</v>
      </c>
      <c r="BE139" s="13">
        <f>BD139*VLOOKUP('Données projet'!$B$11,Paramètres!$A$1:$I$89,3,0)*VLOOKUP('Données projet'!$B$11,Paramètres!$A$1:$I$89,5,0)</f>
        <v>-2.8079999999974462E-2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83.62456509032836</v>
      </c>
      <c r="BJ139" s="59">
        <f t="shared" si="146"/>
        <v>131.53128089847871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16.187332673703565</v>
      </c>
      <c r="BQ139" s="21">
        <f>EXP(-LN(2)/25)*BQ138+(1-EXP(-LN(2)/25))/(LN(2)/25)*Calculateur!BL139*Calculateur!BN139*VLOOKUP('Données projet'!$B$11,Paramètres!$A$1:$I$89,3,0)*0.475*44/12</f>
        <v>4.033674658870738</v>
      </c>
      <c r="BR139" s="21">
        <f>EXP(-LN(2)/2)*BR138+(1-EXP(-LN(2)/2))/(LN(2)/2)*BL139*BO139*VLOOKUP('Données projet'!$B$11,Paramètres!$A$1:$I$89,3,0)*0.475*44/12</f>
        <v>1.5786949098841664E-10</v>
      </c>
      <c r="BS139" s="22">
        <f t="shared" si="117"/>
        <v>20.221007332732171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925.00000000000034</v>
      </c>
      <c r="BZ139" s="13">
        <f>BY139*VLOOKUP('Données projet'!$B$12,Paramètres!$A$1:$I$89,3,0)*VLOOKUP('Données projet'!$B$12,Paramètres!$A$1:$I$89,5,0)</f>
        <v>408.85000000000014</v>
      </c>
      <c r="CA139" s="13">
        <f t="shared" si="147"/>
        <v>93.568575358321141</v>
      </c>
      <c r="CB139" s="20">
        <f t="shared" si="118"/>
        <v>875.04568541574281</v>
      </c>
      <c r="CC139" s="59">
        <f t="shared" si="119"/>
        <v>1168.3790187490761</v>
      </c>
      <c r="CD139" s="59">
        <f ca="1">AVERAGE(OFFSET($CC$3,0,0,'Données projet'!$E$12+1,1))-AVERAGE(OFFSET($H$3,0,0,'Données projet'!$E$12+1,1))</f>
        <v>415.83983761562189</v>
      </c>
      <c r="CE139" s="59">
        <f t="shared" si="148"/>
        <v>339.37869344688829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22.559712510279926</v>
      </c>
      <c r="CL139" s="21">
        <f>EXP(-LN(2)/25)*CL138+(1-EXP(-LN(2)/25))/(LN(2)/25)*Calculateur!CG139*Calculateur!CI139*VLOOKUP('Données projet'!$B$12,Paramètres!$A$1:$I$89,3,0)*0.475*44/12</f>
        <v>6.2080796424529181</v>
      </c>
      <c r="CM139" s="21">
        <f>EXP(-LN(2)/2)*CM138+(1-EXP(-LN(2)/2))/(LN(2)/2)*CG139*CJ139*VLOOKUP('Données projet'!$B$12,Paramètres!$A$1:$I$89,3,0)*0.475*44/12</f>
        <v>9.1369413443227878E-9</v>
      </c>
      <c r="CN139" s="22">
        <f t="shared" si="120"/>
        <v>28.767792161869785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268.00000000000011</v>
      </c>
      <c r="O140" s="13">
        <f>N140*VLOOKUP('Données projet'!$B$9,Paramètres!$A$1:$I$89,3,0)*VLOOKUP('Données projet'!$B$9,Paramètres!$A$1:$I$89,5,0)</f>
        <v>242.48640000000009</v>
      </c>
      <c r="P140" s="13">
        <f t="shared" si="141"/>
        <v>58.974170235372476</v>
      </c>
      <c r="Q140" s="20">
        <f t="shared" si="108"/>
        <v>525.04382649327385</v>
      </c>
      <c r="R140" s="59">
        <f t="shared" si="109"/>
        <v>818.37715982660711</v>
      </c>
      <c r="S140" s="59">
        <f ca="1">AVERAGE(OFFSET($R$3,0,0,'Données projet'!$E$9+1,1))-AVERAGE(OFFSET($H$3,0,0,'Données projet'!$E$9+1,1))</f>
        <v>258.68215148478868</v>
      </c>
      <c r="T140" s="59">
        <f t="shared" si="142"/>
        <v>153.16792125610209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41.66673210998011</v>
      </c>
      <c r="AA140" s="21">
        <f>EXP(-LN(2)/25)*AA139+(1-EXP(-LN(2)/25))/(LN(2)/25)*Calculateur!V140*Calculateur!X140*VLOOKUP('Données projet'!$B$9,Paramètres!$A$1:$I$89,3,0)*0.475*44/12</f>
        <v>1.5437752112945915</v>
      </c>
      <c r="AB140" s="21">
        <f>EXP(-LN(2)/2)*AB139+(1-EXP(-LN(2)/2))/(LN(2)/2)*V140*Y140*VLOOKUP('Données projet'!$B$9,Paramètres!$A$1:$I$89,3,0)*0.475*44/12</f>
        <v>2.9585616499182301E-3</v>
      </c>
      <c r="AC140" s="22">
        <f t="shared" si="111"/>
        <v>43.213465882924623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268.00000000000011</v>
      </c>
      <c r="AJ140" s="13">
        <f>AI140*VLOOKUP('Données projet'!$B$10,Paramètres!$A$1:$I$89,3,0)*VLOOKUP('Données projet'!$B$10,Paramètres!$A$1:$I$89,5,0)</f>
        <v>271.75200000000012</v>
      </c>
      <c r="AK140" s="13">
        <f t="shared" si="143"/>
        <v>65.220947824724988</v>
      </c>
      <c r="AL140" s="20">
        <f t="shared" si="112"/>
        <v>586.89455079472953</v>
      </c>
      <c r="AM140" s="59">
        <f t="shared" si="113"/>
        <v>880.2278841280629</v>
      </c>
      <c r="AN140" s="59">
        <f ca="1">AVERAGE(OFFSET($AM$3,0,0,'Données projet'!$E$10+1,1))-AVERAGE(OFFSET($H$3,0,0,'Données projet'!$E$10+1,1))</f>
        <v>298.68533387773886</v>
      </c>
      <c r="AO140" s="59">
        <f t="shared" si="144"/>
        <v>176.04868734496114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46.695475640494969</v>
      </c>
      <c r="AV140" s="21">
        <f>EXP(-LN(2)/25)*AV139+(1-EXP(-LN(2)/25))/(LN(2)/25)*Calculateur!AQ140*Calculateur!AS140*VLOOKUP('Données projet'!$B$10,Paramètres!$A$1:$I$89,3,0)*0.475*44/12</f>
        <v>1.7300929092094561</v>
      </c>
      <c r="AW140" s="21">
        <f>EXP(-LN(2)/2)*AW139+(1-EXP(-LN(2)/2))/(LN(2)/2)*AQ140*AT140*VLOOKUP('Données projet'!$B$10,Paramètres!$A$1:$I$89,3,0)*0.475*44/12</f>
        <v>3.3156294352531938E-3</v>
      </c>
      <c r="AX140" s="21">
        <f t="shared" si="114"/>
        <v>48.428884179139679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-5.999999999994543E-2</v>
      </c>
      <c r="BE140" s="13">
        <f>BD140*VLOOKUP('Données projet'!$B$11,Paramètres!$A$1:$I$89,3,0)*VLOOKUP('Données projet'!$B$11,Paramètres!$A$1:$I$89,5,0)</f>
        <v>-2.8079999999974462E-2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83.62456509032836</v>
      </c>
      <c r="BJ140" s="59">
        <f t="shared" si="146"/>
        <v>131.53128089847871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15.869908953270262</v>
      </c>
      <c r="BQ140" s="21">
        <f>EXP(-LN(2)/25)*BQ139+(1-EXP(-LN(2)/25))/(LN(2)/25)*Calculateur!BL140*Calculateur!BN140*VLOOKUP('Données projet'!$B$11,Paramètres!$A$1:$I$89,3,0)*0.475*44/12</f>
        <v>3.9233736132021866</v>
      </c>
      <c r="BR140" s="21">
        <f>EXP(-LN(2)/2)*BR139+(1-EXP(-LN(2)/2))/(LN(2)/2)*BL140*BO140*VLOOKUP('Données projet'!$B$11,Paramètres!$A$1:$I$89,3,0)*0.475*44/12</f>
        <v>1.1163058762037797E-10</v>
      </c>
      <c r="BS140" s="22">
        <f t="shared" si="117"/>
        <v>19.793282566584079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925.00000000000034</v>
      </c>
      <c r="BZ140" s="13">
        <f>BY140*VLOOKUP('Données projet'!$B$12,Paramètres!$A$1:$I$89,3,0)*VLOOKUP('Données projet'!$B$12,Paramètres!$A$1:$I$89,5,0)</f>
        <v>408.85000000000014</v>
      </c>
      <c r="CA140" s="13">
        <f t="shared" si="147"/>
        <v>93.568575358321141</v>
      </c>
      <c r="CB140" s="20">
        <f t="shared" si="118"/>
        <v>875.04568541574281</v>
      </c>
      <c r="CC140" s="59">
        <f t="shared" si="119"/>
        <v>1168.3790187490761</v>
      </c>
      <c r="CD140" s="59">
        <f ca="1">AVERAGE(OFFSET($CC$3,0,0,'Données projet'!$E$12+1,1))-AVERAGE(OFFSET($H$3,0,0,'Données projet'!$E$12+1,1))</f>
        <v>415.83983761562189</v>
      </c>
      <c r="CE140" s="59">
        <f t="shared" si="148"/>
        <v>339.37869344688829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22.117330308019273</v>
      </c>
      <c r="CL140" s="21">
        <f>EXP(-LN(2)/25)*CL139+(1-EXP(-LN(2)/25))/(LN(2)/25)*Calculateur!CG140*Calculateur!CI140*VLOOKUP('Données projet'!$B$12,Paramètres!$A$1:$I$89,3,0)*0.475*44/12</f>
        <v>6.0383193781613231</v>
      </c>
      <c r="CM140" s="21">
        <f>EXP(-LN(2)/2)*CM139+(1-EXP(-LN(2)/2))/(LN(2)/2)*CG140*CJ140*VLOOKUP('Données projet'!$B$12,Paramètres!$A$1:$I$89,3,0)*0.475*44/12</f>
        <v>6.460793183874373E-9</v>
      </c>
      <c r="CN140" s="22">
        <f t="shared" si="120"/>
        <v>28.15564969264139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268.00000000000011</v>
      </c>
      <c r="O141" s="13">
        <f>N141*VLOOKUP('Données projet'!$B$9,Paramètres!$A$1:$I$89,3,0)*VLOOKUP('Données projet'!$B$9,Paramètres!$A$1:$I$89,5,0)</f>
        <v>242.48640000000009</v>
      </c>
      <c r="P141" s="13">
        <f t="shared" si="141"/>
        <v>58.974170235372476</v>
      </c>
      <c r="Q141" s="20">
        <f t="shared" si="108"/>
        <v>525.04382649327385</v>
      </c>
      <c r="R141" s="59">
        <f t="shared" si="109"/>
        <v>818.37715982660711</v>
      </c>
      <c r="S141" s="59">
        <f ca="1">AVERAGE(OFFSET($R$3,0,0,'Données projet'!$E$9+1,1))-AVERAGE(OFFSET($H$3,0,0,'Données projet'!$E$9+1,1))</f>
        <v>258.68215148478868</v>
      </c>
      <c r="T141" s="59">
        <f t="shared" si="142"/>
        <v>153.16792125610209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40.84967290750054</v>
      </c>
      <c r="AA141" s="21">
        <f>EXP(-LN(2)/25)*AA140+(1-EXP(-LN(2)/25))/(LN(2)/25)*Calculateur!V141*Calculateur!X141*VLOOKUP('Données projet'!$B$9,Paramètres!$A$1:$I$89,3,0)*0.475*44/12</f>
        <v>1.5015605969581309</v>
      </c>
      <c r="AB141" s="21">
        <f>EXP(-LN(2)/2)*AB140+(1-EXP(-LN(2)/2))/(LN(2)/2)*V141*Y141*VLOOKUP('Données projet'!$B$9,Paramètres!$A$1:$I$89,3,0)*0.475*44/12</f>
        <v>2.0920190052156409E-3</v>
      </c>
      <c r="AC141" s="22">
        <f t="shared" si="111"/>
        <v>42.353325523463887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268.00000000000011</v>
      </c>
      <c r="AJ141" s="13">
        <f>AI141*VLOOKUP('Données projet'!$B$10,Paramètres!$A$1:$I$89,3,0)*VLOOKUP('Données projet'!$B$10,Paramètres!$A$1:$I$89,5,0)</f>
        <v>271.75200000000012</v>
      </c>
      <c r="AK141" s="13">
        <f t="shared" si="143"/>
        <v>65.220947824724988</v>
      </c>
      <c r="AL141" s="20">
        <f t="shared" si="112"/>
        <v>586.89455079472953</v>
      </c>
      <c r="AM141" s="59">
        <f t="shared" si="113"/>
        <v>880.2278841280629</v>
      </c>
      <c r="AN141" s="59">
        <f ca="1">AVERAGE(OFFSET($AM$3,0,0,'Données projet'!$E$10+1,1))-AVERAGE(OFFSET($H$3,0,0,'Données projet'!$E$10+1,1))</f>
        <v>298.68533387773886</v>
      </c>
      <c r="AO141" s="59">
        <f t="shared" si="144"/>
        <v>176.04868734496114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45.779805844612696</v>
      </c>
      <c r="AV141" s="21">
        <f>EXP(-LN(2)/25)*AV140+(1-EXP(-LN(2)/25))/(LN(2)/25)*Calculateur!AQ141*Calculateur!AS141*VLOOKUP('Données projet'!$B$10,Paramètres!$A$1:$I$89,3,0)*0.475*44/12</f>
        <v>1.6827834276254916</v>
      </c>
      <c r="AW141" s="21">
        <f>EXP(-LN(2)/2)*AW140+(1-EXP(-LN(2)/2))/(LN(2)/2)*AQ141*AT141*VLOOKUP('Données projet'!$B$10,Paramètres!$A$1:$I$89,3,0)*0.475*44/12</f>
        <v>2.3445040575692565E-3</v>
      </c>
      <c r="AX141" s="21">
        <f t="shared" si="114"/>
        <v>47.464933776295759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-5.999999999994543E-2</v>
      </c>
      <c r="BE141" s="13">
        <f>BD141*VLOOKUP('Données projet'!$B$11,Paramètres!$A$1:$I$89,3,0)*VLOOKUP('Données projet'!$B$11,Paramètres!$A$1:$I$89,5,0)</f>
        <v>-2.8079999999974462E-2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83.62456509032836</v>
      </c>
      <c r="BJ141" s="59">
        <f t="shared" si="146"/>
        <v>131.53128089847871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15.558709718385304</v>
      </c>
      <c r="BQ141" s="21">
        <f>EXP(-LN(2)/25)*BQ140+(1-EXP(-LN(2)/25))/(LN(2)/25)*Calculateur!BL141*Calculateur!BN141*VLOOKUP('Données projet'!$B$11,Paramètres!$A$1:$I$89,3,0)*0.475*44/12</f>
        <v>3.8160887554279213</v>
      </c>
      <c r="BR141" s="21">
        <f>EXP(-LN(2)/2)*BR140+(1-EXP(-LN(2)/2))/(LN(2)/2)*BL141*BO141*VLOOKUP('Données projet'!$B$11,Paramètres!$A$1:$I$89,3,0)*0.475*44/12</f>
        <v>7.8934745494208322E-11</v>
      </c>
      <c r="BS141" s="22">
        <f t="shared" si="117"/>
        <v>19.374798473892159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925.00000000000034</v>
      </c>
      <c r="BZ141" s="13">
        <f>BY141*VLOOKUP('Données projet'!$B$12,Paramètres!$A$1:$I$89,3,0)*VLOOKUP('Données projet'!$B$12,Paramètres!$A$1:$I$89,5,0)</f>
        <v>408.85000000000014</v>
      </c>
      <c r="CA141" s="13">
        <f t="shared" si="147"/>
        <v>93.568575358321141</v>
      </c>
      <c r="CB141" s="20">
        <f t="shared" si="118"/>
        <v>875.04568541574281</v>
      </c>
      <c r="CC141" s="59">
        <f t="shared" si="119"/>
        <v>1168.3790187490761</v>
      </c>
      <c r="CD141" s="59">
        <f ca="1">AVERAGE(OFFSET($CC$3,0,0,'Données projet'!$E$12+1,1))-AVERAGE(OFFSET($H$3,0,0,'Données projet'!$E$12+1,1))</f>
        <v>415.83983761562189</v>
      </c>
      <c r="CE141" s="59">
        <f t="shared" si="148"/>
        <v>339.37869344688829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21.683622950918451</v>
      </c>
      <c r="CL141" s="21">
        <f>EXP(-LN(2)/25)*CL140+(1-EXP(-LN(2)/25))/(LN(2)/25)*Calculateur!CG141*Calculateur!CI141*VLOOKUP('Données projet'!$B$12,Paramètres!$A$1:$I$89,3,0)*0.475*44/12</f>
        <v>5.8732012172240866</v>
      </c>
      <c r="CM141" s="21">
        <f>EXP(-LN(2)/2)*CM140+(1-EXP(-LN(2)/2))/(LN(2)/2)*CG141*CJ141*VLOOKUP('Données projet'!$B$12,Paramètres!$A$1:$I$89,3,0)*0.475*44/12</f>
        <v>4.5684706721613939E-9</v>
      </c>
      <c r="CN141" s="22">
        <f t="shared" si="120"/>
        <v>27.556824172711007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268.00000000000011</v>
      </c>
      <c r="O142" s="13">
        <f>N142*VLOOKUP('Données projet'!$B$9,Paramètres!$A$1:$I$89,3,0)*VLOOKUP('Données projet'!$B$9,Paramètres!$A$1:$I$89,5,0)</f>
        <v>242.48640000000009</v>
      </c>
      <c r="P142" s="13">
        <f t="shared" si="141"/>
        <v>58.974170235372476</v>
      </c>
      <c r="Q142" s="20">
        <f t="shared" si="108"/>
        <v>525.04382649327385</v>
      </c>
      <c r="R142" s="59">
        <f t="shared" si="109"/>
        <v>818.37715982660711</v>
      </c>
      <c r="S142" s="59">
        <f ca="1">AVERAGE(OFFSET($R$3,0,0,'Données projet'!$E$9+1,1))-AVERAGE(OFFSET($H$3,0,0,'Données projet'!$E$9+1,1))</f>
        <v>258.68215148478868</v>
      </c>
      <c r="T142" s="59">
        <f t="shared" si="142"/>
        <v>153.16792125610209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40.048635737624693</v>
      </c>
      <c r="AA142" s="21">
        <f>EXP(-LN(2)/25)*AA141+(1-EXP(-LN(2)/25))/(LN(2)/25)*Calculateur!V142*Calculateur!X142*VLOOKUP('Données projet'!$B$9,Paramètres!$A$1:$I$89,3,0)*0.475*44/12</f>
        <v>1.4605003434706709</v>
      </c>
      <c r="AB142" s="21">
        <f>EXP(-LN(2)/2)*AB141+(1-EXP(-LN(2)/2))/(LN(2)/2)*V142*Y142*VLOOKUP('Données projet'!$B$9,Paramètres!$A$1:$I$89,3,0)*0.475*44/12</f>
        <v>1.479280824959115E-3</v>
      </c>
      <c r="AC142" s="22">
        <f t="shared" si="111"/>
        <v>41.510615361920323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268.00000000000011</v>
      </c>
      <c r="AJ142" s="13">
        <f>AI142*VLOOKUP('Données projet'!$B$10,Paramètres!$A$1:$I$89,3,0)*VLOOKUP('Données projet'!$B$10,Paramètres!$A$1:$I$89,5,0)</f>
        <v>271.75200000000012</v>
      </c>
      <c r="AK142" s="13">
        <f t="shared" si="143"/>
        <v>65.220947824724988</v>
      </c>
      <c r="AL142" s="20">
        <f t="shared" si="112"/>
        <v>586.89455079472953</v>
      </c>
      <c r="AM142" s="59">
        <f t="shared" si="113"/>
        <v>880.2278841280629</v>
      </c>
      <c r="AN142" s="59">
        <f ca="1">AVERAGE(OFFSET($AM$3,0,0,'Données projet'!$E$10+1,1))-AVERAGE(OFFSET($H$3,0,0,'Données projet'!$E$10+1,1))</f>
        <v>298.68533387773886</v>
      </c>
      <c r="AO142" s="59">
        <f t="shared" si="144"/>
        <v>176.04868734496114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44.882091774924248</v>
      </c>
      <c r="AV142" s="21">
        <f>EXP(-LN(2)/25)*AV141+(1-EXP(-LN(2)/25))/(LN(2)/25)*Calculateur!AQ142*Calculateur!AS142*VLOOKUP('Données projet'!$B$10,Paramètres!$A$1:$I$89,3,0)*0.475*44/12</f>
        <v>1.6367676263033382</v>
      </c>
      <c r="AW142" s="21">
        <f>EXP(-LN(2)/2)*AW141+(1-EXP(-LN(2)/2))/(LN(2)/2)*AQ142*AT142*VLOOKUP('Données projet'!$B$10,Paramètres!$A$1:$I$89,3,0)*0.475*44/12</f>
        <v>1.6578147176265971E-3</v>
      </c>
      <c r="AX142" s="21">
        <f t="shared" si="114"/>
        <v>46.520517215945212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-5.999999999994543E-2</v>
      </c>
      <c r="BE142" s="13">
        <f>BD142*VLOOKUP('Données projet'!$B$11,Paramètres!$A$1:$I$89,3,0)*VLOOKUP('Données projet'!$B$11,Paramètres!$A$1:$I$89,5,0)</f>
        <v>-2.8079999999974462E-2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83.62456509032836</v>
      </c>
      <c r="BJ142" s="59">
        <f t="shared" si="146"/>
        <v>131.53128089847871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15.253612910683648</v>
      </c>
      <c r="BQ142" s="21">
        <f>EXP(-LN(2)/25)*BQ141+(1-EXP(-LN(2)/25))/(LN(2)/25)*Calculateur!BL142*Calculateur!BN142*VLOOKUP('Données projet'!$B$11,Paramètres!$A$1:$I$89,3,0)*0.475*44/12</f>
        <v>3.7117376077313589</v>
      </c>
      <c r="BR142" s="21">
        <f>EXP(-LN(2)/2)*BR141+(1-EXP(-LN(2)/2))/(LN(2)/2)*BL142*BO142*VLOOKUP('Données projet'!$B$11,Paramètres!$A$1:$I$89,3,0)*0.475*44/12</f>
        <v>5.5815293810188983E-11</v>
      </c>
      <c r="BS142" s="22">
        <f t="shared" si="117"/>
        <v>18.965350518470824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925.00000000000034</v>
      </c>
      <c r="BZ142" s="13">
        <f>BY142*VLOOKUP('Données projet'!$B$12,Paramètres!$A$1:$I$89,3,0)*VLOOKUP('Données projet'!$B$12,Paramètres!$A$1:$I$89,5,0)</f>
        <v>408.85000000000014</v>
      </c>
      <c r="CA142" s="13">
        <f t="shared" si="147"/>
        <v>93.568575358321141</v>
      </c>
      <c r="CB142" s="20">
        <f t="shared" si="118"/>
        <v>875.04568541574281</v>
      </c>
      <c r="CC142" s="59">
        <f t="shared" si="119"/>
        <v>1168.3790187490761</v>
      </c>
      <c r="CD142" s="59">
        <f ca="1">AVERAGE(OFFSET($CC$3,0,0,'Données projet'!$E$12+1,1))-AVERAGE(OFFSET($H$3,0,0,'Données projet'!$E$12+1,1))</f>
        <v>415.83983761562189</v>
      </c>
      <c r="CE142" s="59">
        <f t="shared" si="148"/>
        <v>339.37869344688829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21.258420330555012</v>
      </c>
      <c r="CL142" s="21">
        <f>EXP(-LN(2)/25)*CL141+(1-EXP(-LN(2)/25))/(LN(2)/25)*Calculateur!CG142*Calculateur!CI142*VLOOKUP('Données projet'!$B$12,Paramètres!$A$1:$I$89,3,0)*0.475*44/12</f>
        <v>5.7125982210808655</v>
      </c>
      <c r="CM142" s="21">
        <f>EXP(-LN(2)/2)*CM141+(1-EXP(-LN(2)/2))/(LN(2)/2)*CG142*CJ142*VLOOKUP('Données projet'!$B$12,Paramètres!$A$1:$I$89,3,0)*0.475*44/12</f>
        <v>3.2303965919371865E-9</v>
      </c>
      <c r="CN142" s="22">
        <f t="shared" si="120"/>
        <v>26.971018554866276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268.00000000000011</v>
      </c>
      <c r="O143" s="13">
        <f>N143*VLOOKUP('Données projet'!$B$9,Paramètres!$A$1:$I$89,3,0)*VLOOKUP('Données projet'!$B$9,Paramètres!$A$1:$I$89,5,0)</f>
        <v>242.48640000000009</v>
      </c>
      <c r="P143" s="13">
        <f t="shared" si="141"/>
        <v>58.974170235372476</v>
      </c>
      <c r="Q143" s="20">
        <f t="shared" si="108"/>
        <v>525.04382649327385</v>
      </c>
      <c r="R143" s="59">
        <f t="shared" si="109"/>
        <v>818.37715982660711</v>
      </c>
      <c r="S143" s="59">
        <f ca="1">AVERAGE(OFFSET($R$3,0,0,'Données projet'!$E$9+1,1))-AVERAGE(OFFSET($H$3,0,0,'Données projet'!$E$9+1,1))</f>
        <v>258.68215148478868</v>
      </c>
      <c r="T143" s="59">
        <f t="shared" si="142"/>
        <v>153.16792125610209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39.263306418065682</v>
      </c>
      <c r="AA143" s="21">
        <f>EXP(-LN(2)/25)*AA142+(1-EXP(-LN(2)/25))/(LN(2)/25)*Calculateur!V143*Calculateur!X143*VLOOKUP('Données projet'!$B$9,Paramètres!$A$1:$I$89,3,0)*0.475*44/12</f>
        <v>1.4205628847740903</v>
      </c>
      <c r="AB143" s="21">
        <f>EXP(-LN(2)/2)*AB142+(1-EXP(-LN(2)/2))/(LN(2)/2)*V143*Y143*VLOOKUP('Données projet'!$B$9,Paramètres!$A$1:$I$89,3,0)*0.475*44/12</f>
        <v>1.0460095026078205E-3</v>
      </c>
      <c r="AC143" s="22">
        <f t="shared" si="111"/>
        <v>40.684915312342383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268.00000000000011</v>
      </c>
      <c r="AJ143" s="13">
        <f>AI143*VLOOKUP('Données projet'!$B$10,Paramètres!$A$1:$I$89,3,0)*VLOOKUP('Données projet'!$B$10,Paramètres!$A$1:$I$89,5,0)</f>
        <v>271.75200000000012</v>
      </c>
      <c r="AK143" s="13">
        <f t="shared" si="143"/>
        <v>65.220947824724988</v>
      </c>
      <c r="AL143" s="20">
        <f t="shared" si="112"/>
        <v>586.89455079472953</v>
      </c>
      <c r="AM143" s="59">
        <f t="shared" si="113"/>
        <v>880.2278841280629</v>
      </c>
      <c r="AN143" s="59">
        <f ca="1">AVERAGE(OFFSET($AM$3,0,0,'Données projet'!$E$10+1,1))-AVERAGE(OFFSET($H$3,0,0,'Données projet'!$E$10+1,1))</f>
        <v>298.68533387773886</v>
      </c>
      <c r="AO143" s="59">
        <f t="shared" si="144"/>
        <v>176.04868734496114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44.001981330590873</v>
      </c>
      <c r="AV143" s="21">
        <f>EXP(-LN(2)/25)*AV142+(1-EXP(-LN(2)/25))/(LN(2)/25)*Calculateur!AQ143*Calculateur!AS143*VLOOKUP('Données projet'!$B$10,Paramètres!$A$1:$I$89,3,0)*0.475*44/12</f>
        <v>1.5920101294882048</v>
      </c>
      <c r="AW143" s="21">
        <f>EXP(-LN(2)/2)*AW142+(1-EXP(-LN(2)/2))/(LN(2)/2)*AQ143*AT143*VLOOKUP('Données projet'!$B$10,Paramètres!$A$1:$I$89,3,0)*0.475*44/12</f>
        <v>1.1722520287846283E-3</v>
      </c>
      <c r="AX143" s="21">
        <f t="shared" si="114"/>
        <v>45.595163712107862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-5.999999999994543E-2</v>
      </c>
      <c r="BE143" s="13">
        <f>BD143*VLOOKUP('Données projet'!$B$11,Paramètres!$A$1:$I$89,3,0)*VLOOKUP('Données projet'!$B$11,Paramètres!$A$1:$I$89,5,0)</f>
        <v>-2.8079999999974462E-2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83.62456509032836</v>
      </c>
      <c r="BJ143" s="59">
        <f t="shared" si="146"/>
        <v>131.53128089847871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14.954498865290345</v>
      </c>
      <c r="BQ143" s="21">
        <f>EXP(-LN(2)/25)*BQ142+(1-EXP(-LN(2)/25))/(LN(2)/25)*Calculateur!BL143*Calculateur!BN143*VLOOKUP('Données projet'!$B$11,Paramètres!$A$1:$I$89,3,0)*0.475*44/12</f>
        <v>3.6102399476561473</v>
      </c>
      <c r="BR143" s="21">
        <f>EXP(-LN(2)/2)*BR142+(1-EXP(-LN(2)/2))/(LN(2)/2)*BL143*BO143*VLOOKUP('Données projet'!$B$11,Paramètres!$A$1:$I$89,3,0)*0.475*44/12</f>
        <v>3.9467372747104161E-11</v>
      </c>
      <c r="BS143" s="22">
        <f t="shared" si="117"/>
        <v>18.564738812985961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925.00000000000034</v>
      </c>
      <c r="BZ143" s="13">
        <f>BY143*VLOOKUP('Données projet'!$B$12,Paramètres!$A$1:$I$89,3,0)*VLOOKUP('Données projet'!$B$12,Paramètres!$A$1:$I$89,5,0)</f>
        <v>408.85000000000014</v>
      </c>
      <c r="CA143" s="13">
        <f t="shared" si="147"/>
        <v>93.568575358321141</v>
      </c>
      <c r="CB143" s="20">
        <f t="shared" si="118"/>
        <v>875.04568541574281</v>
      </c>
      <c r="CC143" s="59">
        <f t="shared" si="119"/>
        <v>1168.3790187490761</v>
      </c>
      <c r="CD143" s="59">
        <f ca="1">AVERAGE(OFFSET($CC$3,0,0,'Données projet'!$E$12+1,1))-AVERAGE(OFFSET($H$3,0,0,'Données projet'!$E$12+1,1))</f>
        <v>415.83983761562189</v>
      </c>
      <c r="CE143" s="59">
        <f t="shared" si="148"/>
        <v>339.37869344688829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20.841555674228907</v>
      </c>
      <c r="CL143" s="21">
        <f>EXP(-LN(2)/25)*CL142+(1-EXP(-LN(2)/25))/(LN(2)/25)*Calculateur!CG143*Calculateur!CI143*VLOOKUP('Données projet'!$B$12,Paramètres!$A$1:$I$89,3,0)*0.475*44/12</f>
        <v>5.5563869223129254</v>
      </c>
      <c r="CM143" s="21">
        <f>EXP(-LN(2)/2)*CM142+(1-EXP(-LN(2)/2))/(LN(2)/2)*CG143*CJ143*VLOOKUP('Données projet'!$B$12,Paramètres!$A$1:$I$89,3,0)*0.475*44/12</f>
        <v>2.284235336080697E-9</v>
      </c>
      <c r="CN143" s="22">
        <f t="shared" si="120"/>
        <v>26.397942598826067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268.00000000000011</v>
      </c>
      <c r="O144" s="13">
        <f>N144*VLOOKUP('Données projet'!$B$9,Paramètres!$A$1:$I$89,3,0)*VLOOKUP('Données projet'!$B$9,Paramètres!$A$1:$I$89,5,0)</f>
        <v>242.48640000000009</v>
      </c>
      <c r="P144" s="13">
        <f t="shared" si="141"/>
        <v>58.974170235372476</v>
      </c>
      <c r="Q144" s="20">
        <f t="shared" si="108"/>
        <v>525.04382649327385</v>
      </c>
      <c r="R144" s="59">
        <f t="shared" si="109"/>
        <v>818.37715982660711</v>
      </c>
      <c r="S144" s="59">
        <f ca="1">AVERAGE(OFFSET($R$3,0,0,'Données projet'!$E$9+1,1))-AVERAGE(OFFSET($H$3,0,0,'Données projet'!$E$9+1,1))</f>
        <v>258.68215148478868</v>
      </c>
      <c r="T144" s="59">
        <f t="shared" si="142"/>
        <v>153.16792125610209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38.493376927459636</v>
      </c>
      <c r="AA144" s="21">
        <f>EXP(-LN(2)/25)*AA143+(1-EXP(-LN(2)/25))/(LN(2)/25)*Calculateur!V144*Calculateur!X144*VLOOKUP('Données projet'!$B$9,Paramètres!$A$1:$I$89,3,0)*0.475*44/12</f>
        <v>1.3817175179857875</v>
      </c>
      <c r="AB144" s="21">
        <f>EXP(-LN(2)/2)*AB143+(1-EXP(-LN(2)/2))/(LN(2)/2)*V144*Y144*VLOOKUP('Données projet'!$B$9,Paramètres!$A$1:$I$89,3,0)*0.475*44/12</f>
        <v>7.3964041247955752E-4</v>
      </c>
      <c r="AC144" s="22">
        <f t="shared" si="111"/>
        <v>39.875834085857896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268.00000000000011</v>
      </c>
      <c r="AJ144" s="13">
        <f>AI144*VLOOKUP('Données projet'!$B$10,Paramètres!$A$1:$I$89,3,0)*VLOOKUP('Données projet'!$B$10,Paramètres!$A$1:$I$89,5,0)</f>
        <v>271.75200000000012</v>
      </c>
      <c r="AK144" s="13">
        <f t="shared" si="143"/>
        <v>65.220947824724988</v>
      </c>
      <c r="AL144" s="20">
        <f t="shared" si="112"/>
        <v>586.89455079472953</v>
      </c>
      <c r="AM144" s="59">
        <f t="shared" si="113"/>
        <v>880.2278841280629</v>
      </c>
      <c r="AN144" s="59">
        <f ca="1">AVERAGE(OFFSET($AM$3,0,0,'Données projet'!$E$10+1,1))-AVERAGE(OFFSET($H$3,0,0,'Données projet'!$E$10+1,1))</f>
        <v>298.68533387773886</v>
      </c>
      <c r="AO144" s="59">
        <f t="shared" si="144"/>
        <v>176.04868734496114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43.139129315256511</v>
      </c>
      <c r="AV144" s="21">
        <f>EXP(-LN(2)/25)*AV143+(1-EXP(-LN(2)/25))/(LN(2)/25)*Calculateur!AQ144*Calculateur!AS144*VLOOKUP('Données projet'!$B$10,Paramètres!$A$1:$I$89,3,0)*0.475*44/12</f>
        <v>1.5484765287771756</v>
      </c>
      <c r="AW144" s="21">
        <f>EXP(-LN(2)/2)*AW143+(1-EXP(-LN(2)/2))/(LN(2)/2)*AQ144*AT144*VLOOKUP('Données projet'!$B$10,Paramètres!$A$1:$I$89,3,0)*0.475*44/12</f>
        <v>8.2890735881329856E-4</v>
      </c>
      <c r="AX144" s="21">
        <f t="shared" si="114"/>
        <v>44.688434751392499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-5.999999999994543E-2</v>
      </c>
      <c r="BE144" s="13">
        <f>BD144*VLOOKUP('Données projet'!$B$11,Paramètres!$A$1:$I$89,3,0)*VLOOKUP('Données projet'!$B$11,Paramètres!$A$1:$I$89,5,0)</f>
        <v>-2.8079999999974462E-2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83.62456509032836</v>
      </c>
      <c r="BJ144" s="59">
        <f t="shared" si="146"/>
        <v>131.53128089847871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14.661250263885652</v>
      </c>
      <c r="BQ144" s="21">
        <f>EXP(-LN(2)/25)*BQ143+(1-EXP(-LN(2)/25))/(LN(2)/25)*Calculateur!BL144*Calculateur!BN144*VLOOKUP('Données projet'!$B$11,Paramètres!$A$1:$I$89,3,0)*0.475*44/12</f>
        <v>3.5115177464332223</v>
      </c>
      <c r="BR144" s="21">
        <f>EXP(-LN(2)/2)*BR143+(1-EXP(-LN(2)/2))/(LN(2)/2)*BL144*BO144*VLOOKUP('Données projet'!$B$11,Paramètres!$A$1:$I$89,3,0)*0.475*44/12</f>
        <v>2.7907646905094491E-11</v>
      </c>
      <c r="BS144" s="22">
        <f t="shared" si="117"/>
        <v>18.172768010346783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925.00000000000034</v>
      </c>
      <c r="BZ144" s="13">
        <f>BY144*VLOOKUP('Données projet'!$B$12,Paramètres!$A$1:$I$89,3,0)*VLOOKUP('Données projet'!$B$12,Paramètres!$A$1:$I$89,5,0)</f>
        <v>408.85000000000014</v>
      </c>
      <c r="CA144" s="13">
        <f t="shared" si="147"/>
        <v>93.568575358321141</v>
      </c>
      <c r="CB144" s="20">
        <f t="shared" si="118"/>
        <v>875.04568541574281</v>
      </c>
      <c r="CC144" s="59">
        <f t="shared" si="119"/>
        <v>1168.3790187490761</v>
      </c>
      <c r="CD144" s="59">
        <f ca="1">AVERAGE(OFFSET($CC$3,0,0,'Données projet'!$E$12+1,1))-AVERAGE(OFFSET($H$3,0,0,'Données projet'!$E$12+1,1))</f>
        <v>415.83983761562189</v>
      </c>
      <c r="CE144" s="59">
        <f t="shared" si="148"/>
        <v>339.37869344688829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20.432865479551026</v>
      </c>
      <c r="CL144" s="21">
        <f>EXP(-LN(2)/25)*CL143+(1-EXP(-LN(2)/25))/(LN(2)/25)*Calculateur!CG144*Calculateur!CI144*VLOOKUP('Données projet'!$B$12,Paramètres!$A$1:$I$89,3,0)*0.475*44/12</f>
        <v>5.4044472297245898</v>
      </c>
      <c r="CM144" s="21">
        <f>EXP(-LN(2)/2)*CM143+(1-EXP(-LN(2)/2))/(LN(2)/2)*CG144*CJ144*VLOOKUP('Données projet'!$B$12,Paramètres!$A$1:$I$89,3,0)*0.475*44/12</f>
        <v>1.6151982959685933E-9</v>
      </c>
      <c r="CN144" s="22">
        <f t="shared" si="120"/>
        <v>25.837312710890814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268.00000000000011</v>
      </c>
      <c r="O145" s="13">
        <f>N145*VLOOKUP('Données projet'!$B$9,Paramètres!$A$1:$I$89,3,0)*VLOOKUP('Données projet'!$B$9,Paramètres!$A$1:$I$89,5,0)</f>
        <v>242.48640000000009</v>
      </c>
      <c r="P145" s="13">
        <f t="shared" si="141"/>
        <v>58.974170235372476</v>
      </c>
      <c r="Q145" s="20">
        <f t="shared" si="108"/>
        <v>525.04382649327385</v>
      </c>
      <c r="R145" s="59">
        <f t="shared" si="109"/>
        <v>818.37715982660711</v>
      </c>
      <c r="S145" s="59">
        <f ca="1">AVERAGE(OFFSET($R$3,0,0,'Données projet'!$E$9+1,1))-AVERAGE(OFFSET($H$3,0,0,'Données projet'!$E$9+1,1))</f>
        <v>258.68215148478868</v>
      </c>
      <c r="T145" s="59">
        <f t="shared" si="142"/>
        <v>153.16792125610209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37.738545284553751</v>
      </c>
      <c r="AA145" s="21">
        <f>EXP(-LN(2)/25)*AA144+(1-EXP(-LN(2)/25))/(LN(2)/25)*Calculateur!V145*Calculateur!X145*VLOOKUP('Données projet'!$B$9,Paramètres!$A$1:$I$89,3,0)*0.475*44/12</f>
        <v>1.3439343797950998</v>
      </c>
      <c r="AB145" s="21">
        <f>EXP(-LN(2)/2)*AB144+(1-EXP(-LN(2)/2))/(LN(2)/2)*V145*Y145*VLOOKUP('Données projet'!$B$9,Paramètres!$A$1:$I$89,3,0)*0.475*44/12</f>
        <v>5.2300475130391023E-4</v>
      </c>
      <c r="AC145" s="22">
        <f t="shared" si="111"/>
        <v>39.083002669100154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268.00000000000011</v>
      </c>
      <c r="AJ145" s="13">
        <f>AI145*VLOOKUP('Données projet'!$B$10,Paramètres!$A$1:$I$89,3,0)*VLOOKUP('Données projet'!$B$10,Paramètres!$A$1:$I$89,5,0)</f>
        <v>271.75200000000012</v>
      </c>
      <c r="AK145" s="13">
        <f t="shared" si="143"/>
        <v>65.220947824724988</v>
      </c>
      <c r="AL145" s="20">
        <f t="shared" si="112"/>
        <v>586.89455079472953</v>
      </c>
      <c r="AM145" s="59">
        <f t="shared" si="113"/>
        <v>880.2278841280629</v>
      </c>
      <c r="AN145" s="59">
        <f ca="1">AVERAGE(OFFSET($AM$3,0,0,'Données projet'!$E$10+1,1))-AVERAGE(OFFSET($H$3,0,0,'Données projet'!$E$10+1,1))</f>
        <v>298.68533387773886</v>
      </c>
      <c r="AO145" s="59">
        <f t="shared" si="144"/>
        <v>176.04868734496114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42.293197301655091</v>
      </c>
      <c r="AV145" s="21">
        <f>EXP(-LN(2)/25)*AV144+(1-EXP(-LN(2)/25))/(LN(2)/25)*Calculateur!AQ145*Calculateur!AS145*VLOOKUP('Données projet'!$B$10,Paramètres!$A$1:$I$89,3,0)*0.475*44/12</f>
        <v>1.5061333566669222</v>
      </c>
      <c r="AW145" s="21">
        <f>EXP(-LN(2)/2)*AW144+(1-EXP(-LN(2)/2))/(LN(2)/2)*AQ145*AT145*VLOOKUP('Données projet'!$B$10,Paramètres!$A$1:$I$89,3,0)*0.475*44/12</f>
        <v>5.8612601439231413E-4</v>
      </c>
      <c r="AX145" s="21">
        <f t="shared" si="114"/>
        <v>43.799916784336403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-5.999999999994543E-2</v>
      </c>
      <c r="BE145" s="13">
        <f>BD145*VLOOKUP('Données projet'!$B$11,Paramètres!$A$1:$I$89,3,0)*VLOOKUP('Données projet'!$B$11,Paramètres!$A$1:$I$89,5,0)</f>
        <v>-2.8079999999974462E-2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83.62456509032836</v>
      </c>
      <c r="BJ145" s="59">
        <f t="shared" si="146"/>
        <v>131.53128089847871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14.373752088690519</v>
      </c>
      <c r="BQ145" s="21">
        <f>EXP(-LN(2)/25)*BQ144+(1-EXP(-LN(2)/25))/(LN(2)/25)*Calculateur!BL145*Calculateur!BN145*VLOOKUP('Données projet'!$B$11,Paramètres!$A$1:$I$89,3,0)*0.475*44/12</f>
        <v>3.4154951089943131</v>
      </c>
      <c r="BR145" s="21">
        <f>EXP(-LN(2)/2)*BR144+(1-EXP(-LN(2)/2))/(LN(2)/2)*BL145*BO145*VLOOKUP('Données projet'!$B$11,Paramètres!$A$1:$I$89,3,0)*0.475*44/12</f>
        <v>1.9733686373552081E-11</v>
      </c>
      <c r="BS145" s="22">
        <f t="shared" si="117"/>
        <v>17.789247197704569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925.00000000000034</v>
      </c>
      <c r="BZ145" s="13">
        <f>BY145*VLOOKUP('Données projet'!$B$12,Paramètres!$A$1:$I$89,3,0)*VLOOKUP('Données projet'!$B$12,Paramètres!$A$1:$I$89,5,0)</f>
        <v>408.85000000000014</v>
      </c>
      <c r="CA145" s="13">
        <f t="shared" si="147"/>
        <v>93.568575358321141</v>
      </c>
      <c r="CB145" s="20">
        <f t="shared" si="118"/>
        <v>875.04568541574281</v>
      </c>
      <c r="CC145" s="59">
        <f t="shared" si="119"/>
        <v>1168.3790187490761</v>
      </c>
      <c r="CD145" s="59">
        <f ca="1">AVERAGE(OFFSET($CC$3,0,0,'Données projet'!$E$12+1,1))-AVERAGE(OFFSET($H$3,0,0,'Données projet'!$E$12+1,1))</f>
        <v>415.83983761562189</v>
      </c>
      <c r="CE145" s="59">
        <f t="shared" si="148"/>
        <v>339.37869344688829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20.032189450314373</v>
      </c>
      <c r="CL145" s="21">
        <f>EXP(-LN(2)/25)*CL144+(1-EXP(-LN(2)/25))/(LN(2)/25)*Calculateur!CG145*Calculateur!CI145*VLOOKUP('Données projet'!$B$12,Paramètres!$A$1:$I$89,3,0)*0.475*44/12</f>
        <v>5.2566623360202431</v>
      </c>
      <c r="CM145" s="21">
        <f>EXP(-LN(2)/2)*CM144+(1-EXP(-LN(2)/2))/(LN(2)/2)*CG145*CJ145*VLOOKUP('Données projet'!$B$12,Paramètres!$A$1:$I$89,3,0)*0.475*44/12</f>
        <v>1.1421176680403485E-9</v>
      </c>
      <c r="CN145" s="22">
        <f t="shared" si="120"/>
        <v>25.288851787476737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268.00000000000011</v>
      </c>
      <c r="O146" s="13">
        <f>N146*VLOOKUP('Données projet'!$B$9,Paramètres!$A$1:$I$89,3,0)*VLOOKUP('Données projet'!$B$9,Paramètres!$A$1:$I$89,5,0)</f>
        <v>242.48640000000009</v>
      </c>
      <c r="P146" s="13">
        <f t="shared" si="141"/>
        <v>58.974170235372476</v>
      </c>
      <c r="Q146" s="20">
        <f t="shared" si="108"/>
        <v>525.04382649327385</v>
      </c>
      <c r="R146" s="59">
        <f t="shared" si="109"/>
        <v>818.37715982660711</v>
      </c>
      <c r="S146" s="59">
        <f ca="1">AVERAGE(OFFSET($R$3,0,0,'Données projet'!$E$9+1,1))-AVERAGE(OFFSET($H$3,0,0,'Données projet'!$E$9+1,1))</f>
        <v>258.68215148478868</v>
      </c>
      <c r="T146" s="59">
        <f t="shared" si="142"/>
        <v>153.16792125610209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36.998515429763415</v>
      </c>
      <c r="AA146" s="21">
        <f>EXP(-LN(2)/25)*AA145+(1-EXP(-LN(2)/25))/(LN(2)/25)*Calculateur!V146*Calculateur!X146*VLOOKUP('Données projet'!$B$9,Paramètres!$A$1:$I$89,3,0)*0.475*44/12</f>
        <v>1.3071844235051653</v>
      </c>
      <c r="AB146" s="21">
        <f>EXP(-LN(2)/2)*AB145+(1-EXP(-LN(2)/2))/(LN(2)/2)*V146*Y146*VLOOKUP('Données projet'!$B$9,Paramètres!$A$1:$I$89,3,0)*0.475*44/12</f>
        <v>3.6982020623977876E-4</v>
      </c>
      <c r="AC146" s="22">
        <f t="shared" si="111"/>
        <v>38.306069673474816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268.00000000000011</v>
      </c>
      <c r="AJ146" s="13">
        <f>AI146*VLOOKUP('Données projet'!$B$10,Paramètres!$A$1:$I$89,3,0)*VLOOKUP('Données projet'!$B$10,Paramètres!$A$1:$I$89,5,0)</f>
        <v>271.75200000000012</v>
      </c>
      <c r="AK146" s="13">
        <f t="shared" si="143"/>
        <v>65.220947824724988</v>
      </c>
      <c r="AL146" s="20">
        <f t="shared" si="112"/>
        <v>586.89455079472953</v>
      </c>
      <c r="AM146" s="59">
        <f t="shared" si="113"/>
        <v>880.2278841280629</v>
      </c>
      <c r="AN146" s="59">
        <f ca="1">AVERAGE(OFFSET($AM$3,0,0,'Données projet'!$E$10+1,1))-AVERAGE(OFFSET($H$3,0,0,'Données projet'!$E$10+1,1))</f>
        <v>298.68533387773886</v>
      </c>
      <c r="AO146" s="59">
        <f t="shared" si="144"/>
        <v>176.04868734496114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41.463853498872815</v>
      </c>
      <c r="AV146" s="21">
        <f>EXP(-LN(2)/25)*AV145+(1-EXP(-LN(2)/25))/(LN(2)/25)*Calculateur!AQ146*Calculateur!AS146*VLOOKUP('Données projet'!$B$10,Paramètres!$A$1:$I$89,3,0)*0.475*44/12</f>
        <v>1.4649480608247543</v>
      </c>
      <c r="AW146" s="21">
        <f>EXP(-LN(2)/2)*AW145+(1-EXP(-LN(2)/2))/(LN(2)/2)*AQ146*AT146*VLOOKUP('Données projet'!$B$10,Paramètres!$A$1:$I$89,3,0)*0.475*44/12</f>
        <v>4.1445367940664928E-4</v>
      </c>
      <c r="AX146" s="21">
        <f t="shared" si="114"/>
        <v>42.929216013376973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-5.999999999994543E-2</v>
      </c>
      <c r="BE146" s="13">
        <f>BD146*VLOOKUP('Données projet'!$B$11,Paramètres!$A$1:$I$89,3,0)*VLOOKUP('Données projet'!$B$11,Paramètres!$A$1:$I$89,5,0)</f>
        <v>-2.8079999999974462E-2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83.62456509032836</v>
      </c>
      <c r="BJ146" s="59">
        <f t="shared" si="146"/>
        <v>131.53128089847871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14.09189157735439</v>
      </c>
      <c r="BQ146" s="21">
        <f>EXP(-LN(2)/25)*BQ145+(1-EXP(-LN(2)/25))/(LN(2)/25)*Calculateur!BL146*Calculateur!BN146*VLOOKUP('Données projet'!$B$11,Paramètres!$A$1:$I$89,3,0)*0.475*44/12</f>
        <v>3.3220982156257821</v>
      </c>
      <c r="BR146" s="21">
        <f>EXP(-LN(2)/2)*BR145+(1-EXP(-LN(2)/2))/(LN(2)/2)*BL146*BO146*VLOOKUP('Données projet'!$B$11,Paramètres!$A$1:$I$89,3,0)*0.475*44/12</f>
        <v>1.3953823452547246E-11</v>
      </c>
      <c r="BS146" s="22">
        <f t="shared" si="117"/>
        <v>17.413989792994126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925.00000000000034</v>
      </c>
      <c r="BZ146" s="13">
        <f>BY146*VLOOKUP('Données projet'!$B$12,Paramètres!$A$1:$I$89,3,0)*VLOOKUP('Données projet'!$B$12,Paramètres!$A$1:$I$89,5,0)</f>
        <v>408.85000000000014</v>
      </c>
      <c r="CA146" s="13">
        <f t="shared" si="147"/>
        <v>93.568575358321141</v>
      </c>
      <c r="CB146" s="20">
        <f t="shared" si="118"/>
        <v>875.04568541574281</v>
      </c>
      <c r="CC146" s="59">
        <f t="shared" si="119"/>
        <v>1168.3790187490761</v>
      </c>
      <c r="CD146" s="59">
        <f ca="1">AVERAGE(OFFSET($CC$3,0,0,'Données projet'!$E$12+1,1))-AVERAGE(OFFSET($H$3,0,0,'Données projet'!$E$12+1,1))</f>
        <v>415.83983761562189</v>
      </c>
      <c r="CE146" s="59">
        <f t="shared" si="148"/>
        <v>339.37869344688829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19.639370433622805</v>
      </c>
      <c r="CL146" s="21">
        <f>EXP(-LN(2)/25)*CL145+(1-EXP(-LN(2)/25))/(LN(2)/25)*Calculateur!CG146*Calculateur!CI146*VLOOKUP('Données projet'!$B$12,Paramètres!$A$1:$I$89,3,0)*0.475*44/12</f>
        <v>5.1129186280059118</v>
      </c>
      <c r="CM146" s="21">
        <f>EXP(-LN(2)/2)*CM145+(1-EXP(-LN(2)/2))/(LN(2)/2)*CG146*CJ146*VLOOKUP('Données projet'!$B$12,Paramètres!$A$1:$I$89,3,0)*0.475*44/12</f>
        <v>8.0759914798429663E-10</v>
      </c>
      <c r="CN146" s="22">
        <f t="shared" si="120"/>
        <v>24.752289062436315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268.00000000000011</v>
      </c>
      <c r="O147" s="13">
        <f>N147*VLOOKUP('Données projet'!$B$9,Paramètres!$A$1:$I$89,3,0)*VLOOKUP('Données projet'!$B$9,Paramètres!$A$1:$I$89,5,0)</f>
        <v>242.48640000000009</v>
      </c>
      <c r="P147" s="13">
        <f t="shared" si="141"/>
        <v>58.974170235372476</v>
      </c>
      <c r="Q147" s="20">
        <f t="shared" si="108"/>
        <v>525.04382649327385</v>
      </c>
      <c r="R147" s="59">
        <f t="shared" si="109"/>
        <v>818.37715982660711</v>
      </c>
      <c r="S147" s="59">
        <f ca="1">AVERAGE(OFFSET($R$3,0,0,'Données projet'!$E$9+1,1))-AVERAGE(OFFSET($H$3,0,0,'Données projet'!$E$9+1,1))</f>
        <v>258.68215148478868</v>
      </c>
      <c r="T147" s="59">
        <f t="shared" si="142"/>
        <v>153.16792125610209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36.272997109051872</v>
      </c>
      <c r="AA147" s="21">
        <f>EXP(-LN(2)/25)*AA146+(1-EXP(-LN(2)/25))/(LN(2)/25)*Calculateur!V147*Calculateur!X147*VLOOKUP('Données projet'!$B$9,Paramètres!$A$1:$I$89,3,0)*0.475*44/12</f>
        <v>1.2714393967025752</v>
      </c>
      <c r="AB147" s="21">
        <f>EXP(-LN(2)/2)*AB146+(1-EXP(-LN(2)/2))/(LN(2)/2)*V147*Y147*VLOOKUP('Données projet'!$B$9,Paramètres!$A$1:$I$89,3,0)*0.475*44/12</f>
        <v>2.6150237565195512E-4</v>
      </c>
      <c r="AC147" s="22">
        <f t="shared" si="111"/>
        <v>37.544698008130098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268.00000000000011</v>
      </c>
      <c r="AJ147" s="13">
        <f>AI147*VLOOKUP('Données projet'!$B$10,Paramètres!$A$1:$I$89,3,0)*VLOOKUP('Données projet'!$B$10,Paramètres!$A$1:$I$89,5,0)</f>
        <v>271.75200000000012</v>
      </c>
      <c r="AK147" s="13">
        <f t="shared" si="143"/>
        <v>65.220947824724988</v>
      </c>
      <c r="AL147" s="20">
        <f t="shared" si="112"/>
        <v>586.89455079472953</v>
      </c>
      <c r="AM147" s="59">
        <f t="shared" si="113"/>
        <v>880.2278841280629</v>
      </c>
      <c r="AN147" s="59">
        <f ca="1">AVERAGE(OFFSET($AM$3,0,0,'Données projet'!$E$10+1,1))-AVERAGE(OFFSET($H$3,0,0,'Données projet'!$E$10+1,1))</f>
        <v>298.68533387773886</v>
      </c>
      <c r="AO147" s="59">
        <f t="shared" si="144"/>
        <v>176.04868734496114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40.650772622213331</v>
      </c>
      <c r="AV147" s="21">
        <f>EXP(-LN(2)/25)*AV146+(1-EXP(-LN(2)/25))/(LN(2)/25)*Calculateur!AQ147*Calculateur!AS147*VLOOKUP('Données projet'!$B$10,Paramètres!$A$1:$I$89,3,0)*0.475*44/12</f>
        <v>1.4248889790632311</v>
      </c>
      <c r="AW147" s="21">
        <f>EXP(-LN(2)/2)*AW146+(1-EXP(-LN(2)/2))/(LN(2)/2)*AQ147*AT147*VLOOKUP('Données projet'!$B$10,Paramètres!$A$1:$I$89,3,0)*0.475*44/12</f>
        <v>2.9306300719615706E-4</v>
      </c>
      <c r="AX147" s="21">
        <f t="shared" si="114"/>
        <v>42.075954664283763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-5.999999999994543E-2</v>
      </c>
      <c r="BE147" s="13">
        <f>BD147*VLOOKUP('Données projet'!$B$11,Paramètres!$A$1:$I$89,3,0)*VLOOKUP('Données projet'!$B$11,Paramètres!$A$1:$I$89,5,0)</f>
        <v>-2.8079999999974462E-2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83.62456509032836</v>
      </c>
      <c r="BJ147" s="59">
        <f t="shared" si="146"/>
        <v>131.53128089847871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13.815558178727628</v>
      </c>
      <c r="BQ147" s="21">
        <f>EXP(-LN(2)/25)*BQ146+(1-EXP(-LN(2)/25))/(LN(2)/25)*Calculateur!BL147*Calculateur!BN147*VLOOKUP('Données projet'!$B$11,Paramètres!$A$1:$I$89,3,0)*0.475*44/12</f>
        <v>3.2312552652179427</v>
      </c>
      <c r="BR147" s="21">
        <f>EXP(-LN(2)/2)*BR146+(1-EXP(-LN(2)/2))/(LN(2)/2)*BL147*BO147*VLOOKUP('Données projet'!$B$11,Paramètres!$A$1:$I$89,3,0)*0.475*44/12</f>
        <v>9.8668431867760403E-12</v>
      </c>
      <c r="BS147" s="22">
        <f t="shared" si="117"/>
        <v>17.046813443955436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925.00000000000034</v>
      </c>
      <c r="BZ147" s="13">
        <f>BY147*VLOOKUP('Données projet'!$B$12,Paramètres!$A$1:$I$89,3,0)*VLOOKUP('Données projet'!$B$12,Paramètres!$A$1:$I$89,5,0)</f>
        <v>408.85000000000014</v>
      </c>
      <c r="CA147" s="13">
        <f t="shared" si="147"/>
        <v>93.568575358321141</v>
      </c>
      <c r="CB147" s="20">
        <f t="shared" si="118"/>
        <v>875.04568541574281</v>
      </c>
      <c r="CC147" s="59">
        <f t="shared" si="119"/>
        <v>1168.3790187490761</v>
      </c>
      <c r="CD147" s="59">
        <f ca="1">AVERAGE(OFFSET($CC$3,0,0,'Données projet'!$E$12+1,1))-AVERAGE(OFFSET($H$3,0,0,'Données projet'!$E$12+1,1))</f>
        <v>415.83983761562189</v>
      </c>
      <c r="CE147" s="59">
        <f t="shared" si="148"/>
        <v>339.37869344688829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19.254254358252613</v>
      </c>
      <c r="CL147" s="21">
        <f>EXP(-LN(2)/25)*CL146+(1-EXP(-LN(2)/25))/(LN(2)/25)*Calculateur!CG147*Calculateur!CI147*VLOOKUP('Données projet'!$B$12,Paramètres!$A$1:$I$89,3,0)*0.475*44/12</f>
        <v>4.9731055992463853</v>
      </c>
      <c r="CM147" s="21">
        <f>EXP(-LN(2)/2)*CM146+(1-EXP(-LN(2)/2))/(LN(2)/2)*CG147*CJ147*VLOOKUP('Données projet'!$B$12,Paramètres!$A$1:$I$89,3,0)*0.475*44/12</f>
        <v>5.7105883402017424E-10</v>
      </c>
      <c r="CN147" s="22">
        <f t="shared" si="120"/>
        <v>24.227359958070057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268.00000000000011</v>
      </c>
      <c r="O148" s="13">
        <f>N148*VLOOKUP('Données projet'!$B$9,Paramètres!$A$1:$I$89,3,0)*VLOOKUP('Données projet'!$B$9,Paramètres!$A$1:$I$89,5,0)</f>
        <v>242.48640000000009</v>
      </c>
      <c r="P148" s="13">
        <f t="shared" si="141"/>
        <v>58.974170235372476</v>
      </c>
      <c r="Q148" s="20">
        <f t="shared" si="108"/>
        <v>525.04382649327385</v>
      </c>
      <c r="R148" s="59">
        <f t="shared" si="109"/>
        <v>818.37715982660711</v>
      </c>
      <c r="S148" s="59">
        <f ca="1">AVERAGE(OFFSET($R$3,0,0,'Données projet'!$E$9+1,1))-AVERAGE(OFFSET($H$3,0,0,'Données projet'!$E$9+1,1))</f>
        <v>258.68215148478868</v>
      </c>
      <c r="T148" s="59">
        <f t="shared" si="142"/>
        <v>153.16792125610209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35.561705760087001</v>
      </c>
      <c r="AA148" s="21">
        <f>EXP(-LN(2)/25)*AA147+(1-EXP(-LN(2)/25))/(LN(2)/25)*Calculateur!V148*Calculateur!X148*VLOOKUP('Données projet'!$B$9,Paramètres!$A$1:$I$89,3,0)*0.475*44/12</f>
        <v>1.2366718195376514</v>
      </c>
      <c r="AB148" s="21">
        <f>EXP(-LN(2)/2)*AB147+(1-EXP(-LN(2)/2))/(LN(2)/2)*V148*Y148*VLOOKUP('Données projet'!$B$9,Paramètres!$A$1:$I$89,3,0)*0.475*44/12</f>
        <v>1.8491010311988938E-4</v>
      </c>
      <c r="AC148" s="22">
        <f t="shared" si="111"/>
        <v>36.798562489727779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268.00000000000011</v>
      </c>
      <c r="AJ148" s="13">
        <f>AI148*VLOOKUP('Données projet'!$B$10,Paramètres!$A$1:$I$89,3,0)*VLOOKUP('Données projet'!$B$10,Paramètres!$A$1:$I$89,5,0)</f>
        <v>271.75200000000012</v>
      </c>
      <c r="AK148" s="13">
        <f t="shared" si="143"/>
        <v>65.220947824724988</v>
      </c>
      <c r="AL148" s="20">
        <f t="shared" si="112"/>
        <v>586.89455079472953</v>
      </c>
      <c r="AM148" s="59">
        <f t="shared" si="113"/>
        <v>880.2278841280629</v>
      </c>
      <c r="AN148" s="59">
        <f ca="1">AVERAGE(OFFSET($AM$3,0,0,'Données projet'!$E$10+1,1))-AVERAGE(OFFSET($H$3,0,0,'Données projet'!$E$10+1,1))</f>
        <v>298.68533387773886</v>
      </c>
      <c r="AO148" s="59">
        <f t="shared" si="144"/>
        <v>176.04868734496114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39.853635765614769</v>
      </c>
      <c r="AV148" s="21">
        <f>EXP(-LN(2)/25)*AV147+(1-EXP(-LN(2)/25))/(LN(2)/25)*Calculateur!AQ148*Calculateur!AS148*VLOOKUP('Données projet'!$B$10,Paramètres!$A$1:$I$89,3,0)*0.475*44/12</f>
        <v>1.3859253149990922</v>
      </c>
      <c r="AW148" s="21">
        <f>EXP(-LN(2)/2)*AW147+(1-EXP(-LN(2)/2))/(LN(2)/2)*AQ148*AT148*VLOOKUP('Données projet'!$B$10,Paramètres!$A$1:$I$89,3,0)*0.475*44/12</f>
        <v>2.0722683970332464E-4</v>
      </c>
      <c r="AX148" s="21">
        <f t="shared" si="114"/>
        <v>41.239768307453566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-5.999999999994543E-2</v>
      </c>
      <c r="BE148" s="13">
        <f>BD148*VLOOKUP('Données projet'!$B$11,Paramètres!$A$1:$I$89,3,0)*VLOOKUP('Données projet'!$B$11,Paramètres!$A$1:$I$89,5,0)</f>
        <v>-2.8079999999974462E-2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83.62456509032836</v>
      </c>
      <c r="BJ148" s="59">
        <f t="shared" si="146"/>
        <v>131.53128089847871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13.544643509501205</v>
      </c>
      <c r="BQ148" s="21">
        <f>EXP(-LN(2)/25)*BQ147+(1-EXP(-LN(2)/25))/(LN(2)/25)*Calculateur!BL148*Calculateur!BN148*VLOOKUP('Données projet'!$B$11,Paramètres!$A$1:$I$89,3,0)*0.475*44/12</f>
        <v>3.1428964200662288</v>
      </c>
      <c r="BR148" s="21">
        <f>EXP(-LN(2)/2)*BR147+(1-EXP(-LN(2)/2))/(LN(2)/2)*BL148*BO148*VLOOKUP('Données projet'!$B$11,Paramètres!$A$1:$I$89,3,0)*0.475*44/12</f>
        <v>6.9769117262736229E-12</v>
      </c>
      <c r="BS148" s="22">
        <f t="shared" si="117"/>
        <v>16.68753992957441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925.00000000000034</v>
      </c>
      <c r="BZ148" s="13">
        <f>BY148*VLOOKUP('Données projet'!$B$12,Paramètres!$A$1:$I$89,3,0)*VLOOKUP('Données projet'!$B$12,Paramètres!$A$1:$I$89,5,0)</f>
        <v>408.85000000000014</v>
      </c>
      <c r="CA148" s="13">
        <f t="shared" si="147"/>
        <v>93.568575358321141</v>
      </c>
      <c r="CB148" s="20">
        <f t="shared" si="118"/>
        <v>875.04568541574281</v>
      </c>
      <c r="CC148" s="59">
        <f t="shared" si="119"/>
        <v>1168.3790187490761</v>
      </c>
      <c r="CD148" s="59">
        <f ca="1">AVERAGE(OFFSET($CC$3,0,0,'Données projet'!$E$12+1,1))-AVERAGE(OFFSET($H$3,0,0,'Données projet'!$E$12+1,1))</f>
        <v>415.83983761562189</v>
      </c>
      <c r="CE148" s="59">
        <f t="shared" si="148"/>
        <v>339.37869344688829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18.876690174222819</v>
      </c>
      <c r="CL148" s="21">
        <f>EXP(-LN(2)/25)*CL147+(1-EXP(-LN(2)/25))/(LN(2)/25)*Calculateur!CG148*Calculateur!CI148*VLOOKUP('Données projet'!$B$12,Paramètres!$A$1:$I$89,3,0)*0.475*44/12</f>
        <v>4.8371157651107355</v>
      </c>
      <c r="CM148" s="21">
        <f>EXP(-LN(2)/2)*CM147+(1-EXP(-LN(2)/2))/(LN(2)/2)*CG148*CJ148*VLOOKUP('Données projet'!$B$12,Paramètres!$A$1:$I$89,3,0)*0.475*44/12</f>
        <v>4.0379957399214831E-10</v>
      </c>
      <c r="CN148" s="22">
        <f t="shared" si="120"/>
        <v>23.713805939737352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268.00000000000011</v>
      </c>
      <c r="O149" s="13">
        <f>N149*VLOOKUP('Données projet'!$B$9,Paramètres!$A$1:$I$89,3,0)*VLOOKUP('Données projet'!$B$9,Paramètres!$A$1:$I$89,5,0)</f>
        <v>242.48640000000009</v>
      </c>
      <c r="P149" s="13">
        <f t="shared" si="141"/>
        <v>58.974170235372476</v>
      </c>
      <c r="Q149" s="20">
        <f t="shared" si="108"/>
        <v>525.04382649327385</v>
      </c>
      <c r="R149" s="59">
        <f t="shared" si="109"/>
        <v>818.37715982660711</v>
      </c>
      <c r="S149" s="59">
        <f ca="1">AVERAGE(OFFSET($R$3,0,0,'Données projet'!$E$9+1,1))-AVERAGE(OFFSET($H$3,0,0,'Données projet'!$E$9+1,1))</f>
        <v>258.68215148478868</v>
      </c>
      <c r="T149" s="59">
        <f t="shared" si="142"/>
        <v>153.16792125610209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34.864362400630448</v>
      </c>
      <c r="AA149" s="21">
        <f>EXP(-LN(2)/25)*AA148+(1-EXP(-LN(2)/25))/(LN(2)/25)*Calculateur!V149*Calculateur!X149*VLOOKUP('Données projet'!$B$9,Paramètres!$A$1:$I$89,3,0)*0.475*44/12</f>
        <v>1.2028549635986499</v>
      </c>
      <c r="AB149" s="21">
        <f>EXP(-LN(2)/2)*AB148+(1-EXP(-LN(2)/2))/(LN(2)/2)*V149*Y149*VLOOKUP('Données projet'!$B$9,Paramètres!$A$1:$I$89,3,0)*0.475*44/12</f>
        <v>1.3075118782597756E-4</v>
      </c>
      <c r="AC149" s="22">
        <f t="shared" si="111"/>
        <v>36.06734811541692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268.00000000000011</v>
      </c>
      <c r="AJ149" s="13">
        <f>AI149*VLOOKUP('Données projet'!$B$10,Paramètres!$A$1:$I$89,3,0)*VLOOKUP('Données projet'!$B$10,Paramètres!$A$1:$I$89,5,0)</f>
        <v>271.75200000000012</v>
      </c>
      <c r="AK149" s="13">
        <f t="shared" si="143"/>
        <v>65.220947824724988</v>
      </c>
      <c r="AL149" s="20">
        <f t="shared" si="112"/>
        <v>586.89455079472953</v>
      </c>
      <c r="AM149" s="59">
        <f t="shared" si="113"/>
        <v>880.2278841280629</v>
      </c>
      <c r="AN149" s="59">
        <f ca="1">AVERAGE(OFFSET($AM$3,0,0,'Données projet'!$E$10+1,1))-AVERAGE(OFFSET($H$3,0,0,'Données projet'!$E$10+1,1))</f>
        <v>298.68533387773886</v>
      </c>
      <c r="AO149" s="59">
        <f t="shared" si="144"/>
        <v>176.04868734496114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39.072130276568636</v>
      </c>
      <c r="AV149" s="21">
        <f>EXP(-LN(2)/25)*AV148+(1-EXP(-LN(2)/25))/(LN(2)/25)*Calculateur!AQ149*Calculateur!AS149*VLOOKUP('Données projet'!$B$10,Paramètres!$A$1:$I$89,3,0)*0.475*44/12</f>
        <v>1.3480271143777973</v>
      </c>
      <c r="AW149" s="21">
        <f>EXP(-LN(2)/2)*AW148+(1-EXP(-LN(2)/2))/(LN(2)/2)*AQ149*AT149*VLOOKUP('Données projet'!$B$10,Paramètres!$A$1:$I$89,3,0)*0.475*44/12</f>
        <v>1.4653150359807853E-4</v>
      </c>
      <c r="AX149" s="21">
        <f t="shared" si="114"/>
        <v>40.420303922450032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-5.999999999994543E-2</v>
      </c>
      <c r="BE149" s="13">
        <f>BD149*VLOOKUP('Données projet'!$B$11,Paramètres!$A$1:$I$89,3,0)*VLOOKUP('Données projet'!$B$11,Paramètres!$A$1:$I$89,5,0)</f>
        <v>-2.8079999999974462E-2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83.62456509032836</v>
      </c>
      <c r="BJ149" s="59">
        <f t="shared" si="146"/>
        <v>131.53128089847871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13.27904131169668</v>
      </c>
      <c r="BQ149" s="21">
        <f>EXP(-LN(2)/25)*BQ148+(1-EXP(-LN(2)/25))/(LN(2)/25)*Calculateur!BL149*Calculateur!BN149*VLOOKUP('Données projet'!$B$11,Paramètres!$A$1:$I$89,3,0)*0.475*44/12</f>
        <v>3.0569537521817782</v>
      </c>
      <c r="BR149" s="21">
        <f>EXP(-LN(2)/2)*BR148+(1-EXP(-LN(2)/2))/(LN(2)/2)*BL149*BO149*VLOOKUP('Données projet'!$B$11,Paramètres!$A$1:$I$89,3,0)*0.475*44/12</f>
        <v>4.9334215933880201E-12</v>
      </c>
      <c r="BS149" s="22">
        <f t="shared" si="117"/>
        <v>16.335995063883392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925.00000000000034</v>
      </c>
      <c r="BZ149" s="13">
        <f>BY149*VLOOKUP('Données projet'!$B$12,Paramètres!$A$1:$I$89,3,0)*VLOOKUP('Données projet'!$B$12,Paramètres!$A$1:$I$89,5,0)</f>
        <v>408.85000000000014</v>
      </c>
      <c r="CA149" s="13">
        <f t="shared" si="147"/>
        <v>93.568575358321141</v>
      </c>
      <c r="CB149" s="20">
        <f t="shared" si="118"/>
        <v>875.04568541574281</v>
      </c>
      <c r="CC149" s="59">
        <f t="shared" si="119"/>
        <v>1168.3790187490761</v>
      </c>
      <c r="CD149" s="59">
        <f ca="1">AVERAGE(OFFSET($CC$3,0,0,'Données projet'!$E$12+1,1))-AVERAGE(OFFSET($H$3,0,0,'Données projet'!$E$12+1,1))</f>
        <v>415.83983761562189</v>
      </c>
      <c r="CE149" s="59">
        <f t="shared" si="148"/>
        <v>339.37869344688829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18.506529793550438</v>
      </c>
      <c r="CL149" s="21">
        <f>EXP(-LN(2)/25)*CL148+(1-EXP(-LN(2)/25))/(LN(2)/25)*Calculateur!CG149*Calculateur!CI149*VLOOKUP('Données projet'!$B$12,Paramètres!$A$1:$I$89,3,0)*0.475*44/12</f>
        <v>4.7048445801409198</v>
      </c>
      <c r="CM149" s="21">
        <f>EXP(-LN(2)/2)*CM148+(1-EXP(-LN(2)/2))/(LN(2)/2)*CG149*CJ149*VLOOKUP('Données projet'!$B$12,Paramètres!$A$1:$I$89,3,0)*0.475*44/12</f>
        <v>2.8552941701008712E-10</v>
      </c>
      <c r="CN149" s="22">
        <f t="shared" si="120"/>
        <v>23.211374373976884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268.00000000000011</v>
      </c>
      <c r="O150" s="13">
        <f>N150*VLOOKUP('Données projet'!$B$9,Paramètres!$A$1:$I$89,3,0)*VLOOKUP('Données projet'!$B$9,Paramètres!$A$1:$I$89,5,0)</f>
        <v>242.48640000000009</v>
      </c>
      <c r="P150" s="13">
        <f t="shared" si="141"/>
        <v>58.974170235372476</v>
      </c>
      <c r="Q150" s="20">
        <f t="shared" si="108"/>
        <v>525.04382649327385</v>
      </c>
      <c r="R150" s="59">
        <f t="shared" si="109"/>
        <v>818.37715982660711</v>
      </c>
      <c r="S150" s="59">
        <f ca="1">AVERAGE(OFFSET($R$3,0,0,'Données projet'!$E$9+1,1))-AVERAGE(OFFSET($H$3,0,0,'Données projet'!$E$9+1,1))</f>
        <v>258.68215148478868</v>
      </c>
      <c r="T150" s="59">
        <f t="shared" si="142"/>
        <v>153.16792125610209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34.180693519115387</v>
      </c>
      <c r="AA150" s="21">
        <f>EXP(-LN(2)/25)*AA149+(1-EXP(-LN(2)/25))/(LN(2)/25)*Calculateur!V150*Calculateur!X150*VLOOKUP('Données projet'!$B$9,Paramètres!$A$1:$I$89,3,0)*0.475*44/12</f>
        <v>1.1699628313636514</v>
      </c>
      <c r="AB150" s="21">
        <f>EXP(-LN(2)/2)*AB149+(1-EXP(-LN(2)/2))/(LN(2)/2)*V150*Y150*VLOOKUP('Données projet'!$B$9,Paramètres!$A$1:$I$89,3,0)*0.475*44/12</f>
        <v>9.245505155994469E-5</v>
      </c>
      <c r="AC150" s="22">
        <f t="shared" si="111"/>
        <v>35.350748805530593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268.00000000000011</v>
      </c>
      <c r="AJ150" s="13">
        <f>AI150*VLOOKUP('Données projet'!$B$10,Paramètres!$A$1:$I$89,3,0)*VLOOKUP('Données projet'!$B$10,Paramètres!$A$1:$I$89,5,0)</f>
        <v>271.75200000000012</v>
      </c>
      <c r="AK150" s="13">
        <f t="shared" si="143"/>
        <v>65.220947824724988</v>
      </c>
      <c r="AL150" s="20">
        <f t="shared" si="112"/>
        <v>586.89455079472953</v>
      </c>
      <c r="AM150" s="59">
        <f t="shared" si="113"/>
        <v>880.2278841280629</v>
      </c>
      <c r="AN150" s="59">
        <f ca="1">AVERAGE(OFFSET($AM$3,0,0,'Données projet'!$E$10+1,1))-AVERAGE(OFFSET($H$3,0,0,'Données projet'!$E$10+1,1))</f>
        <v>298.68533387773886</v>
      </c>
      <c r="AO150" s="59">
        <f t="shared" si="144"/>
        <v>176.04868734496114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38.305949633491416</v>
      </c>
      <c r="AV150" s="21">
        <f>EXP(-LN(2)/25)*AV149+(1-EXP(-LN(2)/25))/(LN(2)/25)*Calculateur!AQ150*Calculateur!AS150*VLOOKUP('Données projet'!$B$10,Paramètres!$A$1:$I$89,3,0)*0.475*44/12</f>
        <v>1.3111652420454714</v>
      </c>
      <c r="AW150" s="21">
        <f>EXP(-LN(2)/2)*AW149+(1-EXP(-LN(2)/2))/(LN(2)/2)*AQ150*AT150*VLOOKUP('Données projet'!$B$10,Paramètres!$A$1:$I$89,3,0)*0.475*44/12</f>
        <v>1.0361341985166232E-4</v>
      </c>
      <c r="AX150" s="21">
        <f t="shared" si="114"/>
        <v>39.617218488956738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-5.999999999994543E-2</v>
      </c>
      <c r="BE150" s="13">
        <f>BD150*VLOOKUP('Données projet'!$B$11,Paramètres!$A$1:$I$89,3,0)*VLOOKUP('Données projet'!$B$11,Paramètres!$A$1:$I$89,5,0)</f>
        <v>-2.8079999999974462E-2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83.62456509032836</v>
      </c>
      <c r="BJ150" s="59">
        <f t="shared" si="146"/>
        <v>131.53128089847871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13.018647410989757</v>
      </c>
      <c r="BQ150" s="21">
        <f>EXP(-LN(2)/25)*BQ149+(1-EXP(-LN(2)/25))/(LN(2)/25)*Calculateur!BL150*Calculateur!BN150*VLOOKUP('Données projet'!$B$11,Paramètres!$A$1:$I$89,3,0)*0.475*44/12</f>
        <v>2.9733611910701563</v>
      </c>
      <c r="BR150" s="21">
        <f>EXP(-LN(2)/2)*BR149+(1-EXP(-LN(2)/2))/(LN(2)/2)*BL150*BO150*VLOOKUP('Données projet'!$B$11,Paramètres!$A$1:$I$89,3,0)*0.475*44/12</f>
        <v>3.4884558631368114E-12</v>
      </c>
      <c r="BS150" s="22">
        <f t="shared" si="117"/>
        <v>15.992008602063402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925.00000000000034</v>
      </c>
      <c r="BZ150" s="13">
        <f>BY150*VLOOKUP('Données projet'!$B$12,Paramètres!$A$1:$I$89,3,0)*VLOOKUP('Données projet'!$B$12,Paramètres!$A$1:$I$89,5,0)</f>
        <v>408.85000000000014</v>
      </c>
      <c r="CA150" s="13">
        <f t="shared" si="147"/>
        <v>93.568575358321141</v>
      </c>
      <c r="CB150" s="20">
        <f t="shared" si="118"/>
        <v>875.04568541574281</v>
      </c>
      <c r="CC150" s="59">
        <f t="shared" si="119"/>
        <v>1168.3790187490761</v>
      </c>
      <c r="CD150" s="59">
        <f ca="1">AVERAGE(OFFSET($CC$3,0,0,'Données projet'!$E$12+1,1))-AVERAGE(OFFSET($H$3,0,0,'Données projet'!$E$12+1,1))</f>
        <v>415.83983761562189</v>
      </c>
      <c r="CE150" s="59">
        <f t="shared" si="148"/>
        <v>339.37869344688829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18.143628032167502</v>
      </c>
      <c r="CL150" s="21">
        <f>EXP(-LN(2)/25)*CL149+(1-EXP(-LN(2)/25))/(LN(2)/25)*Calculateur!CG150*Calculateur!CI150*VLOOKUP('Données projet'!$B$12,Paramètres!$A$1:$I$89,3,0)*0.475*44/12</f>
        <v>4.576190357679943</v>
      </c>
      <c r="CM150" s="21">
        <f>EXP(-LN(2)/2)*CM149+(1-EXP(-LN(2)/2))/(LN(2)/2)*CG150*CJ150*VLOOKUP('Données projet'!$B$12,Paramètres!$A$1:$I$89,3,0)*0.475*44/12</f>
        <v>2.0189978699607416E-10</v>
      </c>
      <c r="CN150" s="22">
        <f t="shared" si="120"/>
        <v>22.719818390049348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268.00000000000011</v>
      </c>
      <c r="O151" s="13">
        <f>N151*VLOOKUP('Données projet'!$B$9,Paramètres!$A$1:$I$89,3,0)*VLOOKUP('Données projet'!$B$9,Paramètres!$A$1:$I$89,5,0)</f>
        <v>242.48640000000009</v>
      </c>
      <c r="P151" s="13">
        <f t="shared" si="141"/>
        <v>58.974170235372476</v>
      </c>
      <c r="Q151" s="20">
        <f t="shared" si="108"/>
        <v>525.04382649327385</v>
      </c>
      <c r="R151" s="59">
        <f t="shared" si="109"/>
        <v>818.37715982660711</v>
      </c>
      <c r="S151" s="59">
        <f ca="1">AVERAGE(OFFSET($R$3,0,0,'Données projet'!$E$9+1,1))-AVERAGE(OFFSET($H$3,0,0,'Données projet'!$E$9+1,1))</f>
        <v>258.68215148478868</v>
      </c>
      <c r="T151" s="59">
        <f t="shared" si="142"/>
        <v>153.16792125610209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33.510430967369999</v>
      </c>
      <c r="AA151" s="21">
        <f>EXP(-LN(2)/25)*AA150+(1-EXP(-LN(2)/25))/(LN(2)/25)*Calculateur!V151*Calculateur!X151*VLOOKUP('Données projet'!$B$9,Paramètres!$A$1:$I$89,3,0)*0.475*44/12</f>
        <v>1.1379701362143411</v>
      </c>
      <c r="AB151" s="21">
        <f>EXP(-LN(2)/2)*AB150+(1-EXP(-LN(2)/2))/(LN(2)/2)*V151*Y151*VLOOKUP('Données projet'!$B$9,Paramètres!$A$1:$I$89,3,0)*0.475*44/12</f>
        <v>6.5375593912988779E-5</v>
      </c>
      <c r="AC151" s="22">
        <f t="shared" si="111"/>
        <v>34.648466479178254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268.00000000000011</v>
      </c>
      <c r="AJ151" s="13">
        <f>AI151*VLOOKUP('Données projet'!$B$10,Paramètres!$A$1:$I$89,3,0)*VLOOKUP('Données projet'!$B$10,Paramètres!$A$1:$I$89,5,0)</f>
        <v>271.75200000000012</v>
      </c>
      <c r="AK151" s="13">
        <f t="shared" si="143"/>
        <v>65.220947824724988</v>
      </c>
      <c r="AL151" s="20">
        <f t="shared" si="112"/>
        <v>586.89455079472953</v>
      </c>
      <c r="AM151" s="59">
        <f t="shared" si="113"/>
        <v>880.2278841280629</v>
      </c>
      <c r="AN151" s="59">
        <f ca="1">AVERAGE(OFFSET($AM$3,0,0,'Données projet'!$E$10+1,1))-AVERAGE(OFFSET($H$3,0,0,'Données projet'!$E$10+1,1))</f>
        <v>298.68533387773886</v>
      </c>
      <c r="AO151" s="59">
        <f t="shared" si="144"/>
        <v>176.04868734496114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37.554793325500889</v>
      </c>
      <c r="AV151" s="21">
        <f>EXP(-LN(2)/25)*AV150+(1-EXP(-LN(2)/25))/(LN(2)/25)*Calculateur!AQ151*Calculateur!AS151*VLOOKUP('Données projet'!$B$10,Paramètres!$A$1:$I$89,3,0)*0.475*44/12</f>
        <v>1.2753113595505545</v>
      </c>
      <c r="AW151" s="21">
        <f>EXP(-LN(2)/2)*AW150+(1-EXP(-LN(2)/2))/(LN(2)/2)*AQ151*AT151*VLOOKUP('Données projet'!$B$10,Paramètres!$A$1:$I$89,3,0)*0.475*44/12</f>
        <v>7.3265751799039266E-5</v>
      </c>
      <c r="AX151" s="21">
        <f t="shared" si="114"/>
        <v>38.830177950803247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-5.999999999994543E-2</v>
      </c>
      <c r="BE151" s="13">
        <f>BD151*VLOOKUP('Données projet'!$B$11,Paramètres!$A$1:$I$89,3,0)*VLOOKUP('Données projet'!$B$11,Paramètres!$A$1:$I$89,5,0)</f>
        <v>-2.8079999999974462E-2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83.62456509032836</v>
      </c>
      <c r="BJ151" s="59">
        <f t="shared" si="146"/>
        <v>131.53128089847871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12.763359675851101</v>
      </c>
      <c r="BQ151" s="21">
        <f>EXP(-LN(2)/25)*BQ150+(1-EXP(-LN(2)/25))/(LN(2)/25)*Calculateur!BL151*Calculateur!BN151*VLOOKUP('Données projet'!$B$11,Paramètres!$A$1:$I$89,3,0)*0.475*44/12</f>
        <v>2.8920544729380735</v>
      </c>
      <c r="BR151" s="21">
        <f>EXP(-LN(2)/2)*BR150+(1-EXP(-LN(2)/2))/(LN(2)/2)*BL151*BO151*VLOOKUP('Données projet'!$B$11,Paramètres!$A$1:$I$89,3,0)*0.475*44/12</f>
        <v>2.4667107966940101E-12</v>
      </c>
      <c r="BS151" s="22">
        <f t="shared" si="117"/>
        <v>15.655414148791641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925.00000000000034</v>
      </c>
      <c r="BZ151" s="13">
        <f>BY151*VLOOKUP('Données projet'!$B$12,Paramètres!$A$1:$I$89,3,0)*VLOOKUP('Données projet'!$B$12,Paramètres!$A$1:$I$89,5,0)</f>
        <v>408.85000000000014</v>
      </c>
      <c r="CA151" s="13">
        <f t="shared" si="147"/>
        <v>93.568575358321141</v>
      </c>
      <c r="CB151" s="20">
        <f t="shared" si="118"/>
        <v>875.04568541574281</v>
      </c>
      <c r="CC151" s="59">
        <f t="shared" si="119"/>
        <v>1168.3790187490761</v>
      </c>
      <c r="CD151" s="59">
        <f ca="1">AVERAGE(OFFSET($CC$3,0,0,'Données projet'!$E$12+1,1))-AVERAGE(OFFSET($H$3,0,0,'Données projet'!$E$12+1,1))</f>
        <v>415.83983761562189</v>
      </c>
      <c r="CE151" s="59">
        <f t="shared" si="148"/>
        <v>339.37869344688829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17.787842552977068</v>
      </c>
      <c r="CL151" s="21">
        <f>EXP(-LN(2)/25)*CL150+(1-EXP(-LN(2)/25))/(LN(2)/25)*Calculateur!CG151*Calculateur!CI151*VLOOKUP('Données projet'!$B$12,Paramètres!$A$1:$I$89,3,0)*0.475*44/12</f>
        <v>4.4510541916977928</v>
      </c>
      <c r="CM151" s="21">
        <f>EXP(-LN(2)/2)*CM150+(1-EXP(-LN(2)/2))/(LN(2)/2)*CG151*CJ151*VLOOKUP('Données projet'!$B$12,Paramètres!$A$1:$I$89,3,0)*0.475*44/12</f>
        <v>1.4276470850504356E-10</v>
      </c>
      <c r="CN151" s="22">
        <f t="shared" si="120"/>
        <v>22.238896744817627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268.00000000000011</v>
      </c>
      <c r="O152" s="13">
        <f>N152*VLOOKUP('Données projet'!$B$9,Paramètres!$A$1:$I$89,3,0)*VLOOKUP('Données projet'!$B$9,Paramètres!$A$1:$I$89,5,0)</f>
        <v>242.48640000000009</v>
      </c>
      <c r="P152" s="13">
        <f t="shared" si="141"/>
        <v>58.974170235372476</v>
      </c>
      <c r="Q152" s="20">
        <f t="shared" si="108"/>
        <v>525.04382649327385</v>
      </c>
      <c r="R152" s="59">
        <f t="shared" si="109"/>
        <v>818.37715982660711</v>
      </c>
      <c r="S152" s="59">
        <f ca="1">AVERAGE(OFFSET($R$3,0,0,'Données projet'!$E$9+1,1))-AVERAGE(OFFSET($H$3,0,0,'Données projet'!$E$9+1,1))</f>
        <v>258.68215148478868</v>
      </c>
      <c r="T152" s="59">
        <f t="shared" si="142"/>
        <v>153.16792125610209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32.853311855444545</v>
      </c>
      <c r="AA152" s="21">
        <f>EXP(-LN(2)/25)*AA151+(1-EXP(-LN(2)/25))/(LN(2)/25)*Calculateur!V152*Calculateur!X152*VLOOKUP('Données projet'!$B$9,Paramètres!$A$1:$I$89,3,0)*0.475*44/12</f>
        <v>1.1068522829963112</v>
      </c>
      <c r="AB152" s="21">
        <f>EXP(-LN(2)/2)*AB151+(1-EXP(-LN(2)/2))/(LN(2)/2)*V152*Y152*VLOOKUP('Données projet'!$B$9,Paramètres!$A$1:$I$89,3,0)*0.475*44/12</f>
        <v>4.6227525779972345E-5</v>
      </c>
      <c r="AC152" s="22">
        <f t="shared" si="111"/>
        <v>33.960210365966638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268.00000000000011</v>
      </c>
      <c r="AJ152" s="13">
        <f>AI152*VLOOKUP('Données projet'!$B$10,Paramètres!$A$1:$I$89,3,0)*VLOOKUP('Données projet'!$B$10,Paramètres!$A$1:$I$89,5,0)</f>
        <v>271.75200000000012</v>
      </c>
      <c r="AK152" s="13">
        <f t="shared" si="143"/>
        <v>65.220947824724988</v>
      </c>
      <c r="AL152" s="20">
        <f t="shared" si="112"/>
        <v>586.89455079472953</v>
      </c>
      <c r="AM152" s="59">
        <f t="shared" si="113"/>
        <v>880.2278841280629</v>
      </c>
      <c r="AN152" s="59">
        <f ca="1">AVERAGE(OFFSET($AM$3,0,0,'Données projet'!$E$10+1,1))-AVERAGE(OFFSET($H$3,0,0,'Données projet'!$E$10+1,1))</f>
        <v>298.68533387773886</v>
      </c>
      <c r="AO152" s="59">
        <f t="shared" si="144"/>
        <v>176.04868734496114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36.818366734549947</v>
      </c>
      <c r="AV152" s="21">
        <f>EXP(-LN(2)/25)*AV151+(1-EXP(-LN(2)/25))/(LN(2)/25)*Calculateur!AQ152*Calculateur!AS152*VLOOKUP('Données projet'!$B$10,Paramètres!$A$1:$I$89,3,0)*0.475*44/12</f>
        <v>1.2404379033579349</v>
      </c>
      <c r="AW152" s="21">
        <f>EXP(-LN(2)/2)*AW151+(1-EXP(-LN(2)/2))/(LN(2)/2)*AQ152*AT152*VLOOKUP('Données projet'!$B$10,Paramètres!$A$1:$I$89,3,0)*0.475*44/12</f>
        <v>5.180670992583116E-5</v>
      </c>
      <c r="AX152" s="21">
        <f t="shared" si="114"/>
        <v>38.05885644461781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-5.999999999994543E-2</v>
      </c>
      <c r="BE152" s="13">
        <f>BD152*VLOOKUP('Données projet'!$B$11,Paramètres!$A$1:$I$89,3,0)*VLOOKUP('Données projet'!$B$11,Paramètres!$A$1:$I$89,5,0)</f>
        <v>-2.8079999999974462E-2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83.62456509032836</v>
      </c>
      <c r="BJ152" s="59">
        <f t="shared" si="146"/>
        <v>131.53128089847871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12.51307797748837</v>
      </c>
      <c r="BQ152" s="21">
        <f>EXP(-LN(2)/25)*BQ151+(1-EXP(-LN(2)/25))/(LN(2)/25)*Calculateur!BL152*Calculateur!BN152*VLOOKUP('Données projet'!$B$11,Paramètres!$A$1:$I$89,3,0)*0.475*44/12</f>
        <v>2.8129710912890471</v>
      </c>
      <c r="BR152" s="21">
        <f>EXP(-LN(2)/2)*BR151+(1-EXP(-LN(2)/2))/(LN(2)/2)*BL152*BO152*VLOOKUP('Données projet'!$B$11,Paramètres!$A$1:$I$89,3,0)*0.475*44/12</f>
        <v>1.7442279315684057E-12</v>
      </c>
      <c r="BS152" s="22">
        <f t="shared" si="117"/>
        <v>15.326049068779161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925.00000000000034</v>
      </c>
      <c r="BZ152" s="13">
        <f>BY152*VLOOKUP('Données projet'!$B$12,Paramètres!$A$1:$I$89,3,0)*VLOOKUP('Données projet'!$B$12,Paramètres!$A$1:$I$89,5,0)</f>
        <v>408.85000000000014</v>
      </c>
      <c r="CA152" s="13">
        <f t="shared" si="147"/>
        <v>93.568575358321141</v>
      </c>
      <c r="CB152" s="20">
        <f t="shared" si="118"/>
        <v>875.04568541574281</v>
      </c>
      <c r="CC152" s="59">
        <f t="shared" si="119"/>
        <v>1168.3790187490761</v>
      </c>
      <c r="CD152" s="59">
        <f ca="1">AVERAGE(OFFSET($CC$3,0,0,'Données projet'!$E$12+1,1))-AVERAGE(OFFSET($H$3,0,0,'Données projet'!$E$12+1,1))</f>
        <v>415.83983761562189</v>
      </c>
      <c r="CE152" s="59">
        <f t="shared" si="148"/>
        <v>339.37869344688829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17.439033810025844</v>
      </c>
      <c r="CL152" s="21">
        <f>EXP(-LN(2)/25)*CL151+(1-EXP(-LN(2)/25))/(LN(2)/25)*Calculateur!CG152*Calculateur!CI152*VLOOKUP('Données projet'!$B$12,Paramètres!$A$1:$I$89,3,0)*0.475*44/12</f>
        <v>4.3293398807550494</v>
      </c>
      <c r="CM152" s="21">
        <f>EXP(-LN(2)/2)*CM151+(1-EXP(-LN(2)/2))/(LN(2)/2)*CG152*CJ152*VLOOKUP('Données projet'!$B$12,Paramètres!$A$1:$I$89,3,0)*0.475*44/12</f>
        <v>1.0094989349803708E-10</v>
      </c>
      <c r="CN152" s="22">
        <f t="shared" si="120"/>
        <v>21.768373690881845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268.00000000000011</v>
      </c>
      <c r="O153" s="13">
        <f>N153*VLOOKUP('Données projet'!$B$9,Paramètres!$A$1:$I$89,3,0)*VLOOKUP('Données projet'!$B$9,Paramètres!$A$1:$I$89,5,0)</f>
        <v>242.48640000000009</v>
      </c>
      <c r="P153" s="13">
        <f t="shared" si="141"/>
        <v>58.974170235372476</v>
      </c>
      <c r="Q153" s="20">
        <f t="shared" si="108"/>
        <v>525.04382649327385</v>
      </c>
      <c r="R153" s="59">
        <f t="shared" si="109"/>
        <v>818.37715982660711</v>
      </c>
      <c r="S153" s="59">
        <f ca="1">AVERAGE(OFFSET($R$3,0,0,'Données projet'!$E$9+1,1))-AVERAGE(OFFSET($H$3,0,0,'Données projet'!$E$9+1,1))</f>
        <v>258.68215148478868</v>
      </c>
      <c r="T153" s="59">
        <f t="shared" si="142"/>
        <v>153.16792125610209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32.209078448500868</v>
      </c>
      <c r="AA153" s="21">
        <f>EXP(-LN(2)/25)*AA152+(1-EXP(-LN(2)/25))/(LN(2)/25)*Calculateur!V153*Calculateur!X153*VLOOKUP('Données projet'!$B$9,Paramètres!$A$1:$I$89,3,0)*0.475*44/12</f>
        <v>1.0765853491109452</v>
      </c>
      <c r="AB153" s="21">
        <f>EXP(-LN(2)/2)*AB152+(1-EXP(-LN(2)/2))/(LN(2)/2)*V153*Y153*VLOOKUP('Données projet'!$B$9,Paramètres!$A$1:$I$89,3,0)*0.475*44/12</f>
        <v>3.268779695649439E-5</v>
      </c>
      <c r="AC153" s="22">
        <f t="shared" si="111"/>
        <v>33.285696485408771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268.00000000000011</v>
      </c>
      <c r="AJ153" s="13">
        <f>AI153*VLOOKUP('Données projet'!$B$10,Paramètres!$A$1:$I$89,3,0)*VLOOKUP('Données projet'!$B$10,Paramètres!$A$1:$I$89,5,0)</f>
        <v>271.75200000000012</v>
      </c>
      <c r="AK153" s="13">
        <f t="shared" si="143"/>
        <v>65.220947824724988</v>
      </c>
      <c r="AL153" s="20">
        <f t="shared" si="112"/>
        <v>586.89455079472953</v>
      </c>
      <c r="AM153" s="59">
        <f t="shared" si="113"/>
        <v>880.2278841280629</v>
      </c>
      <c r="AN153" s="59">
        <f ca="1">AVERAGE(OFFSET($AM$3,0,0,'Données projet'!$E$10+1,1))-AVERAGE(OFFSET($H$3,0,0,'Données projet'!$E$10+1,1))</f>
        <v>298.68533387773886</v>
      </c>
      <c r="AO153" s="59">
        <f t="shared" si="144"/>
        <v>176.04868734496114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36.096381019871686</v>
      </c>
      <c r="AV153" s="21">
        <f>EXP(-LN(2)/25)*AV152+(1-EXP(-LN(2)/25))/(LN(2)/25)*Calculateur!AQ153*Calculateur!AS153*VLOOKUP('Données projet'!$B$10,Paramètres!$A$1:$I$89,3,0)*0.475*44/12</f>
        <v>1.206518063658818</v>
      </c>
      <c r="AW153" s="21">
        <f>EXP(-LN(2)/2)*AW152+(1-EXP(-LN(2)/2))/(LN(2)/2)*AQ153*AT153*VLOOKUP('Données projet'!$B$10,Paramètres!$A$1:$I$89,3,0)*0.475*44/12</f>
        <v>3.6632875899519633E-5</v>
      </c>
      <c r="AX153" s="21">
        <f t="shared" si="114"/>
        <v>37.302935716406402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-5.999999999994543E-2</v>
      </c>
      <c r="BE153" s="13">
        <f>BD153*VLOOKUP('Données projet'!$B$11,Paramètres!$A$1:$I$89,3,0)*VLOOKUP('Données projet'!$B$11,Paramètres!$A$1:$I$89,5,0)</f>
        <v>-2.8079999999974462E-2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83.62456509032836</v>
      </c>
      <c r="BJ153" s="59">
        <f t="shared" si="146"/>
        <v>131.53128089847871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12.267704150573771</v>
      </c>
      <c r="BQ153" s="21">
        <f>EXP(-LN(2)/25)*BQ152+(1-EXP(-LN(2)/25))/(LN(2)/25)*Calculateur!BL153*Calculateur!BN153*VLOOKUP('Données projet'!$B$11,Paramètres!$A$1:$I$89,3,0)*0.475*44/12</f>
        <v>2.7360502488700273</v>
      </c>
      <c r="BR153" s="21">
        <f>EXP(-LN(2)/2)*BR152+(1-EXP(-LN(2)/2))/(LN(2)/2)*BL153*BO153*VLOOKUP('Données projet'!$B$11,Paramètres!$A$1:$I$89,3,0)*0.475*44/12</f>
        <v>1.233355398347005E-12</v>
      </c>
      <c r="BS153" s="22">
        <f t="shared" si="117"/>
        <v>15.003754399445031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925.00000000000034</v>
      </c>
      <c r="BZ153" s="13">
        <f>BY153*VLOOKUP('Données projet'!$B$12,Paramètres!$A$1:$I$89,3,0)*VLOOKUP('Données projet'!$B$12,Paramètres!$A$1:$I$89,5,0)</f>
        <v>408.85000000000014</v>
      </c>
      <c r="CA153" s="13">
        <f t="shared" si="147"/>
        <v>93.568575358321141</v>
      </c>
      <c r="CB153" s="20">
        <f t="shared" si="118"/>
        <v>875.04568541574281</v>
      </c>
      <c r="CC153" s="59">
        <f t="shared" si="119"/>
        <v>1168.3790187490761</v>
      </c>
      <c r="CD153" s="59">
        <f ca="1">AVERAGE(OFFSET($CC$3,0,0,'Données projet'!$E$12+1,1))-AVERAGE(OFFSET($H$3,0,0,'Données projet'!$E$12+1,1))</f>
        <v>415.83983761562189</v>
      </c>
      <c r="CE153" s="59">
        <f t="shared" si="148"/>
        <v>339.37869344688829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17.097064993771568</v>
      </c>
      <c r="CL153" s="21">
        <f>EXP(-LN(2)/25)*CL152+(1-EXP(-LN(2)/25))/(LN(2)/25)*Calculateur!CG153*Calculateur!CI153*VLOOKUP('Données projet'!$B$12,Paramètres!$A$1:$I$89,3,0)*0.475*44/12</f>
        <v>4.2109538540457132</v>
      </c>
      <c r="CM153" s="21">
        <f>EXP(-LN(2)/2)*CM152+(1-EXP(-LN(2)/2))/(LN(2)/2)*CG153*CJ153*VLOOKUP('Données projet'!$B$12,Paramètres!$A$1:$I$89,3,0)*0.475*44/12</f>
        <v>7.138235425252178E-11</v>
      </c>
      <c r="CN153" s="22">
        <f t="shared" si="120"/>
        <v>21.308018847888661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268.00000000000011</v>
      </c>
      <c r="O154" s="13">
        <f>N154*VLOOKUP('Données projet'!$B$9,Paramètres!$A$1:$I$89,3,0)*VLOOKUP('Données projet'!$B$9,Paramètres!$A$1:$I$89,5,0)</f>
        <v>242.48640000000009</v>
      </c>
      <c r="P154" s="13">
        <f t="shared" si="141"/>
        <v>58.974170235372476</v>
      </c>
      <c r="Q154" s="20">
        <f t="shared" ref="Q154:Q203" si="162">(O154+P154)*0.475*44/12</f>
        <v>525.04382649327385</v>
      </c>
      <c r="R154" s="59">
        <f t="shared" si="109"/>
        <v>818.37715982660711</v>
      </c>
      <c r="S154" s="59">
        <f ca="1">AVERAGE(OFFSET($R$3,0,0,'Données projet'!$E$9+1,1))-AVERAGE(OFFSET($H$3,0,0,'Données projet'!$E$9+1,1))</f>
        <v>258.68215148478868</v>
      </c>
      <c r="T154" s="59">
        <f t="shared" si="142"/>
        <v>153.16792125610209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31.577478065723778</v>
      </c>
      <c r="AA154" s="21">
        <f>EXP(-LN(2)/25)*AA153+(1-EXP(-LN(2)/25))/(LN(2)/25)*Calculateur!V154*Calculateur!X154*VLOOKUP('Données projet'!$B$9,Paramètres!$A$1:$I$89,3,0)*0.475*44/12</f>
        <v>1.0471460661243435</v>
      </c>
      <c r="AB154" s="21">
        <f>EXP(-LN(2)/2)*AB153+(1-EXP(-LN(2)/2))/(LN(2)/2)*V154*Y154*VLOOKUP('Données projet'!$B$9,Paramètres!$A$1:$I$89,3,0)*0.475*44/12</f>
        <v>2.3113762889986173E-5</v>
      </c>
      <c r="AC154" s="22">
        <f t="shared" ref="AC154:AC203" si="163">SUM(Z154:AB154)</f>
        <v>32.624647245611015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268.00000000000011</v>
      </c>
      <c r="AJ154" s="13">
        <f>AI154*VLOOKUP('Données projet'!$B$10,Paramètres!$A$1:$I$89,3,0)*VLOOKUP('Données projet'!$B$10,Paramètres!$A$1:$I$89,5,0)</f>
        <v>271.75200000000012</v>
      </c>
      <c r="AK154" s="13">
        <f t="shared" ref="AK154:AK203" si="164">EXP(-1.0587+0.8836*LN(AJ154)+0.284)</f>
        <v>65.220947824724988</v>
      </c>
      <c r="AL154" s="20">
        <f t="shared" ref="AL154:AL203" si="165">(AJ154+AK154)*0.475*44/12</f>
        <v>586.89455079472953</v>
      </c>
      <c r="AM154" s="59">
        <f t="shared" si="113"/>
        <v>880.2278841280629</v>
      </c>
      <c r="AN154" s="59">
        <f ca="1">AVERAGE(OFFSET($AM$3,0,0,'Données projet'!$E$10+1,1))-AVERAGE(OFFSET($H$3,0,0,'Données projet'!$E$10+1,1))</f>
        <v>298.68533387773886</v>
      </c>
      <c r="AO154" s="59">
        <f t="shared" si="144"/>
        <v>176.04868734496114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35.388553004690465</v>
      </c>
      <c r="AV154" s="21">
        <f>EXP(-LN(2)/25)*AV153+(1-EXP(-LN(2)/25))/(LN(2)/25)*Calculateur!AQ154*Calculateur!AS154*VLOOKUP('Données projet'!$B$10,Paramètres!$A$1:$I$89,3,0)*0.475*44/12</f>
        <v>1.1735257637600403</v>
      </c>
      <c r="AW154" s="21">
        <f>EXP(-LN(2)/2)*AW153+(1-EXP(-LN(2)/2))/(LN(2)/2)*AQ154*AT154*VLOOKUP('Données projet'!$B$10,Paramètres!$A$1:$I$89,3,0)*0.475*44/12</f>
        <v>2.590335496291558E-5</v>
      </c>
      <c r="AX154" s="21">
        <f t="shared" ref="AX154:AX203" si="166">SUM(AU154:AW154)</f>
        <v>36.562104671805464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-5.999999999994543E-2</v>
      </c>
      <c r="BE154" s="13">
        <f>BD154*VLOOKUP('Données projet'!$B$11,Paramètres!$A$1:$I$89,3,0)*VLOOKUP('Données projet'!$B$11,Paramètres!$A$1:$I$89,5,0)</f>
        <v>-2.8079999999974462E-2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83.62456509032836</v>
      </c>
      <c r="BJ154" s="59">
        <f t="shared" si="146"/>
        <v>131.53128089847871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12.02714195474171</v>
      </c>
      <c r="BQ154" s="21">
        <f>EXP(-LN(2)/25)*BQ153+(1-EXP(-LN(2)/25))/(LN(2)/25)*Calculateur!BL154*Calculateur!BN154*VLOOKUP('Données projet'!$B$11,Paramètres!$A$1:$I$89,3,0)*0.475*44/12</f>
        <v>2.6612328109320473</v>
      </c>
      <c r="BR154" s="21">
        <f>EXP(-LN(2)/2)*BR153+(1-EXP(-LN(2)/2))/(LN(2)/2)*BL154*BO154*VLOOKUP('Données projet'!$B$11,Paramètres!$A$1:$I$89,3,0)*0.475*44/12</f>
        <v>8.7211396578420286E-13</v>
      </c>
      <c r="BS154" s="22">
        <f t="shared" ref="BS154:BS203" si="169">SUM(BP154:BR154)</f>
        <v>14.688374765674629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925.00000000000034</v>
      </c>
      <c r="BZ154" s="13">
        <f>BY154*VLOOKUP('Données projet'!$B$12,Paramètres!$A$1:$I$89,3,0)*VLOOKUP('Données projet'!$B$12,Paramètres!$A$1:$I$89,5,0)</f>
        <v>408.85000000000014</v>
      </c>
      <c r="CA154" s="13">
        <f t="shared" ref="CA154:CA203" si="170">EXP(-1.0587+0.8836*LN(BZ154)+0.284)</f>
        <v>93.568575358321141</v>
      </c>
      <c r="CB154" s="20">
        <f t="shared" ref="CB154:CB203" si="171">(BZ154+CA154)*0.475*44/12</f>
        <v>875.04568541574281</v>
      </c>
      <c r="CC154" s="59">
        <f t="shared" si="119"/>
        <v>1168.3790187490761</v>
      </c>
      <c r="CD154" s="59">
        <f ca="1">AVERAGE(OFFSET($CC$3,0,0,'Données projet'!$E$12+1,1))-AVERAGE(OFFSET($H$3,0,0,'Données projet'!$E$12+1,1))</f>
        <v>415.83983761562189</v>
      </c>
      <c r="CE154" s="59">
        <f t="shared" si="148"/>
        <v>339.37869344688829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16.761801977423655</v>
      </c>
      <c r="CL154" s="21">
        <f>EXP(-LN(2)/25)*CL153+(1-EXP(-LN(2)/25))/(LN(2)/25)*Calculateur!CG154*Calculateur!CI154*VLOOKUP('Données projet'!$B$12,Paramètres!$A$1:$I$89,3,0)*0.475*44/12</f>
        <v>4.0958050994623942</v>
      </c>
      <c r="CM154" s="21">
        <f>EXP(-LN(2)/2)*CM153+(1-EXP(-LN(2)/2))/(LN(2)/2)*CG154*CJ154*VLOOKUP('Données projet'!$B$12,Paramètres!$A$1:$I$89,3,0)*0.475*44/12</f>
        <v>5.0474946749018539E-11</v>
      </c>
      <c r="CN154" s="22">
        <f t="shared" ref="CN154:CN203" si="172">SUM(CK154:CM154)</f>
        <v>20.857607076936521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268.00000000000011</v>
      </c>
      <c r="O155" s="13">
        <f>N155*VLOOKUP('Données projet'!$B$9,Paramètres!$A$1:$I$89,3,0)*VLOOKUP('Données projet'!$B$9,Paramètres!$A$1:$I$89,5,0)</f>
        <v>242.48640000000009</v>
      </c>
      <c r="P155" s="13">
        <f t="shared" si="141"/>
        <v>58.974170235372476</v>
      </c>
      <c r="Q155" s="20">
        <f t="shared" si="162"/>
        <v>525.04382649327385</v>
      </c>
      <c r="R155" s="59">
        <f t="shared" si="109"/>
        <v>818.37715982660711</v>
      </c>
      <c r="S155" s="59">
        <f ca="1">AVERAGE(OFFSET($R$3,0,0,'Données projet'!$E$9+1,1))-AVERAGE(OFFSET($H$3,0,0,'Données projet'!$E$9+1,1))</f>
        <v>258.68215148478868</v>
      </c>
      <c r="T155" s="59">
        <f t="shared" si="142"/>
        <v>153.16792125610209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30.958262981214752</v>
      </c>
      <c r="AA155" s="21">
        <f>EXP(-LN(2)/25)*AA154+(1-EXP(-LN(2)/25))/(LN(2)/25)*Calculateur!V155*Calculateur!X155*VLOOKUP('Données projet'!$B$9,Paramètres!$A$1:$I$89,3,0)*0.475*44/12</f>
        <v>1.018511801879155</v>
      </c>
      <c r="AB155" s="21">
        <f>EXP(-LN(2)/2)*AB154+(1-EXP(-LN(2)/2))/(LN(2)/2)*V155*Y155*VLOOKUP('Données projet'!$B$9,Paramètres!$A$1:$I$89,3,0)*0.475*44/12</f>
        <v>1.6343898478247195E-5</v>
      </c>
      <c r="AC155" s="22">
        <f t="shared" si="163"/>
        <v>31.976791126992385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268.00000000000011</v>
      </c>
      <c r="AJ155" s="13">
        <f>AI155*VLOOKUP('Données projet'!$B$10,Paramètres!$A$1:$I$89,3,0)*VLOOKUP('Données projet'!$B$10,Paramètres!$A$1:$I$89,5,0)</f>
        <v>271.75200000000012</v>
      </c>
      <c r="AK155" s="13">
        <f t="shared" si="164"/>
        <v>65.220947824724988</v>
      </c>
      <c r="AL155" s="20">
        <f t="shared" si="165"/>
        <v>586.89455079472953</v>
      </c>
      <c r="AM155" s="59">
        <f t="shared" si="113"/>
        <v>880.2278841280629</v>
      </c>
      <c r="AN155" s="59">
        <f ca="1">AVERAGE(OFFSET($AM$3,0,0,'Données projet'!$E$10+1,1))-AVERAGE(OFFSET($H$3,0,0,'Données projet'!$E$10+1,1))</f>
        <v>298.68533387773886</v>
      </c>
      <c r="AO155" s="59">
        <f t="shared" si="144"/>
        <v>176.04868734496114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34.694605065154484</v>
      </c>
      <c r="AV155" s="21">
        <f>EXP(-LN(2)/25)*AV154+(1-EXP(-LN(2)/25))/(LN(2)/25)*Calculateur!AQ155*Calculateur!AS155*VLOOKUP('Données projet'!$B$10,Paramètres!$A$1:$I$89,3,0)*0.475*44/12</f>
        <v>1.1414356400369841</v>
      </c>
      <c r="AW155" s="21">
        <f>EXP(-LN(2)/2)*AW154+(1-EXP(-LN(2)/2))/(LN(2)/2)*AQ155*AT155*VLOOKUP('Données projet'!$B$10,Paramètres!$A$1:$I$89,3,0)*0.475*44/12</f>
        <v>1.8316437949759817E-5</v>
      </c>
      <c r="AX155" s="21">
        <f t="shared" si="166"/>
        <v>35.836059021629417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-5.999999999994543E-2</v>
      </c>
      <c r="BE155" s="13">
        <f>BD155*VLOOKUP('Données projet'!$B$11,Paramètres!$A$1:$I$89,3,0)*VLOOKUP('Données projet'!$B$11,Paramètres!$A$1:$I$89,5,0)</f>
        <v>-2.8079999999974462E-2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83.62456509032836</v>
      </c>
      <c r="BJ155" s="59">
        <f t="shared" si="146"/>
        <v>131.53128089847871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11.791297036841463</v>
      </c>
      <c r="BQ155" s="21">
        <f>EXP(-LN(2)/25)*BQ154+(1-EXP(-LN(2)/25))/(LN(2)/25)*Calculateur!BL155*Calculateur!BN155*VLOOKUP('Données projet'!$B$11,Paramètres!$A$1:$I$89,3,0)*0.475*44/12</f>
        <v>2.5884612597689594</v>
      </c>
      <c r="BR155" s="21">
        <f>EXP(-LN(2)/2)*BR154+(1-EXP(-LN(2)/2))/(LN(2)/2)*BL155*BO155*VLOOKUP('Données projet'!$B$11,Paramètres!$A$1:$I$89,3,0)*0.475*44/12</f>
        <v>6.1667769917350252E-13</v>
      </c>
      <c r="BS155" s="22">
        <f t="shared" si="169"/>
        <v>14.379758296611039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925.00000000000034</v>
      </c>
      <c r="BZ155" s="13">
        <f>BY155*VLOOKUP('Données projet'!$B$12,Paramètres!$A$1:$I$89,3,0)*VLOOKUP('Données projet'!$B$12,Paramètres!$A$1:$I$89,5,0)</f>
        <v>408.85000000000014</v>
      </c>
      <c r="CA155" s="13">
        <f t="shared" si="170"/>
        <v>93.568575358321141</v>
      </c>
      <c r="CB155" s="20">
        <f t="shared" si="171"/>
        <v>875.04568541574281</v>
      </c>
      <c r="CC155" s="59">
        <f t="shared" si="119"/>
        <v>1168.3790187490761</v>
      </c>
      <c r="CD155" s="59">
        <f ca="1">AVERAGE(OFFSET($CC$3,0,0,'Données projet'!$E$12+1,1))-AVERAGE(OFFSET($H$3,0,0,'Données projet'!$E$12+1,1))</f>
        <v>415.83983761562189</v>
      </c>
      <c r="CE155" s="59">
        <f t="shared" si="148"/>
        <v>339.37869344688829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16.433113264336079</v>
      </c>
      <c r="CL155" s="21">
        <f>EXP(-LN(2)/25)*CL154+(1-EXP(-LN(2)/25))/(LN(2)/25)*Calculateur!CG155*Calculateur!CI155*VLOOKUP('Données projet'!$B$12,Paramètres!$A$1:$I$89,3,0)*0.475*44/12</f>
        <v>3.9838050936285661</v>
      </c>
      <c r="CM155" s="21">
        <f>EXP(-LN(2)/2)*CM154+(1-EXP(-LN(2)/2))/(LN(2)/2)*CG155*CJ155*VLOOKUP('Données projet'!$B$12,Paramètres!$A$1:$I$89,3,0)*0.475*44/12</f>
        <v>3.569117712626089E-11</v>
      </c>
      <c r="CN155" s="22">
        <f t="shared" si="172"/>
        <v>20.416918358000334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268.00000000000011</v>
      </c>
      <c r="O156" s="13">
        <f>N156*VLOOKUP('Données projet'!$B$9,Paramètres!$A$1:$I$89,3,0)*VLOOKUP('Données projet'!$B$9,Paramètres!$A$1:$I$89,5,0)</f>
        <v>242.48640000000009</v>
      </c>
      <c r="P156" s="13">
        <f t="shared" si="141"/>
        <v>58.974170235372476</v>
      </c>
      <c r="Q156" s="20">
        <f t="shared" si="162"/>
        <v>525.04382649327385</v>
      </c>
      <c r="R156" s="59">
        <f t="shared" si="109"/>
        <v>818.37715982660711</v>
      </c>
      <c r="S156" s="59">
        <f ca="1">AVERAGE(OFFSET($R$3,0,0,'Données projet'!$E$9+1,1))-AVERAGE(OFFSET($H$3,0,0,'Données projet'!$E$9+1,1))</f>
        <v>258.68215148478868</v>
      </c>
      <c r="T156" s="59">
        <f t="shared" si="142"/>
        <v>153.16792125610209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30.351190326829041</v>
      </c>
      <c r="AA156" s="21">
        <f>EXP(-LN(2)/25)*AA155+(1-EXP(-LN(2)/25))/(LN(2)/25)*Calculateur!V156*Calculateur!X156*VLOOKUP('Données projet'!$B$9,Paramètres!$A$1:$I$89,3,0)*0.475*44/12</f>
        <v>0.99066054309556173</v>
      </c>
      <c r="AB156" s="21">
        <f>EXP(-LN(2)/2)*AB155+(1-EXP(-LN(2)/2))/(LN(2)/2)*V156*Y156*VLOOKUP('Données projet'!$B$9,Paramètres!$A$1:$I$89,3,0)*0.475*44/12</f>
        <v>1.1556881444993086E-5</v>
      </c>
      <c r="AC156" s="22">
        <f t="shared" si="163"/>
        <v>31.341862426806049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268.00000000000011</v>
      </c>
      <c r="AJ156" s="13">
        <f>AI156*VLOOKUP('Données projet'!$B$10,Paramètres!$A$1:$I$89,3,0)*VLOOKUP('Données projet'!$B$10,Paramètres!$A$1:$I$89,5,0)</f>
        <v>271.75200000000012</v>
      </c>
      <c r="AK156" s="13">
        <f t="shared" si="164"/>
        <v>65.220947824724988</v>
      </c>
      <c r="AL156" s="20">
        <f t="shared" si="165"/>
        <v>586.89455079472953</v>
      </c>
      <c r="AM156" s="59">
        <f t="shared" si="113"/>
        <v>880.2278841280629</v>
      </c>
      <c r="AN156" s="59">
        <f ca="1">AVERAGE(OFFSET($AM$3,0,0,'Données projet'!$E$10+1,1))-AVERAGE(OFFSET($H$3,0,0,'Données projet'!$E$10+1,1))</f>
        <v>298.68533387773886</v>
      </c>
      <c r="AO156" s="59">
        <f t="shared" si="144"/>
        <v>176.04868734496114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34.014265021446356</v>
      </c>
      <c r="AV156" s="21">
        <f>EXP(-LN(2)/25)*AV155+(1-EXP(-LN(2)/25))/(LN(2)/25)*Calculateur!AQ156*Calculateur!AS156*VLOOKUP('Données projet'!$B$10,Paramètres!$A$1:$I$89,3,0)*0.475*44/12</f>
        <v>1.1102230224346812</v>
      </c>
      <c r="AW156" s="21">
        <f>EXP(-LN(2)/2)*AW155+(1-EXP(-LN(2)/2))/(LN(2)/2)*AQ156*AT156*VLOOKUP('Données projet'!$B$10,Paramètres!$A$1:$I$89,3,0)*0.475*44/12</f>
        <v>1.295167748145779E-5</v>
      </c>
      <c r="AX156" s="21">
        <f t="shared" si="166"/>
        <v>35.12450099555852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-5.999999999994543E-2</v>
      </c>
      <c r="BE156" s="13">
        <f>BD156*VLOOKUP('Données projet'!$B$11,Paramètres!$A$1:$I$89,3,0)*VLOOKUP('Données projet'!$B$11,Paramètres!$A$1:$I$89,5,0)</f>
        <v>-2.8079999999974462E-2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83.62456509032836</v>
      </c>
      <c r="BJ156" s="59">
        <f t="shared" si="146"/>
        <v>131.53128089847871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11.560076893930045</v>
      </c>
      <c r="BQ156" s="21">
        <f>EXP(-LN(2)/25)*BQ155+(1-EXP(-LN(2)/25))/(LN(2)/25)*Calculateur!BL156*Calculateur!BN156*VLOOKUP('Données projet'!$B$11,Paramètres!$A$1:$I$89,3,0)*0.475*44/12</f>
        <v>2.5176796504993155</v>
      </c>
      <c r="BR156" s="21">
        <f>EXP(-LN(2)/2)*BR155+(1-EXP(-LN(2)/2))/(LN(2)/2)*BL156*BO156*VLOOKUP('Données projet'!$B$11,Paramètres!$A$1:$I$89,3,0)*0.475*44/12</f>
        <v>4.3605698289210143E-13</v>
      </c>
      <c r="BS156" s="22">
        <f t="shared" si="169"/>
        <v>14.077756544429796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925.00000000000034</v>
      </c>
      <c r="BZ156" s="13">
        <f>BY156*VLOOKUP('Données projet'!$B$12,Paramètres!$A$1:$I$89,3,0)*VLOOKUP('Données projet'!$B$12,Paramètres!$A$1:$I$89,5,0)</f>
        <v>408.85000000000014</v>
      </c>
      <c r="CA156" s="13">
        <f t="shared" si="170"/>
        <v>93.568575358321141</v>
      </c>
      <c r="CB156" s="20">
        <f t="shared" si="171"/>
        <v>875.04568541574281</v>
      </c>
      <c r="CC156" s="59">
        <f t="shared" si="119"/>
        <v>1168.3790187490761</v>
      </c>
      <c r="CD156" s="59">
        <f ca="1">AVERAGE(OFFSET($CC$3,0,0,'Données projet'!$E$12+1,1))-AVERAGE(OFFSET($H$3,0,0,'Données projet'!$E$12+1,1))</f>
        <v>415.83983761562189</v>
      </c>
      <c r="CE156" s="59">
        <f t="shared" si="148"/>
        <v>339.37869344688829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16.110869936431829</v>
      </c>
      <c r="CL156" s="21">
        <f>EXP(-LN(2)/25)*CL155+(1-EXP(-LN(2)/25))/(LN(2)/25)*Calculateur!CG156*Calculateur!CI156*VLOOKUP('Données projet'!$B$12,Paramètres!$A$1:$I$89,3,0)*0.475*44/12</f>
        <v>3.8748677338440882</v>
      </c>
      <c r="CM156" s="21">
        <f>EXP(-LN(2)/2)*CM155+(1-EXP(-LN(2)/2))/(LN(2)/2)*CG156*CJ156*VLOOKUP('Données projet'!$B$12,Paramètres!$A$1:$I$89,3,0)*0.475*44/12</f>
        <v>2.523747337450927E-11</v>
      </c>
      <c r="CN156" s="22">
        <f t="shared" si="172"/>
        <v>19.985737670301155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268.00000000000011</v>
      </c>
      <c r="O157" s="13">
        <f>N157*VLOOKUP('Données projet'!$B$9,Paramètres!$A$1:$I$89,3,0)*VLOOKUP('Données projet'!$B$9,Paramètres!$A$1:$I$89,5,0)</f>
        <v>242.48640000000009</v>
      </c>
      <c r="P157" s="13">
        <f t="shared" si="141"/>
        <v>58.974170235372476</v>
      </c>
      <c r="Q157" s="20">
        <f t="shared" si="162"/>
        <v>525.04382649327385</v>
      </c>
      <c r="R157" s="59">
        <f t="shared" si="109"/>
        <v>818.37715982660711</v>
      </c>
      <c r="S157" s="59">
        <f ca="1">AVERAGE(OFFSET($R$3,0,0,'Données projet'!$E$9+1,1))-AVERAGE(OFFSET($H$3,0,0,'Données projet'!$E$9+1,1))</f>
        <v>258.68215148478868</v>
      </c>
      <c r="T157" s="59">
        <f t="shared" si="142"/>
        <v>153.16792125610209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29.756021996918076</v>
      </c>
      <c r="AA157" s="21">
        <f>EXP(-LN(2)/25)*AA156+(1-EXP(-LN(2)/25))/(LN(2)/25)*Calculateur!V157*Calculateur!X157*VLOOKUP('Données projet'!$B$9,Paramètres!$A$1:$I$89,3,0)*0.475*44/12</f>
        <v>0.96357087844803979</v>
      </c>
      <c r="AB157" s="21">
        <f>EXP(-LN(2)/2)*AB156+(1-EXP(-LN(2)/2))/(LN(2)/2)*V157*Y157*VLOOKUP('Données projet'!$B$9,Paramètres!$A$1:$I$89,3,0)*0.475*44/12</f>
        <v>8.1719492391235974E-6</v>
      </c>
      <c r="AC157" s="22">
        <f t="shared" si="163"/>
        <v>30.719601047315354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268.00000000000011</v>
      </c>
      <c r="AJ157" s="13">
        <f>AI157*VLOOKUP('Données projet'!$B$10,Paramètres!$A$1:$I$89,3,0)*VLOOKUP('Données projet'!$B$10,Paramètres!$A$1:$I$89,5,0)</f>
        <v>271.75200000000012</v>
      </c>
      <c r="AK157" s="13">
        <f t="shared" si="164"/>
        <v>65.220947824724988</v>
      </c>
      <c r="AL157" s="20">
        <f t="shared" si="165"/>
        <v>586.89455079472953</v>
      </c>
      <c r="AM157" s="59">
        <f t="shared" si="113"/>
        <v>880.2278841280629</v>
      </c>
      <c r="AN157" s="59">
        <f ca="1">AVERAGE(OFFSET($AM$3,0,0,'Données projet'!$E$10+1,1))-AVERAGE(OFFSET($H$3,0,0,'Données projet'!$E$10+1,1))</f>
        <v>298.68533387773886</v>
      </c>
      <c r="AO157" s="59">
        <f t="shared" si="144"/>
        <v>176.04868734496114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33.347266031028894</v>
      </c>
      <c r="AV157" s="21">
        <f>EXP(-LN(2)/25)*AV156+(1-EXP(-LN(2)/25))/(LN(2)/25)*Calculateur!AQ157*Calculateur!AS157*VLOOKUP('Données projet'!$B$10,Paramètres!$A$1:$I$89,3,0)*0.475*44/12</f>
        <v>1.0798639155021135</v>
      </c>
      <c r="AW157" s="21">
        <f>EXP(-LN(2)/2)*AW156+(1-EXP(-LN(2)/2))/(LN(2)/2)*AQ157*AT157*VLOOKUP('Données projet'!$B$10,Paramètres!$A$1:$I$89,3,0)*0.475*44/12</f>
        <v>9.1582189748799083E-6</v>
      </c>
      <c r="AX157" s="21">
        <f t="shared" si="166"/>
        <v>34.427139104749983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-5.999999999994543E-2</v>
      </c>
      <c r="BE157" s="13">
        <f>BD157*VLOOKUP('Données projet'!$B$11,Paramètres!$A$1:$I$89,3,0)*VLOOKUP('Données projet'!$B$11,Paramètres!$A$1:$I$89,5,0)</f>
        <v>-2.8079999999974462E-2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83.62456509032836</v>
      </c>
      <c r="BJ157" s="59">
        <f t="shared" si="146"/>
        <v>131.53128089847871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11.333390836990759</v>
      </c>
      <c r="BQ157" s="21">
        <f>EXP(-LN(2)/25)*BQ156+(1-EXP(-LN(2)/25))/(LN(2)/25)*Calculateur!BL157*Calculateur!BN157*VLOOKUP('Données projet'!$B$11,Paramètres!$A$1:$I$89,3,0)*0.475*44/12</f>
        <v>2.4488335680573932</v>
      </c>
      <c r="BR157" s="21">
        <f>EXP(-LN(2)/2)*BR156+(1-EXP(-LN(2)/2))/(LN(2)/2)*BL157*BO157*VLOOKUP('Données projet'!$B$11,Paramètres!$A$1:$I$89,3,0)*0.475*44/12</f>
        <v>3.0833884958675126E-13</v>
      </c>
      <c r="BS157" s="22">
        <f t="shared" si="169"/>
        <v>13.782224405048462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925.00000000000034</v>
      </c>
      <c r="BZ157" s="13">
        <f>BY157*VLOOKUP('Données projet'!$B$12,Paramètres!$A$1:$I$89,3,0)*VLOOKUP('Données projet'!$B$12,Paramètres!$A$1:$I$89,5,0)</f>
        <v>408.85000000000014</v>
      </c>
      <c r="CA157" s="13">
        <f t="shared" si="170"/>
        <v>93.568575358321141</v>
      </c>
      <c r="CB157" s="20">
        <f t="shared" si="171"/>
        <v>875.04568541574281</v>
      </c>
      <c r="CC157" s="59">
        <f t="shared" si="119"/>
        <v>1168.3790187490761</v>
      </c>
      <c r="CD157" s="59">
        <f ca="1">AVERAGE(OFFSET($CC$3,0,0,'Données projet'!$E$12+1,1))-AVERAGE(OFFSET($H$3,0,0,'Données projet'!$E$12+1,1))</f>
        <v>415.83983761562189</v>
      </c>
      <c r="CE157" s="59">
        <f t="shared" si="148"/>
        <v>339.37869344688829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15.794945603638761</v>
      </c>
      <c r="CL157" s="21">
        <f>EXP(-LN(2)/25)*CL156+(1-EXP(-LN(2)/25))/(LN(2)/25)*Calculateur!CG157*Calculateur!CI157*VLOOKUP('Données projet'!$B$12,Paramètres!$A$1:$I$89,3,0)*0.475*44/12</f>
        <v>3.7689092718916837</v>
      </c>
      <c r="CM157" s="21">
        <f>EXP(-LN(2)/2)*CM156+(1-EXP(-LN(2)/2))/(LN(2)/2)*CG157*CJ157*VLOOKUP('Données projet'!$B$12,Paramètres!$A$1:$I$89,3,0)*0.475*44/12</f>
        <v>1.7845588563130445E-11</v>
      </c>
      <c r="CN157" s="22">
        <f t="shared" si="172"/>
        <v>19.563854875548291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268.00000000000011</v>
      </c>
      <c r="O158" s="13">
        <f>N158*VLOOKUP('Données projet'!$B$9,Paramètres!$A$1:$I$89,3,0)*VLOOKUP('Données projet'!$B$9,Paramètres!$A$1:$I$89,5,0)</f>
        <v>242.48640000000009</v>
      </c>
      <c r="P158" s="13">
        <f t="shared" si="141"/>
        <v>58.974170235372476</v>
      </c>
      <c r="Q158" s="20">
        <f t="shared" si="162"/>
        <v>525.04382649327385</v>
      </c>
      <c r="R158" s="59">
        <f t="shared" si="109"/>
        <v>818.37715982660711</v>
      </c>
      <c r="S158" s="59">
        <f ca="1">AVERAGE(OFFSET($R$3,0,0,'Données projet'!$E$9+1,1))-AVERAGE(OFFSET($H$3,0,0,'Données projet'!$E$9+1,1))</f>
        <v>258.68215148478868</v>
      </c>
      <c r="T158" s="59">
        <f t="shared" si="142"/>
        <v>153.16792125610209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29.172524554939827</v>
      </c>
      <c r="AA158" s="21">
        <f>EXP(-LN(2)/25)*AA157+(1-EXP(-LN(2)/25))/(LN(2)/25)*Calculateur!V158*Calculateur!X158*VLOOKUP('Données projet'!$B$9,Paramètres!$A$1:$I$89,3,0)*0.475*44/12</f>
        <v>0.93722198210488794</v>
      </c>
      <c r="AB158" s="21">
        <f>EXP(-LN(2)/2)*AB157+(1-EXP(-LN(2)/2))/(LN(2)/2)*V158*Y158*VLOOKUP('Données projet'!$B$9,Paramètres!$A$1:$I$89,3,0)*0.475*44/12</f>
        <v>5.7784407224965431E-6</v>
      </c>
      <c r="AC158" s="22">
        <f t="shared" si="163"/>
        <v>30.109752315485437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268.00000000000011</v>
      </c>
      <c r="AJ158" s="13">
        <f>AI158*VLOOKUP('Données projet'!$B$10,Paramètres!$A$1:$I$89,3,0)*VLOOKUP('Données projet'!$B$10,Paramètres!$A$1:$I$89,5,0)</f>
        <v>271.75200000000012</v>
      </c>
      <c r="AK158" s="13">
        <f t="shared" si="164"/>
        <v>65.220947824724988</v>
      </c>
      <c r="AL158" s="20">
        <f t="shared" si="165"/>
        <v>586.89455079472953</v>
      </c>
      <c r="AM158" s="59">
        <f t="shared" si="113"/>
        <v>880.2278841280629</v>
      </c>
      <c r="AN158" s="59">
        <f ca="1">AVERAGE(OFFSET($AM$3,0,0,'Données projet'!$E$10+1,1))-AVERAGE(OFFSET($H$3,0,0,'Données projet'!$E$10+1,1))</f>
        <v>298.68533387773886</v>
      </c>
      <c r="AO158" s="59">
        <f t="shared" si="144"/>
        <v>176.04868734496114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32.693346483984307</v>
      </c>
      <c r="AV158" s="21">
        <f>EXP(-LN(2)/25)*AV157+(1-EXP(-LN(2)/25))/(LN(2)/25)*Calculateur!AQ158*Calculateur!AS158*VLOOKUP('Données projet'!$B$10,Paramètres!$A$1:$I$89,3,0)*0.475*44/12</f>
        <v>1.0503349799451329</v>
      </c>
      <c r="AW158" s="21">
        <f>EXP(-LN(2)/2)*AW157+(1-EXP(-LN(2)/2))/(LN(2)/2)*AQ158*AT158*VLOOKUP('Données projet'!$B$10,Paramètres!$A$1:$I$89,3,0)*0.475*44/12</f>
        <v>6.475838740728895E-6</v>
      </c>
      <c r="AX158" s="21">
        <f t="shared" si="166"/>
        <v>33.743687939768179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-5.999999999994543E-2</v>
      </c>
      <c r="BE158" s="13">
        <f>BD158*VLOOKUP('Données projet'!$B$11,Paramètres!$A$1:$I$89,3,0)*VLOOKUP('Données projet'!$B$11,Paramètres!$A$1:$I$89,5,0)</f>
        <v>-2.8079999999974462E-2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83.62456509032836</v>
      </c>
      <c r="BJ158" s="59">
        <f t="shared" si="146"/>
        <v>131.53128089847871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11.11114995536321</v>
      </c>
      <c r="BQ158" s="21">
        <f>EXP(-LN(2)/25)*BQ157+(1-EXP(-LN(2)/25))/(LN(2)/25)*Calculateur!BL158*Calculateur!BN158*VLOOKUP('Données projet'!$B$11,Paramètres!$A$1:$I$89,3,0)*0.475*44/12</f>
        <v>2.3818700853603034</v>
      </c>
      <c r="BR158" s="21">
        <f>EXP(-LN(2)/2)*BR157+(1-EXP(-LN(2)/2))/(LN(2)/2)*BL158*BO158*VLOOKUP('Données projet'!$B$11,Paramètres!$A$1:$I$89,3,0)*0.475*44/12</f>
        <v>2.1802849144605071E-13</v>
      </c>
      <c r="BS158" s="22">
        <f t="shared" si="169"/>
        <v>13.493020040723732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925.00000000000034</v>
      </c>
      <c r="BZ158" s="13">
        <f>BY158*VLOOKUP('Données projet'!$B$12,Paramètres!$A$1:$I$89,3,0)*VLOOKUP('Données projet'!$B$12,Paramètres!$A$1:$I$89,5,0)</f>
        <v>408.85000000000014</v>
      </c>
      <c r="CA158" s="13">
        <f t="shared" si="170"/>
        <v>93.568575358321141</v>
      </c>
      <c r="CB158" s="20">
        <f t="shared" si="171"/>
        <v>875.04568541574281</v>
      </c>
      <c r="CC158" s="59">
        <f t="shared" si="119"/>
        <v>1168.3790187490761</v>
      </c>
      <c r="CD158" s="59">
        <f ca="1">AVERAGE(OFFSET($CC$3,0,0,'Données projet'!$E$12+1,1))-AVERAGE(OFFSET($H$3,0,0,'Données projet'!$E$12+1,1))</f>
        <v>415.83983761562189</v>
      </c>
      <c r="CE158" s="59">
        <f t="shared" si="148"/>
        <v>339.37869344688829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15.485216354316947</v>
      </c>
      <c r="CL158" s="21">
        <f>EXP(-LN(2)/25)*CL157+(1-EXP(-LN(2)/25))/(LN(2)/25)*Calculateur!CG158*Calculateur!CI158*VLOOKUP('Données projet'!$B$12,Paramètres!$A$1:$I$89,3,0)*0.475*44/12</f>
        <v>3.665848249653481</v>
      </c>
      <c r="CM158" s="21">
        <f>EXP(-LN(2)/2)*CM157+(1-EXP(-LN(2)/2))/(LN(2)/2)*CG158*CJ158*VLOOKUP('Données projet'!$B$12,Paramètres!$A$1:$I$89,3,0)*0.475*44/12</f>
        <v>1.2618736687254635E-11</v>
      </c>
      <c r="CN158" s="22">
        <f t="shared" si="172"/>
        <v>19.151064603983048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268.00000000000011</v>
      </c>
      <c r="O159" s="13">
        <f>N159*VLOOKUP('Données projet'!$B$9,Paramètres!$A$1:$I$89,3,0)*VLOOKUP('Données projet'!$B$9,Paramètres!$A$1:$I$89,5,0)</f>
        <v>242.48640000000009</v>
      </c>
      <c r="P159" s="13">
        <f t="shared" si="141"/>
        <v>58.974170235372476</v>
      </c>
      <c r="Q159" s="20">
        <f t="shared" si="162"/>
        <v>525.04382649327385</v>
      </c>
      <c r="R159" s="59">
        <f t="shared" si="109"/>
        <v>818.37715982660711</v>
      </c>
      <c r="S159" s="59">
        <f ca="1">AVERAGE(OFFSET($R$3,0,0,'Données projet'!$E$9+1,1))-AVERAGE(OFFSET($H$3,0,0,'Données projet'!$E$9+1,1))</f>
        <v>258.68215148478868</v>
      </c>
      <c r="T159" s="59">
        <f t="shared" si="142"/>
        <v>153.16792125610209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28.600469141900476</v>
      </c>
      <c r="AA159" s="21">
        <f>EXP(-LN(2)/25)*AA158+(1-EXP(-LN(2)/25))/(LN(2)/25)*Calculateur!V159*Calculateur!X159*VLOOKUP('Données projet'!$B$9,Paramètres!$A$1:$I$89,3,0)*0.475*44/12</f>
        <v>0.91159359771786774</v>
      </c>
      <c r="AB159" s="21">
        <f>EXP(-LN(2)/2)*AB158+(1-EXP(-LN(2)/2))/(LN(2)/2)*V159*Y159*VLOOKUP('Données projet'!$B$9,Paramètres!$A$1:$I$89,3,0)*0.475*44/12</f>
        <v>4.0859746195617987E-6</v>
      </c>
      <c r="AC159" s="22">
        <f t="shared" si="163"/>
        <v>29.512066825592964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268.00000000000011</v>
      </c>
      <c r="AJ159" s="13">
        <f>AI159*VLOOKUP('Données projet'!$B$10,Paramètres!$A$1:$I$89,3,0)*VLOOKUP('Données projet'!$B$10,Paramètres!$A$1:$I$89,5,0)</f>
        <v>271.75200000000012</v>
      </c>
      <c r="AK159" s="13">
        <f t="shared" si="164"/>
        <v>65.220947824724988</v>
      </c>
      <c r="AL159" s="20">
        <f t="shared" si="165"/>
        <v>586.89455079472953</v>
      </c>
      <c r="AM159" s="59">
        <f t="shared" si="113"/>
        <v>880.2278841280629</v>
      </c>
      <c r="AN159" s="59">
        <f ca="1">AVERAGE(OFFSET($AM$3,0,0,'Données projet'!$E$10+1,1))-AVERAGE(OFFSET($H$3,0,0,'Données projet'!$E$10+1,1))</f>
        <v>298.68533387773886</v>
      </c>
      <c r="AO159" s="59">
        <f t="shared" si="144"/>
        <v>176.04868734496114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32.05224990040572</v>
      </c>
      <c r="AV159" s="21">
        <f>EXP(-LN(2)/25)*AV158+(1-EXP(-LN(2)/25))/(LN(2)/25)*Calculateur!AQ159*Calculateur!AS159*VLOOKUP('Données projet'!$B$10,Paramètres!$A$1:$I$89,3,0)*0.475*44/12</f>
        <v>1.0216135146838172</v>
      </c>
      <c r="AW159" s="21">
        <f>EXP(-LN(2)/2)*AW158+(1-EXP(-LN(2)/2))/(LN(2)/2)*AQ159*AT159*VLOOKUP('Données projet'!$B$10,Paramètres!$A$1:$I$89,3,0)*0.475*44/12</f>
        <v>4.5791094874399541E-6</v>
      </c>
      <c r="AX159" s="21">
        <f t="shared" si="166"/>
        <v>33.07386799419902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-5.999999999994543E-2</v>
      </c>
      <c r="BE159" s="13">
        <f>BD159*VLOOKUP('Données projet'!$B$11,Paramètres!$A$1:$I$89,3,0)*VLOOKUP('Données projet'!$B$11,Paramètres!$A$1:$I$89,5,0)</f>
        <v>-2.8079999999974462E-2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83.62456509032836</v>
      </c>
      <c r="BJ159" s="59">
        <f t="shared" si="146"/>
        <v>131.53128089847871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10.893267081870825</v>
      </c>
      <c r="BQ159" s="21">
        <f>EXP(-LN(2)/25)*BQ158+(1-EXP(-LN(2)/25))/(LN(2)/25)*Calculateur!BL159*Calculateur!BN159*VLOOKUP('Données projet'!$B$11,Paramètres!$A$1:$I$89,3,0)*0.475*44/12</f>
        <v>2.3167377226190218</v>
      </c>
      <c r="BR159" s="21">
        <f>EXP(-LN(2)/2)*BR158+(1-EXP(-LN(2)/2))/(LN(2)/2)*BL159*BO159*VLOOKUP('Données projet'!$B$11,Paramètres!$A$1:$I$89,3,0)*0.475*44/12</f>
        <v>1.5416942479337563E-13</v>
      </c>
      <c r="BS159" s="22">
        <f t="shared" si="169"/>
        <v>13.210004804490001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925.00000000000034</v>
      </c>
      <c r="BZ159" s="13">
        <f>BY159*VLOOKUP('Données projet'!$B$12,Paramètres!$A$1:$I$89,3,0)*VLOOKUP('Données projet'!$B$12,Paramètres!$A$1:$I$89,5,0)</f>
        <v>408.85000000000014</v>
      </c>
      <c r="CA159" s="13">
        <f t="shared" si="170"/>
        <v>93.568575358321141</v>
      </c>
      <c r="CB159" s="20">
        <f t="shared" si="171"/>
        <v>875.04568541574281</v>
      </c>
      <c r="CC159" s="59">
        <f t="shared" si="119"/>
        <v>1168.3790187490761</v>
      </c>
      <c r="CD159" s="59">
        <f ca="1">AVERAGE(OFFSET($CC$3,0,0,'Données projet'!$E$12+1,1))-AVERAGE(OFFSET($H$3,0,0,'Données projet'!$E$12+1,1))</f>
        <v>415.83983761562189</v>
      </c>
      <c r="CE159" s="59">
        <f t="shared" si="148"/>
        <v>339.37869344688829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15.181560706658146</v>
      </c>
      <c r="CL159" s="21">
        <f>EXP(-LN(2)/25)*CL158+(1-EXP(-LN(2)/25))/(LN(2)/25)*Calculateur!CG159*Calculateur!CI159*VLOOKUP('Données projet'!$B$12,Paramètres!$A$1:$I$89,3,0)*0.475*44/12</f>
        <v>3.5656054364881253</v>
      </c>
      <c r="CM159" s="21">
        <f>EXP(-LN(2)/2)*CM158+(1-EXP(-LN(2)/2))/(LN(2)/2)*CG159*CJ159*VLOOKUP('Données projet'!$B$12,Paramètres!$A$1:$I$89,3,0)*0.475*44/12</f>
        <v>8.9227942815652225E-12</v>
      </c>
      <c r="CN159" s="22">
        <f t="shared" si="172"/>
        <v>18.747166143155198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268.00000000000011</v>
      </c>
      <c r="O160" s="13">
        <f>N160*VLOOKUP('Données projet'!$B$9,Paramètres!$A$1:$I$89,3,0)*VLOOKUP('Données projet'!$B$9,Paramètres!$A$1:$I$89,5,0)</f>
        <v>242.48640000000009</v>
      </c>
      <c r="P160" s="13">
        <f t="shared" si="141"/>
        <v>58.974170235372476</v>
      </c>
      <c r="Q160" s="20">
        <f t="shared" si="162"/>
        <v>525.04382649327385</v>
      </c>
      <c r="R160" s="59">
        <f t="shared" si="109"/>
        <v>818.37715982660711</v>
      </c>
      <c r="S160" s="59">
        <f ca="1">AVERAGE(OFFSET($R$3,0,0,'Données projet'!$E$9+1,1))-AVERAGE(OFFSET($H$3,0,0,'Données projet'!$E$9+1,1))</f>
        <v>258.68215148478868</v>
      </c>
      <c r="T160" s="59">
        <f t="shared" si="142"/>
        <v>153.16792125610209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28.039631386591477</v>
      </c>
      <c r="AA160" s="21">
        <f>EXP(-LN(2)/25)*AA159+(1-EXP(-LN(2)/25))/(LN(2)/25)*Calculateur!V160*Calculateur!X160*VLOOKUP('Données projet'!$B$9,Paramètres!$A$1:$I$89,3,0)*0.475*44/12</f>
        <v>0.88666602284964879</v>
      </c>
      <c r="AB160" s="21">
        <f>EXP(-LN(2)/2)*AB159+(1-EXP(-LN(2)/2))/(LN(2)/2)*V160*Y160*VLOOKUP('Données projet'!$B$9,Paramètres!$A$1:$I$89,3,0)*0.475*44/12</f>
        <v>2.8892203612482716E-6</v>
      </c>
      <c r="AC160" s="22">
        <f t="shared" si="163"/>
        <v>28.926300298661488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268.00000000000011</v>
      </c>
      <c r="AJ160" s="13">
        <f>AI160*VLOOKUP('Données projet'!$B$10,Paramètres!$A$1:$I$89,3,0)*VLOOKUP('Données projet'!$B$10,Paramètres!$A$1:$I$89,5,0)</f>
        <v>271.75200000000012</v>
      </c>
      <c r="AK160" s="13">
        <f t="shared" si="164"/>
        <v>65.220947824724988</v>
      </c>
      <c r="AL160" s="20">
        <f t="shared" si="165"/>
        <v>586.89455079472953</v>
      </c>
      <c r="AM160" s="59">
        <f t="shared" si="113"/>
        <v>880.2278841280629</v>
      </c>
      <c r="AN160" s="59">
        <f ca="1">AVERAGE(OFFSET($AM$3,0,0,'Données projet'!$E$10+1,1))-AVERAGE(OFFSET($H$3,0,0,'Données projet'!$E$10+1,1))</f>
        <v>298.68533387773886</v>
      </c>
      <c r="AO160" s="59">
        <f t="shared" si="144"/>
        <v>176.04868734496114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31.423724829800808</v>
      </c>
      <c r="AV160" s="21">
        <f>EXP(-LN(2)/25)*AV159+(1-EXP(-LN(2)/25))/(LN(2)/25)*Calculateur!AQ160*Calculateur!AS160*VLOOKUP('Données projet'!$B$10,Paramètres!$A$1:$I$89,3,0)*0.475*44/12</f>
        <v>0.99367743940046849</v>
      </c>
      <c r="AW160" s="21">
        <f>EXP(-LN(2)/2)*AW159+(1-EXP(-LN(2)/2))/(LN(2)/2)*AQ160*AT160*VLOOKUP('Données projet'!$B$10,Paramètres!$A$1:$I$89,3,0)*0.475*44/12</f>
        <v>3.2379193703644475E-6</v>
      </c>
      <c r="AX160" s="21">
        <f t="shared" si="166"/>
        <v>32.417405507120648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-5.999999999994543E-2</v>
      </c>
      <c r="BE160" s="13">
        <f>BD160*VLOOKUP('Données projet'!$B$11,Paramètres!$A$1:$I$89,3,0)*VLOOKUP('Données projet'!$B$11,Paramètres!$A$1:$I$89,5,0)</f>
        <v>-2.8079999999974462E-2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83.62456509032836</v>
      </c>
      <c r="BJ160" s="59">
        <f t="shared" si="146"/>
        <v>131.53128089847871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10.679656758632193</v>
      </c>
      <c r="BQ160" s="21">
        <f>EXP(-LN(2)/25)*BQ159+(1-EXP(-LN(2)/25))/(LN(2)/25)*Calculateur!BL160*Calculateur!BN160*VLOOKUP('Données projet'!$B$11,Paramètres!$A$1:$I$89,3,0)*0.475*44/12</f>
        <v>2.2533864077620627</v>
      </c>
      <c r="BR160" s="21">
        <f>EXP(-LN(2)/2)*BR159+(1-EXP(-LN(2)/2))/(LN(2)/2)*BL160*BO160*VLOOKUP('Données projet'!$B$11,Paramètres!$A$1:$I$89,3,0)*0.475*44/12</f>
        <v>1.0901424572302536E-13</v>
      </c>
      <c r="BS160" s="22">
        <f t="shared" si="169"/>
        <v>12.933043166394365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925.00000000000034</v>
      </c>
      <c r="BZ160" s="13">
        <f>BY160*VLOOKUP('Données projet'!$B$12,Paramètres!$A$1:$I$89,3,0)*VLOOKUP('Données projet'!$B$12,Paramètres!$A$1:$I$89,5,0)</f>
        <v>408.85000000000014</v>
      </c>
      <c r="CA160" s="13">
        <f t="shared" si="170"/>
        <v>93.568575358321141</v>
      </c>
      <c r="CB160" s="20">
        <f t="shared" si="171"/>
        <v>875.04568541574281</v>
      </c>
      <c r="CC160" s="59">
        <f t="shared" si="119"/>
        <v>1168.3790187490761</v>
      </c>
      <c r="CD160" s="59">
        <f ca="1">AVERAGE(OFFSET($CC$3,0,0,'Données projet'!$E$12+1,1))-AVERAGE(OFFSET($H$3,0,0,'Données projet'!$E$12+1,1))</f>
        <v>415.83983761562189</v>
      </c>
      <c r="CE160" s="59">
        <f t="shared" si="148"/>
        <v>339.37869344688829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14.883859561038278</v>
      </c>
      <c r="CL160" s="21">
        <f>EXP(-LN(2)/25)*CL159+(1-EXP(-LN(2)/25))/(LN(2)/25)*Calculateur!CG160*Calculateur!CI160*VLOOKUP('Données projet'!$B$12,Paramètres!$A$1:$I$89,3,0)*0.475*44/12</f>
        <v>3.4681037683203169</v>
      </c>
      <c r="CM160" s="21">
        <f>EXP(-LN(2)/2)*CM159+(1-EXP(-LN(2)/2))/(LN(2)/2)*CG160*CJ160*VLOOKUP('Données projet'!$B$12,Paramètres!$A$1:$I$89,3,0)*0.475*44/12</f>
        <v>6.3093683436273174E-12</v>
      </c>
      <c r="CN160" s="22">
        <f t="shared" si="172"/>
        <v>18.351963329364906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268.00000000000011</v>
      </c>
      <c r="O161" s="13">
        <f>N161*VLOOKUP('Données projet'!$B$9,Paramètres!$A$1:$I$89,3,0)*VLOOKUP('Données projet'!$B$9,Paramètres!$A$1:$I$89,5,0)</f>
        <v>242.48640000000009</v>
      </c>
      <c r="P161" s="13">
        <f t="shared" si="141"/>
        <v>58.974170235372476</v>
      </c>
      <c r="Q161" s="20">
        <f t="shared" si="162"/>
        <v>525.04382649327385</v>
      </c>
      <c r="R161" s="59">
        <f t="shared" si="109"/>
        <v>818.37715982660711</v>
      </c>
      <c r="S161" s="59">
        <f ca="1">AVERAGE(OFFSET($R$3,0,0,'Données projet'!$E$9+1,1))-AVERAGE(OFFSET($H$3,0,0,'Données projet'!$E$9+1,1))</f>
        <v>258.68215148478868</v>
      </c>
      <c r="T161" s="59">
        <f t="shared" si="142"/>
        <v>153.16792125610209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27.489791317586835</v>
      </c>
      <c r="AA161" s="21">
        <f>EXP(-LN(2)/25)*AA160+(1-EXP(-LN(2)/25))/(LN(2)/25)*Calculateur!V161*Calculateur!X161*VLOOKUP('Données projet'!$B$9,Paramètres!$A$1:$I$89,3,0)*0.475*44/12</f>
        <v>0.86242009382708551</v>
      </c>
      <c r="AB161" s="21">
        <f>EXP(-LN(2)/2)*AB160+(1-EXP(-LN(2)/2))/(LN(2)/2)*V161*Y161*VLOOKUP('Données projet'!$B$9,Paramètres!$A$1:$I$89,3,0)*0.475*44/12</f>
        <v>2.0429873097808994E-6</v>
      </c>
      <c r="AC161" s="22">
        <f t="shared" si="163"/>
        <v>28.35221345440123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268.00000000000011</v>
      </c>
      <c r="AJ161" s="13">
        <f>AI161*VLOOKUP('Données projet'!$B$10,Paramètres!$A$1:$I$89,3,0)*VLOOKUP('Données projet'!$B$10,Paramètres!$A$1:$I$89,5,0)</f>
        <v>271.75200000000012</v>
      </c>
      <c r="AK161" s="13">
        <f t="shared" si="164"/>
        <v>65.220947824724988</v>
      </c>
      <c r="AL161" s="20">
        <f t="shared" si="165"/>
        <v>586.89455079472953</v>
      </c>
      <c r="AM161" s="59">
        <f t="shared" si="113"/>
        <v>880.2278841280629</v>
      </c>
      <c r="AN161" s="59">
        <f ca="1">AVERAGE(OFFSET($AM$3,0,0,'Données projet'!$E$10+1,1))-AVERAGE(OFFSET($H$3,0,0,'Données projet'!$E$10+1,1))</f>
        <v>298.68533387773886</v>
      </c>
      <c r="AO161" s="59">
        <f t="shared" si="144"/>
        <v>176.04868734496114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30.807524752468016</v>
      </c>
      <c r="AV161" s="21">
        <f>EXP(-LN(2)/25)*AV160+(1-EXP(-LN(2)/25))/(LN(2)/25)*Calculateur!AQ161*Calculateur!AS161*VLOOKUP('Données projet'!$B$10,Paramètres!$A$1:$I$89,3,0)*0.475*44/12</f>
        <v>0.96650527756483717</v>
      </c>
      <c r="AW161" s="21">
        <f>EXP(-LN(2)/2)*AW160+(1-EXP(-LN(2)/2))/(LN(2)/2)*AQ161*AT161*VLOOKUP('Données projet'!$B$10,Paramètres!$A$1:$I$89,3,0)*0.475*44/12</f>
        <v>2.2895547437199771E-6</v>
      </c>
      <c r="AX161" s="21">
        <f t="shared" si="166"/>
        <v>31.774032319587597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-5.999999999994543E-2</v>
      </c>
      <c r="BE161" s="13">
        <f>BD161*VLOOKUP('Données projet'!$B$11,Paramètres!$A$1:$I$89,3,0)*VLOOKUP('Données projet'!$B$11,Paramètres!$A$1:$I$89,5,0)</f>
        <v>-2.8079999999974462E-2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83.62456509032836</v>
      </c>
      <c r="BJ161" s="59">
        <f t="shared" si="146"/>
        <v>131.53128089847871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10.47023520354284</v>
      </c>
      <c r="BQ161" s="21">
        <f>EXP(-LN(2)/25)*BQ160+(1-EXP(-LN(2)/25))/(LN(2)/25)*Calculateur!BL161*Calculateur!BN161*VLOOKUP('Données projet'!$B$11,Paramètres!$A$1:$I$89,3,0)*0.475*44/12</f>
        <v>2.1917674379413681</v>
      </c>
      <c r="BR161" s="21">
        <f>EXP(-LN(2)/2)*BR160+(1-EXP(-LN(2)/2))/(LN(2)/2)*BL161*BO161*VLOOKUP('Données projet'!$B$11,Paramètres!$A$1:$I$89,3,0)*0.475*44/12</f>
        <v>7.7084712396687815E-14</v>
      </c>
      <c r="BS161" s="22">
        <f t="shared" si="169"/>
        <v>12.662002641484284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925.00000000000034</v>
      </c>
      <c r="BZ161" s="13">
        <f>BY161*VLOOKUP('Données projet'!$B$12,Paramètres!$A$1:$I$89,3,0)*VLOOKUP('Données projet'!$B$12,Paramètres!$A$1:$I$89,5,0)</f>
        <v>408.85000000000014</v>
      </c>
      <c r="CA161" s="13">
        <f t="shared" si="170"/>
        <v>93.568575358321141</v>
      </c>
      <c r="CB161" s="20">
        <f t="shared" si="171"/>
        <v>875.04568541574281</v>
      </c>
      <c r="CC161" s="59">
        <f t="shared" si="119"/>
        <v>1168.3790187490761</v>
      </c>
      <c r="CD161" s="59">
        <f ca="1">AVERAGE(OFFSET($CC$3,0,0,'Données projet'!$E$12+1,1))-AVERAGE(OFFSET($H$3,0,0,'Données projet'!$E$12+1,1))</f>
        <v>415.83983761562189</v>
      </c>
      <c r="CE161" s="59">
        <f t="shared" si="148"/>
        <v>339.37869344688829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14.591996153304246</v>
      </c>
      <c r="CL161" s="21">
        <f>EXP(-LN(2)/25)*CL160+(1-EXP(-LN(2)/25))/(LN(2)/25)*Calculateur!CG161*Calculateur!CI161*VLOOKUP('Données projet'!$B$12,Paramètres!$A$1:$I$89,3,0)*0.475*44/12</f>
        <v>3.3732682883959471</v>
      </c>
      <c r="CM161" s="21">
        <f>EXP(-LN(2)/2)*CM160+(1-EXP(-LN(2)/2))/(LN(2)/2)*CG161*CJ161*VLOOKUP('Données projet'!$B$12,Paramètres!$A$1:$I$89,3,0)*0.475*44/12</f>
        <v>4.4613971407826112E-12</v>
      </c>
      <c r="CN161" s="22">
        <f t="shared" si="172"/>
        <v>17.965264441704655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268.00000000000011</v>
      </c>
      <c r="O162" s="13">
        <f>N162*VLOOKUP('Données projet'!$B$9,Paramètres!$A$1:$I$89,3,0)*VLOOKUP('Données projet'!$B$9,Paramètres!$A$1:$I$89,5,0)</f>
        <v>242.48640000000009</v>
      </c>
      <c r="P162" s="13">
        <f t="shared" si="141"/>
        <v>58.974170235372476</v>
      </c>
      <c r="Q162" s="20">
        <f t="shared" si="162"/>
        <v>525.04382649327385</v>
      </c>
      <c r="R162" s="59">
        <f t="shared" si="109"/>
        <v>818.37715982660711</v>
      </c>
      <c r="S162" s="59">
        <f ca="1">AVERAGE(OFFSET($R$3,0,0,'Données projet'!$E$9+1,1))-AVERAGE(OFFSET($H$3,0,0,'Données projet'!$E$9+1,1))</f>
        <v>258.68215148478868</v>
      </c>
      <c r="T162" s="59">
        <f t="shared" si="142"/>
        <v>153.16792125610209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26.950733276966044</v>
      </c>
      <c r="AA162" s="21">
        <f>EXP(-LN(2)/25)*AA161+(1-EXP(-LN(2)/25))/(LN(2)/25)*Calculateur!V162*Calculateur!X162*VLOOKUP('Données projet'!$B$9,Paramètres!$A$1:$I$89,3,0)*0.475*44/12</f>
        <v>0.83883717100868216</v>
      </c>
      <c r="AB162" s="21">
        <f>EXP(-LN(2)/2)*AB161+(1-EXP(-LN(2)/2))/(LN(2)/2)*V162*Y162*VLOOKUP('Données projet'!$B$9,Paramètres!$A$1:$I$89,3,0)*0.475*44/12</f>
        <v>1.4446101806241358E-6</v>
      </c>
      <c r="AC162" s="22">
        <f t="shared" si="163"/>
        <v>27.789571892584906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268.00000000000011</v>
      </c>
      <c r="AJ162" s="13">
        <f>AI162*VLOOKUP('Données projet'!$B$10,Paramètres!$A$1:$I$89,3,0)*VLOOKUP('Données projet'!$B$10,Paramètres!$A$1:$I$89,5,0)</f>
        <v>271.75200000000012</v>
      </c>
      <c r="AK162" s="13">
        <f t="shared" si="164"/>
        <v>65.220947824724988</v>
      </c>
      <c r="AL162" s="20">
        <f t="shared" si="165"/>
        <v>586.89455079472953</v>
      </c>
      <c r="AM162" s="59">
        <f t="shared" si="113"/>
        <v>880.2278841280629</v>
      </c>
      <c r="AN162" s="59">
        <f ca="1">AVERAGE(OFFSET($AM$3,0,0,'Données projet'!$E$10+1,1))-AVERAGE(OFFSET($H$3,0,0,'Données projet'!$E$10+1,1))</f>
        <v>298.68533387773886</v>
      </c>
      <c r="AO162" s="59">
        <f t="shared" si="144"/>
        <v>176.04868734496114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30.203407982806787</v>
      </c>
      <c r="AV162" s="21">
        <f>EXP(-LN(2)/25)*AV161+(1-EXP(-LN(2)/25))/(LN(2)/25)*Calculateur!AQ162*Calculateur!AS162*VLOOKUP('Données projet'!$B$10,Paramètres!$A$1:$I$89,3,0)*0.475*44/12</f>
        <v>0.94007613992352312</v>
      </c>
      <c r="AW162" s="21">
        <f>EXP(-LN(2)/2)*AW161+(1-EXP(-LN(2)/2))/(LN(2)/2)*AQ162*AT162*VLOOKUP('Données projet'!$B$10,Paramètres!$A$1:$I$89,3,0)*0.475*44/12</f>
        <v>1.6189596851822237E-6</v>
      </c>
      <c r="AX162" s="21">
        <f t="shared" si="166"/>
        <v>31.143485741689997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-5.999999999994543E-2</v>
      </c>
      <c r="BE162" s="13">
        <f>BD162*VLOOKUP('Données projet'!$B$11,Paramètres!$A$1:$I$89,3,0)*VLOOKUP('Données projet'!$B$11,Paramètres!$A$1:$I$89,5,0)</f>
        <v>-2.8079999999974462E-2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83.62456509032836</v>
      </c>
      <c r="BJ162" s="59">
        <f t="shared" si="146"/>
        <v>131.53128089847871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10.264920277414253</v>
      </c>
      <c r="BQ162" s="21">
        <f>EXP(-LN(2)/25)*BQ161+(1-EXP(-LN(2)/25))/(LN(2)/25)*Calculateur!BL162*Calculateur!BN162*VLOOKUP('Données projet'!$B$11,Paramètres!$A$1:$I$89,3,0)*0.475*44/12</f>
        <v>2.1318334420908212</v>
      </c>
      <c r="BR162" s="21">
        <f>EXP(-LN(2)/2)*BR161+(1-EXP(-LN(2)/2))/(LN(2)/2)*BL162*BO162*VLOOKUP('Données projet'!$B$11,Paramètres!$A$1:$I$89,3,0)*0.475*44/12</f>
        <v>5.4507122861512679E-14</v>
      </c>
      <c r="BS162" s="22">
        <f t="shared" si="169"/>
        <v>12.39675371950513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925.00000000000034</v>
      </c>
      <c r="BZ162" s="13">
        <f>BY162*VLOOKUP('Données projet'!$B$12,Paramètres!$A$1:$I$89,3,0)*VLOOKUP('Données projet'!$B$12,Paramètres!$A$1:$I$89,5,0)</f>
        <v>408.85000000000014</v>
      </c>
      <c r="CA162" s="13">
        <f t="shared" si="170"/>
        <v>93.568575358321141</v>
      </c>
      <c r="CB162" s="20">
        <f t="shared" si="171"/>
        <v>875.04568541574281</v>
      </c>
      <c r="CC162" s="59">
        <f t="shared" si="119"/>
        <v>1168.3790187490761</v>
      </c>
      <c r="CD162" s="59">
        <f ca="1">AVERAGE(OFFSET($CC$3,0,0,'Données projet'!$E$12+1,1))-AVERAGE(OFFSET($H$3,0,0,'Données projet'!$E$12+1,1))</f>
        <v>415.83983761562189</v>
      </c>
      <c r="CE162" s="59">
        <f t="shared" si="148"/>
        <v>339.37869344688829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14.305856008976777</v>
      </c>
      <c r="CL162" s="21">
        <f>EXP(-LN(2)/25)*CL161+(1-EXP(-LN(2)/25))/(LN(2)/25)*Calculateur!CG162*Calculateur!CI162*VLOOKUP('Données projet'!$B$12,Paramètres!$A$1:$I$89,3,0)*0.475*44/12</f>
        <v>3.2810260896572903</v>
      </c>
      <c r="CM162" s="21">
        <f>EXP(-LN(2)/2)*CM161+(1-EXP(-LN(2)/2))/(LN(2)/2)*CG162*CJ162*VLOOKUP('Données projet'!$B$12,Paramètres!$A$1:$I$89,3,0)*0.475*44/12</f>
        <v>3.1546841718136587E-12</v>
      </c>
      <c r="CN162" s="22">
        <f t="shared" si="172"/>
        <v>17.586882098637222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268.00000000000011</v>
      </c>
      <c r="O163" s="13">
        <f>N163*VLOOKUP('Données projet'!$B$9,Paramètres!$A$1:$I$89,3,0)*VLOOKUP('Données projet'!$B$9,Paramètres!$A$1:$I$89,5,0)</f>
        <v>242.48640000000009</v>
      </c>
      <c r="P163" s="13">
        <f t="shared" si="141"/>
        <v>58.974170235372476</v>
      </c>
      <c r="Q163" s="20">
        <f t="shared" si="162"/>
        <v>525.04382649327385</v>
      </c>
      <c r="R163" s="59">
        <f t="shared" si="109"/>
        <v>818.37715982660711</v>
      </c>
      <c r="S163" s="59">
        <f ca="1">AVERAGE(OFFSET($R$3,0,0,'Données projet'!$E$9+1,1))-AVERAGE(OFFSET($H$3,0,0,'Données projet'!$E$9+1,1))</f>
        <v>258.68215148478868</v>
      </c>
      <c r="T163" s="59">
        <f t="shared" si="142"/>
        <v>153.16792125610209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26.422245835728891</v>
      </c>
      <c r="AA163" s="21">
        <f>EXP(-LN(2)/25)*AA162+(1-EXP(-LN(2)/25))/(LN(2)/25)*Calculateur!V163*Calculateur!X163*VLOOKUP('Données projet'!$B$9,Paramètres!$A$1:$I$89,3,0)*0.475*44/12</f>
        <v>0.81589912445492008</v>
      </c>
      <c r="AB163" s="21">
        <f>EXP(-LN(2)/2)*AB162+(1-EXP(-LN(2)/2))/(LN(2)/2)*V163*Y163*VLOOKUP('Données projet'!$B$9,Paramètres!$A$1:$I$89,3,0)*0.475*44/12</f>
        <v>1.0214936548904497E-6</v>
      </c>
      <c r="AC163" s="22">
        <f t="shared" si="163"/>
        <v>27.238145981677466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268.00000000000011</v>
      </c>
      <c r="AJ163" s="13">
        <f>AI163*VLOOKUP('Données projet'!$B$10,Paramètres!$A$1:$I$89,3,0)*VLOOKUP('Données projet'!$B$10,Paramètres!$A$1:$I$89,5,0)</f>
        <v>271.75200000000012</v>
      </c>
      <c r="AK163" s="13">
        <f t="shared" si="164"/>
        <v>65.220947824724988</v>
      </c>
      <c r="AL163" s="20">
        <f t="shared" si="165"/>
        <v>586.89455079472953</v>
      </c>
      <c r="AM163" s="59">
        <f t="shared" si="113"/>
        <v>880.2278841280629</v>
      </c>
      <c r="AN163" s="59">
        <f ca="1">AVERAGE(OFFSET($AM$3,0,0,'Données projet'!$E$10+1,1))-AVERAGE(OFFSET($H$3,0,0,'Données projet'!$E$10+1,1))</f>
        <v>298.68533387773886</v>
      </c>
      <c r="AO163" s="59">
        <f t="shared" si="144"/>
        <v>176.04868734496114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29.61113757452377</v>
      </c>
      <c r="AV163" s="21">
        <f>EXP(-LN(2)/25)*AV162+(1-EXP(-LN(2)/25))/(LN(2)/25)*Calculateur!AQ163*Calculateur!AS163*VLOOKUP('Données projet'!$B$10,Paramètres!$A$1:$I$89,3,0)*0.475*44/12</f>
        <v>0.91436970844085874</v>
      </c>
      <c r="AW163" s="21">
        <f>EXP(-LN(2)/2)*AW162+(1-EXP(-LN(2)/2))/(LN(2)/2)*AQ163*AT163*VLOOKUP('Données projet'!$B$10,Paramètres!$A$1:$I$89,3,0)*0.475*44/12</f>
        <v>1.1447773718599885E-6</v>
      </c>
      <c r="AX163" s="21">
        <f t="shared" si="166"/>
        <v>30.525508427742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-5.999999999994543E-2</v>
      </c>
      <c r="BE163" s="13">
        <f>BD163*VLOOKUP('Données projet'!$B$11,Paramètres!$A$1:$I$89,3,0)*VLOOKUP('Données projet'!$B$11,Paramètres!$A$1:$I$89,5,0)</f>
        <v>-2.8079999999974462E-2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83.62456509032836</v>
      </c>
      <c r="BJ163" s="59">
        <f t="shared" si="146"/>
        <v>131.53128089847871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10.063631451757308</v>
      </c>
      <c r="BQ163" s="21">
        <f>EXP(-LN(2)/25)*BQ162+(1-EXP(-LN(2)/25))/(LN(2)/25)*Calculateur!BL163*Calculateur!BN163*VLOOKUP('Données projet'!$B$11,Paramètres!$A$1:$I$89,3,0)*0.475*44/12</f>
        <v>2.0735383445085991</v>
      </c>
      <c r="BR163" s="21">
        <f>EXP(-LN(2)/2)*BR162+(1-EXP(-LN(2)/2))/(LN(2)/2)*BL163*BO163*VLOOKUP('Données projet'!$B$11,Paramètres!$A$1:$I$89,3,0)*0.475*44/12</f>
        <v>3.8542356198343907E-14</v>
      </c>
      <c r="BS163" s="22">
        <f t="shared" si="169"/>
        <v>12.137169796265946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925.00000000000034</v>
      </c>
      <c r="BZ163" s="13">
        <f>BY163*VLOOKUP('Données projet'!$B$12,Paramètres!$A$1:$I$89,3,0)*VLOOKUP('Données projet'!$B$12,Paramètres!$A$1:$I$89,5,0)</f>
        <v>408.85000000000014</v>
      </c>
      <c r="CA163" s="13">
        <f t="shared" si="170"/>
        <v>93.568575358321141</v>
      </c>
      <c r="CB163" s="20">
        <f t="shared" si="171"/>
        <v>875.04568541574281</v>
      </c>
      <c r="CC163" s="59">
        <f t="shared" si="119"/>
        <v>1168.3790187490761</v>
      </c>
      <c r="CD163" s="59">
        <f ca="1">AVERAGE(OFFSET($CC$3,0,0,'Données projet'!$E$12+1,1))-AVERAGE(OFFSET($H$3,0,0,'Données projet'!$E$12+1,1))</f>
        <v>415.83983761562189</v>
      </c>
      <c r="CE163" s="59">
        <f t="shared" si="148"/>
        <v>339.37869344688829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14.025326898351315</v>
      </c>
      <c r="CL163" s="21">
        <f>EXP(-LN(2)/25)*CL162+(1-EXP(-LN(2)/25))/(LN(2)/25)*Calculateur!CG163*Calculateur!CI163*VLOOKUP('Données projet'!$B$12,Paramètres!$A$1:$I$89,3,0)*0.475*44/12</f>
        <v>3.1913062586939485</v>
      </c>
      <c r="CM163" s="21">
        <f>EXP(-LN(2)/2)*CM162+(1-EXP(-LN(2)/2))/(LN(2)/2)*CG163*CJ163*VLOOKUP('Données projet'!$B$12,Paramètres!$A$1:$I$89,3,0)*0.475*44/12</f>
        <v>2.2306985703913056E-12</v>
      </c>
      <c r="CN163" s="22">
        <f t="shared" si="172"/>
        <v>17.216633157047493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268.00000000000011</v>
      </c>
      <c r="O164" s="13">
        <f>N164*VLOOKUP('Données projet'!$B$9,Paramètres!$A$1:$I$89,3,0)*VLOOKUP('Données projet'!$B$9,Paramètres!$A$1:$I$89,5,0)</f>
        <v>242.48640000000009</v>
      </c>
      <c r="P164" s="13">
        <f t="shared" si="141"/>
        <v>58.974170235372476</v>
      </c>
      <c r="Q164" s="20">
        <f t="shared" si="162"/>
        <v>525.04382649327385</v>
      </c>
      <c r="R164" s="59">
        <f t="shared" si="109"/>
        <v>818.37715982660711</v>
      </c>
      <c r="S164" s="59">
        <f ca="1">AVERAGE(OFFSET($R$3,0,0,'Données projet'!$E$9+1,1))-AVERAGE(OFFSET($H$3,0,0,'Données projet'!$E$9+1,1))</f>
        <v>258.68215148478868</v>
      </c>
      <c r="T164" s="59">
        <f t="shared" si="142"/>
        <v>153.16792125610209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25.904121710868885</v>
      </c>
      <c r="AA164" s="21">
        <f>EXP(-LN(2)/25)*AA163+(1-EXP(-LN(2)/25))/(LN(2)/25)*Calculateur!V164*Calculateur!X164*VLOOKUP('Données projet'!$B$9,Paramètres!$A$1:$I$89,3,0)*0.475*44/12</f>
        <v>0.79358831999043011</v>
      </c>
      <c r="AB164" s="21">
        <f>EXP(-LN(2)/2)*AB163+(1-EXP(-LN(2)/2))/(LN(2)/2)*V164*Y164*VLOOKUP('Données projet'!$B$9,Paramètres!$A$1:$I$89,3,0)*0.475*44/12</f>
        <v>7.2230509031206789E-7</v>
      </c>
      <c r="AC164" s="22">
        <f t="shared" si="163"/>
        <v>26.697710753164404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268.00000000000011</v>
      </c>
      <c r="AJ164" s="13">
        <f>AI164*VLOOKUP('Données projet'!$B$10,Paramètres!$A$1:$I$89,3,0)*VLOOKUP('Données projet'!$B$10,Paramètres!$A$1:$I$89,5,0)</f>
        <v>271.75200000000012</v>
      </c>
      <c r="AK164" s="13">
        <f t="shared" si="164"/>
        <v>65.220947824724988</v>
      </c>
      <c r="AL164" s="20">
        <f t="shared" si="165"/>
        <v>586.89455079472953</v>
      </c>
      <c r="AM164" s="59">
        <f t="shared" si="113"/>
        <v>880.2278841280629</v>
      </c>
      <c r="AN164" s="59">
        <f ca="1">AVERAGE(OFFSET($AM$3,0,0,'Données projet'!$E$10+1,1))-AVERAGE(OFFSET($H$3,0,0,'Données projet'!$E$10+1,1))</f>
        <v>298.68533387773886</v>
      </c>
      <c r="AO164" s="59">
        <f t="shared" si="144"/>
        <v>176.04868734496114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29.030481227697901</v>
      </c>
      <c r="AV164" s="21">
        <f>EXP(-LN(2)/25)*AV163+(1-EXP(-LN(2)/25))/(LN(2)/25)*Calculateur!AQ164*Calculateur!AS164*VLOOKUP('Données projet'!$B$10,Paramètres!$A$1:$I$89,3,0)*0.475*44/12</f>
        <v>0.88936622067893034</v>
      </c>
      <c r="AW164" s="21">
        <f>EXP(-LN(2)/2)*AW163+(1-EXP(-LN(2)/2))/(LN(2)/2)*AQ164*AT164*VLOOKUP('Données projet'!$B$10,Paramètres!$A$1:$I$89,3,0)*0.475*44/12</f>
        <v>8.0947984259111187E-7</v>
      </c>
      <c r="AX164" s="21">
        <f t="shared" si="166"/>
        <v>29.919848257856675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-5.999999999994543E-2</v>
      </c>
      <c r="BE164" s="13">
        <f>BD164*VLOOKUP('Données projet'!$B$11,Paramètres!$A$1:$I$89,3,0)*VLOOKUP('Données projet'!$B$11,Paramètres!$A$1:$I$89,5,0)</f>
        <v>-2.8079999999974462E-2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83.62456509032836</v>
      </c>
      <c r="BJ164" s="59">
        <f t="shared" si="146"/>
        <v>131.53128089847871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9.8662897771974354</v>
      </c>
      <c r="BQ164" s="21">
        <f>EXP(-LN(2)/25)*BQ163+(1-EXP(-LN(2)/25))/(LN(2)/25)*Calculateur!BL164*Calculateur!BN164*VLOOKUP('Données projet'!$B$11,Paramètres!$A$1:$I$89,3,0)*0.475*44/12</f>
        <v>2.016837329435369</v>
      </c>
      <c r="BR164" s="21">
        <f>EXP(-LN(2)/2)*BR163+(1-EXP(-LN(2)/2))/(LN(2)/2)*BL164*BO164*VLOOKUP('Données projet'!$B$11,Paramètres!$A$1:$I$89,3,0)*0.475*44/12</f>
        <v>2.7253561430756339E-14</v>
      </c>
      <c r="BS164" s="22">
        <f t="shared" si="169"/>
        <v>11.883127106632831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925.00000000000034</v>
      </c>
      <c r="BZ164" s="13">
        <f>BY164*VLOOKUP('Données projet'!$B$12,Paramètres!$A$1:$I$89,3,0)*VLOOKUP('Données projet'!$B$12,Paramètres!$A$1:$I$89,5,0)</f>
        <v>408.85000000000014</v>
      </c>
      <c r="CA164" s="13">
        <f t="shared" si="170"/>
        <v>93.568575358321141</v>
      </c>
      <c r="CB164" s="20">
        <f t="shared" si="171"/>
        <v>875.04568541574281</v>
      </c>
      <c r="CC164" s="59">
        <f t="shared" si="119"/>
        <v>1168.3790187490761</v>
      </c>
      <c r="CD164" s="59">
        <f ca="1">AVERAGE(OFFSET($CC$3,0,0,'Données projet'!$E$12+1,1))-AVERAGE(OFFSET($H$3,0,0,'Données projet'!$E$12+1,1))</f>
        <v>415.83983761562189</v>
      </c>
      <c r="CE164" s="59">
        <f t="shared" si="148"/>
        <v>339.37869344688829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13.750298792479356</v>
      </c>
      <c r="CL164" s="21">
        <f>EXP(-LN(2)/25)*CL163+(1-EXP(-LN(2)/25))/(LN(2)/25)*Calculateur!CG164*Calculateur!CI164*VLOOKUP('Données projet'!$B$12,Paramètres!$A$1:$I$89,3,0)*0.475*44/12</f>
        <v>3.1040398212264599</v>
      </c>
      <c r="CM164" s="21">
        <f>EXP(-LN(2)/2)*CM163+(1-EXP(-LN(2)/2))/(LN(2)/2)*CG164*CJ164*VLOOKUP('Données projet'!$B$12,Paramètres!$A$1:$I$89,3,0)*0.475*44/12</f>
        <v>1.5773420859068294E-12</v>
      </c>
      <c r="CN164" s="22">
        <f t="shared" si="172"/>
        <v>16.854338613707395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268.00000000000011</v>
      </c>
      <c r="O165" s="13">
        <f>N165*VLOOKUP('Données projet'!$B$9,Paramètres!$A$1:$I$89,3,0)*VLOOKUP('Données projet'!$B$9,Paramètres!$A$1:$I$89,5,0)</f>
        <v>242.48640000000009</v>
      </c>
      <c r="P165" s="13">
        <f t="shared" si="141"/>
        <v>58.974170235372476</v>
      </c>
      <c r="Q165" s="20">
        <f t="shared" si="162"/>
        <v>525.04382649327385</v>
      </c>
      <c r="R165" s="59">
        <f t="shared" si="109"/>
        <v>818.37715982660711</v>
      </c>
      <c r="S165" s="59">
        <f ca="1">AVERAGE(OFFSET($R$3,0,0,'Données projet'!$E$9+1,1))-AVERAGE(OFFSET($H$3,0,0,'Données projet'!$E$9+1,1))</f>
        <v>258.68215148478868</v>
      </c>
      <c r="T165" s="59">
        <f t="shared" si="142"/>
        <v>153.16792125610209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25.396157684072875</v>
      </c>
      <c r="AA165" s="21">
        <f>EXP(-LN(2)/25)*AA164+(1-EXP(-LN(2)/25))/(LN(2)/25)*Calculateur!V165*Calculateur!X165*VLOOKUP('Données projet'!$B$9,Paramètres!$A$1:$I$89,3,0)*0.475*44/12</f>
        <v>0.77188760564729586</v>
      </c>
      <c r="AB165" s="21">
        <f>EXP(-LN(2)/2)*AB164+(1-EXP(-LN(2)/2))/(LN(2)/2)*V165*Y165*VLOOKUP('Données projet'!$B$9,Paramètres!$A$1:$I$89,3,0)*0.475*44/12</f>
        <v>5.1074682744522484E-7</v>
      </c>
      <c r="AC165" s="22">
        <f t="shared" si="163"/>
        <v>26.168045800466999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268.00000000000011</v>
      </c>
      <c r="AJ165" s="13">
        <f>AI165*VLOOKUP('Données projet'!$B$10,Paramètres!$A$1:$I$89,3,0)*VLOOKUP('Données projet'!$B$10,Paramètres!$A$1:$I$89,5,0)</f>
        <v>271.75200000000012</v>
      </c>
      <c r="AK165" s="13">
        <f t="shared" si="164"/>
        <v>65.220947824724988</v>
      </c>
      <c r="AL165" s="20">
        <f t="shared" si="165"/>
        <v>586.89455079472953</v>
      </c>
      <c r="AM165" s="59">
        <f t="shared" si="113"/>
        <v>880.2278841280629</v>
      </c>
      <c r="AN165" s="59">
        <f ca="1">AVERAGE(OFFSET($AM$3,0,0,'Données projet'!$E$10+1,1))-AVERAGE(OFFSET($H$3,0,0,'Données projet'!$E$10+1,1))</f>
        <v>298.68533387773886</v>
      </c>
      <c r="AO165" s="59">
        <f t="shared" si="144"/>
        <v>176.04868734496114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28.46121119766789</v>
      </c>
      <c r="AV165" s="21">
        <f>EXP(-LN(2)/25)*AV164+(1-EXP(-LN(2)/25))/(LN(2)/25)*Calculateur!AQ165*Calculateur!AS165*VLOOKUP('Données projet'!$B$10,Paramètres!$A$1:$I$89,3,0)*0.475*44/12</f>
        <v>0.86504645460472807</v>
      </c>
      <c r="AW165" s="21">
        <f>EXP(-LN(2)/2)*AW164+(1-EXP(-LN(2)/2))/(LN(2)/2)*AQ165*AT165*VLOOKUP('Données projet'!$B$10,Paramètres!$A$1:$I$89,3,0)*0.475*44/12</f>
        <v>5.7238868592999427E-7</v>
      </c>
      <c r="AX165" s="21">
        <f t="shared" si="166"/>
        <v>29.326258224661302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-5.999999999994543E-2</v>
      </c>
      <c r="BE165" s="13">
        <f>BD165*VLOOKUP('Données projet'!$B$11,Paramètres!$A$1:$I$89,3,0)*VLOOKUP('Données projet'!$B$11,Paramètres!$A$1:$I$89,5,0)</f>
        <v>-2.8079999999974462E-2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83.62456509032836</v>
      </c>
      <c r="BJ165" s="59">
        <f t="shared" si="146"/>
        <v>131.53128089847871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9.6728178525091444</v>
      </c>
      <c r="BQ165" s="21">
        <f>EXP(-LN(2)/25)*BQ164+(1-EXP(-LN(2)/25))/(LN(2)/25)*Calculateur!BL165*Calculateur!BN165*VLOOKUP('Données projet'!$B$11,Paramètres!$A$1:$I$89,3,0)*0.475*44/12</f>
        <v>1.9616868066010933</v>
      </c>
      <c r="BR165" s="21">
        <f>EXP(-LN(2)/2)*BR164+(1-EXP(-LN(2)/2))/(LN(2)/2)*BL165*BO165*VLOOKUP('Données projet'!$B$11,Paramètres!$A$1:$I$89,3,0)*0.475*44/12</f>
        <v>1.9271178099171954E-14</v>
      </c>
      <c r="BS165" s="22">
        <f t="shared" si="169"/>
        <v>11.634504659110258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925.00000000000034</v>
      </c>
      <c r="BZ165" s="13">
        <f>BY165*VLOOKUP('Données projet'!$B$12,Paramètres!$A$1:$I$89,3,0)*VLOOKUP('Données projet'!$B$12,Paramètres!$A$1:$I$89,5,0)</f>
        <v>408.85000000000014</v>
      </c>
      <c r="CA165" s="13">
        <f t="shared" si="170"/>
        <v>93.568575358321141</v>
      </c>
      <c r="CB165" s="20">
        <f t="shared" si="171"/>
        <v>875.04568541574281</v>
      </c>
      <c r="CC165" s="59">
        <f t="shared" si="119"/>
        <v>1168.3790187490761</v>
      </c>
      <c r="CD165" s="59">
        <f ca="1">AVERAGE(OFFSET($CC$3,0,0,'Données projet'!$E$12+1,1))-AVERAGE(OFFSET($H$3,0,0,'Données projet'!$E$12+1,1))</f>
        <v>415.83983761562189</v>
      </c>
      <c r="CE165" s="59">
        <f t="shared" si="148"/>
        <v>339.37869344688829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13.480663820012966</v>
      </c>
      <c r="CL165" s="21">
        <f>EXP(-LN(2)/25)*CL164+(1-EXP(-LN(2)/25))/(LN(2)/25)*Calculateur!CG165*Calculateur!CI165*VLOOKUP('Données projet'!$B$12,Paramètres!$A$1:$I$89,3,0)*0.475*44/12</f>
        <v>3.0191596890806625</v>
      </c>
      <c r="CM165" s="21">
        <f>EXP(-LN(2)/2)*CM164+(1-EXP(-LN(2)/2))/(LN(2)/2)*CG165*CJ165*VLOOKUP('Données projet'!$B$12,Paramètres!$A$1:$I$89,3,0)*0.475*44/12</f>
        <v>1.1153492851956528E-12</v>
      </c>
      <c r="CN165" s="22">
        <f t="shared" si="172"/>
        <v>16.499823509094742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268.00000000000011</v>
      </c>
      <c r="O166" s="13">
        <f>N166*VLOOKUP('Données projet'!$B$9,Paramètres!$A$1:$I$89,3,0)*VLOOKUP('Données projet'!$B$9,Paramètres!$A$1:$I$89,5,0)</f>
        <v>242.48640000000009</v>
      </c>
      <c r="P166" s="13">
        <f t="shared" si="141"/>
        <v>58.974170235372476</v>
      </c>
      <c r="Q166" s="20">
        <f t="shared" si="162"/>
        <v>525.04382649327385</v>
      </c>
      <c r="R166" s="59">
        <f t="shared" si="109"/>
        <v>818.37715982660711</v>
      </c>
      <c r="S166" s="59">
        <f ca="1">AVERAGE(OFFSET($R$3,0,0,'Données projet'!$E$9+1,1))-AVERAGE(OFFSET($H$3,0,0,'Données projet'!$E$9+1,1))</f>
        <v>258.68215148478868</v>
      </c>
      <c r="T166" s="59">
        <f t="shared" si="142"/>
        <v>153.16792125610209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24.89815452201487</v>
      </c>
      <c r="AA166" s="21">
        <f>EXP(-LN(2)/25)*AA165+(1-EXP(-LN(2)/25))/(LN(2)/25)*Calculateur!V166*Calculateur!X166*VLOOKUP('Données projet'!$B$9,Paramètres!$A$1:$I$89,3,0)*0.475*44/12</f>
        <v>0.75078029847906558</v>
      </c>
      <c r="AB166" s="21">
        <f>EXP(-LN(2)/2)*AB165+(1-EXP(-LN(2)/2))/(LN(2)/2)*V166*Y166*VLOOKUP('Données projet'!$B$9,Paramètres!$A$1:$I$89,3,0)*0.475*44/12</f>
        <v>3.6115254515603395E-7</v>
      </c>
      <c r="AC166" s="22">
        <f t="shared" si="163"/>
        <v>25.648935181646479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268.00000000000011</v>
      </c>
      <c r="AJ166" s="13">
        <f>AI166*VLOOKUP('Données projet'!$B$10,Paramètres!$A$1:$I$89,3,0)*VLOOKUP('Données projet'!$B$10,Paramètres!$A$1:$I$89,5,0)</f>
        <v>271.75200000000012</v>
      </c>
      <c r="AK166" s="13">
        <f t="shared" si="164"/>
        <v>65.220947824724988</v>
      </c>
      <c r="AL166" s="20">
        <f t="shared" si="165"/>
        <v>586.89455079472953</v>
      </c>
      <c r="AM166" s="59">
        <f t="shared" si="113"/>
        <v>880.2278841280629</v>
      </c>
      <c r="AN166" s="59">
        <f ca="1">AVERAGE(OFFSET($AM$3,0,0,'Données projet'!$E$10+1,1))-AVERAGE(OFFSET($H$3,0,0,'Données projet'!$E$10+1,1))</f>
        <v>298.68533387773886</v>
      </c>
      <c r="AO166" s="59">
        <f t="shared" si="144"/>
        <v>176.04868734496114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27.903104205706331</v>
      </c>
      <c r="AV166" s="21">
        <f>EXP(-LN(2)/25)*AV165+(1-EXP(-LN(2)/25))/(LN(2)/25)*Calculateur!AQ166*Calculateur!AS166*VLOOKUP('Données projet'!$B$10,Paramètres!$A$1:$I$89,3,0)*0.475*44/12</f>
        <v>0.8413917138127458</v>
      </c>
      <c r="AW166" s="21">
        <f>EXP(-LN(2)/2)*AW165+(1-EXP(-LN(2)/2))/(LN(2)/2)*AQ166*AT166*VLOOKUP('Données projet'!$B$10,Paramètres!$A$1:$I$89,3,0)*0.475*44/12</f>
        <v>4.0473992129555594E-7</v>
      </c>
      <c r="AX166" s="21">
        <f t="shared" si="166"/>
        <v>28.744496324259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-5.999999999994543E-2</v>
      </c>
      <c r="BE166" s="13">
        <f>BD166*VLOOKUP('Données projet'!$B$11,Paramètres!$A$1:$I$89,3,0)*VLOOKUP('Données projet'!$B$11,Paramètres!$A$1:$I$89,5,0)</f>
        <v>-2.8079999999974462E-2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83.62456509032836</v>
      </c>
      <c r="BJ166" s="59">
        <f t="shared" si="146"/>
        <v>131.53128089847871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9.4831397942577702</v>
      </c>
      <c r="BQ166" s="21">
        <f>EXP(-LN(2)/25)*BQ165+(1-EXP(-LN(2)/25))/(LN(2)/25)*Calculateur!BL166*Calculateur!BN166*VLOOKUP('Données projet'!$B$11,Paramètres!$A$1:$I$89,3,0)*0.475*44/12</f>
        <v>1.9080443777139606</v>
      </c>
      <c r="BR166" s="21">
        <f>EXP(-LN(2)/2)*BR165+(1-EXP(-LN(2)/2))/(LN(2)/2)*BL166*BO166*VLOOKUP('Données projet'!$B$11,Paramètres!$A$1:$I$89,3,0)*0.475*44/12</f>
        <v>1.362678071537817E-14</v>
      </c>
      <c r="BS166" s="22">
        <f t="shared" si="169"/>
        <v>11.391184171971744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925.00000000000034</v>
      </c>
      <c r="BZ166" s="13">
        <f>BY166*VLOOKUP('Données projet'!$B$12,Paramètres!$A$1:$I$89,3,0)*VLOOKUP('Données projet'!$B$12,Paramètres!$A$1:$I$89,5,0)</f>
        <v>408.85000000000014</v>
      </c>
      <c r="CA166" s="13">
        <f t="shared" si="170"/>
        <v>93.568575358321141</v>
      </c>
      <c r="CB166" s="20">
        <f t="shared" si="171"/>
        <v>875.04568541574281</v>
      </c>
      <c r="CC166" s="59">
        <f t="shared" si="119"/>
        <v>1168.3790187490761</v>
      </c>
      <c r="CD166" s="59">
        <f ca="1">AVERAGE(OFFSET($CC$3,0,0,'Données projet'!$E$12+1,1))-AVERAGE(OFFSET($H$3,0,0,'Données projet'!$E$12+1,1))</f>
        <v>415.83983761562189</v>
      </c>
      <c r="CE166" s="59">
        <f t="shared" si="148"/>
        <v>339.37869344688829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13.216316224895548</v>
      </c>
      <c r="CL166" s="21">
        <f>EXP(-LN(2)/25)*CL165+(1-EXP(-LN(2)/25))/(LN(2)/25)*Calculateur!CG166*Calculateur!CI166*VLOOKUP('Données projet'!$B$12,Paramètres!$A$1:$I$89,3,0)*0.475*44/12</f>
        <v>2.9366006086120442</v>
      </c>
      <c r="CM166" s="21">
        <f>EXP(-LN(2)/2)*CM165+(1-EXP(-LN(2)/2))/(LN(2)/2)*CG166*CJ166*VLOOKUP('Données projet'!$B$12,Paramètres!$A$1:$I$89,3,0)*0.475*44/12</f>
        <v>7.8867104295341468E-13</v>
      </c>
      <c r="CN166" s="22">
        <f t="shared" si="172"/>
        <v>16.152916833508382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268.00000000000011</v>
      </c>
      <c r="O167" s="13">
        <f>N167*VLOOKUP('Données projet'!$B$9,Paramètres!$A$1:$I$89,3,0)*VLOOKUP('Données projet'!$B$9,Paramètres!$A$1:$I$89,5,0)</f>
        <v>242.48640000000009</v>
      </c>
      <c r="P167" s="13">
        <f t="shared" si="141"/>
        <v>58.974170235372476</v>
      </c>
      <c r="Q167" s="20">
        <f t="shared" si="162"/>
        <v>525.04382649327385</v>
      </c>
      <c r="R167" s="59">
        <f t="shared" si="109"/>
        <v>818.37715982660711</v>
      </c>
      <c r="S167" s="59">
        <f ca="1">AVERAGE(OFFSET($R$3,0,0,'Données projet'!$E$9+1,1))-AVERAGE(OFFSET($H$3,0,0,'Données projet'!$E$9+1,1))</f>
        <v>258.68215148478868</v>
      </c>
      <c r="T167" s="59">
        <f t="shared" si="142"/>
        <v>153.16792125610209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24.409916898212888</v>
      </c>
      <c r="AA167" s="21">
        <f>EXP(-LN(2)/25)*AA166+(1-EXP(-LN(2)/25))/(LN(2)/25)*Calculateur!V167*Calculateur!X167*VLOOKUP('Données projet'!$B$9,Paramètres!$A$1:$I$89,3,0)*0.475*44/12</f>
        <v>0.73025017173533557</v>
      </c>
      <c r="AB167" s="21">
        <f>EXP(-LN(2)/2)*AB166+(1-EXP(-LN(2)/2))/(LN(2)/2)*V167*Y167*VLOOKUP('Données projet'!$B$9,Paramètres!$A$1:$I$89,3,0)*0.475*44/12</f>
        <v>2.5537341372261242E-7</v>
      </c>
      <c r="AC167" s="22">
        <f t="shared" si="163"/>
        <v>25.140167325321638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268.00000000000011</v>
      </c>
      <c r="AJ167" s="13">
        <f>AI167*VLOOKUP('Données projet'!$B$10,Paramètres!$A$1:$I$89,3,0)*VLOOKUP('Données projet'!$B$10,Paramètres!$A$1:$I$89,5,0)</f>
        <v>271.75200000000012</v>
      </c>
      <c r="AK167" s="13">
        <f t="shared" si="164"/>
        <v>65.220947824724988</v>
      </c>
      <c r="AL167" s="20">
        <f t="shared" si="165"/>
        <v>586.89455079472953</v>
      </c>
      <c r="AM167" s="59">
        <f t="shared" si="113"/>
        <v>880.2278841280629</v>
      </c>
      <c r="AN167" s="59">
        <f ca="1">AVERAGE(OFFSET($AM$3,0,0,'Données projet'!$E$10+1,1))-AVERAGE(OFFSET($H$3,0,0,'Données projet'!$E$10+1,1))</f>
        <v>298.68533387773886</v>
      </c>
      <c r="AO167" s="59">
        <f t="shared" si="144"/>
        <v>176.04868734496114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27.355941351445487</v>
      </c>
      <c r="AV167" s="21">
        <f>EXP(-LN(2)/25)*AV166+(1-EXP(-LN(2)/25))/(LN(2)/25)*Calculateur!AQ167*Calculateur!AS167*VLOOKUP('Données projet'!$B$10,Paramètres!$A$1:$I$89,3,0)*0.475*44/12</f>
        <v>0.81838381315166908</v>
      </c>
      <c r="AW167" s="21">
        <f>EXP(-LN(2)/2)*AW166+(1-EXP(-LN(2)/2))/(LN(2)/2)*AQ167*AT167*VLOOKUP('Données projet'!$B$10,Paramètres!$A$1:$I$89,3,0)*0.475*44/12</f>
        <v>2.8619434296499713E-7</v>
      </c>
      <c r="AX167" s="21">
        <f t="shared" si="166"/>
        <v>28.1743254507915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-5.999999999994543E-2</v>
      </c>
      <c r="BE167" s="13">
        <f>BD167*VLOOKUP('Données projet'!$B$11,Paramètres!$A$1:$I$89,3,0)*VLOOKUP('Données projet'!$B$11,Paramètres!$A$1:$I$89,5,0)</f>
        <v>-2.8079999999974462E-2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83.62456509032836</v>
      </c>
      <c r="BJ167" s="59">
        <f t="shared" si="146"/>
        <v>131.53128089847871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9.2971812070365125</v>
      </c>
      <c r="BQ167" s="21">
        <f>EXP(-LN(2)/25)*BQ166+(1-EXP(-LN(2)/25))/(LN(2)/25)*Calculateur!BL167*Calculateur!BN167*VLOOKUP('Données projet'!$B$11,Paramètres!$A$1:$I$89,3,0)*0.475*44/12</f>
        <v>1.8558688038656794</v>
      </c>
      <c r="BR167" s="21">
        <f>EXP(-LN(2)/2)*BR166+(1-EXP(-LN(2)/2))/(LN(2)/2)*BL167*BO167*VLOOKUP('Données projet'!$B$11,Paramètres!$A$1:$I$89,3,0)*0.475*44/12</f>
        <v>9.6355890495859768E-15</v>
      </c>
      <c r="BS167" s="22">
        <f t="shared" si="169"/>
        <v>11.1530500109022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925.00000000000034</v>
      </c>
      <c r="BZ167" s="13">
        <f>BY167*VLOOKUP('Données projet'!$B$12,Paramètres!$A$1:$I$89,3,0)*VLOOKUP('Données projet'!$B$12,Paramètres!$A$1:$I$89,5,0)</f>
        <v>408.85000000000014</v>
      </c>
      <c r="CA167" s="13">
        <f t="shared" si="170"/>
        <v>93.568575358321141</v>
      </c>
      <c r="CB167" s="20">
        <f t="shared" si="171"/>
        <v>875.04568541574281</v>
      </c>
      <c r="CC167" s="59">
        <f t="shared" si="119"/>
        <v>1168.3790187490761</v>
      </c>
      <c r="CD167" s="59">
        <f ca="1">AVERAGE(OFFSET($CC$3,0,0,'Données projet'!$E$12+1,1))-AVERAGE(OFFSET($H$3,0,0,'Données projet'!$E$12+1,1))</f>
        <v>415.83983761562189</v>
      </c>
      <c r="CE167" s="59">
        <f t="shared" si="148"/>
        <v>339.37869344688829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12.957152324882271</v>
      </c>
      <c r="CL167" s="21">
        <f>EXP(-LN(2)/25)*CL166+(1-EXP(-LN(2)/25))/(LN(2)/25)*Calculateur!CG167*Calculateur!CI167*VLOOKUP('Données projet'!$B$12,Paramètres!$A$1:$I$89,3,0)*0.475*44/12</f>
        <v>2.8562991105404336</v>
      </c>
      <c r="CM167" s="21">
        <f>EXP(-LN(2)/2)*CM166+(1-EXP(-LN(2)/2))/(LN(2)/2)*CG167*CJ167*VLOOKUP('Données projet'!$B$12,Paramètres!$A$1:$I$89,3,0)*0.475*44/12</f>
        <v>5.5767464259782641E-13</v>
      </c>
      <c r="CN167" s="22">
        <f t="shared" si="172"/>
        <v>15.813451435423262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268.00000000000011</v>
      </c>
      <c r="O168" s="13">
        <f>N168*VLOOKUP('Données projet'!$B$9,Paramètres!$A$1:$I$89,3,0)*VLOOKUP('Données projet'!$B$9,Paramètres!$A$1:$I$89,5,0)</f>
        <v>242.48640000000009</v>
      </c>
      <c r="P168" s="13">
        <f t="shared" si="141"/>
        <v>58.974170235372476</v>
      </c>
      <c r="Q168" s="20">
        <f t="shared" si="162"/>
        <v>525.04382649327385</v>
      </c>
      <c r="R168" s="59">
        <f t="shared" si="109"/>
        <v>818.37715982660711</v>
      </c>
      <c r="S168" s="59">
        <f ca="1">AVERAGE(OFFSET($R$3,0,0,'Données projet'!$E$9+1,1))-AVERAGE(OFFSET($H$3,0,0,'Données projet'!$E$9+1,1))</f>
        <v>258.68215148478868</v>
      </c>
      <c r="T168" s="59">
        <f t="shared" si="142"/>
        <v>153.16792125610209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23.931253316418115</v>
      </c>
      <c r="AA168" s="21">
        <f>EXP(-LN(2)/25)*AA167+(1-EXP(-LN(2)/25))/(LN(2)/25)*Calculateur!V168*Calculateur!X168*VLOOKUP('Données projet'!$B$9,Paramètres!$A$1:$I$89,3,0)*0.475*44/12</f>
        <v>0.71028144238704527</v>
      </c>
      <c r="AB168" s="21">
        <f>EXP(-LN(2)/2)*AB167+(1-EXP(-LN(2)/2))/(LN(2)/2)*V168*Y168*VLOOKUP('Données projet'!$B$9,Paramètres!$A$1:$I$89,3,0)*0.475*44/12</f>
        <v>1.8057627257801697E-7</v>
      </c>
      <c r="AC168" s="22">
        <f t="shared" si="163"/>
        <v>24.641534939381433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268.00000000000011</v>
      </c>
      <c r="AJ168" s="13">
        <f>AI168*VLOOKUP('Données projet'!$B$10,Paramètres!$A$1:$I$89,3,0)*VLOOKUP('Données projet'!$B$10,Paramètres!$A$1:$I$89,5,0)</f>
        <v>271.75200000000012</v>
      </c>
      <c r="AK168" s="13">
        <f t="shared" si="164"/>
        <v>65.220947824724988</v>
      </c>
      <c r="AL168" s="20">
        <f t="shared" si="165"/>
        <v>586.89455079472953</v>
      </c>
      <c r="AM168" s="59">
        <f t="shared" si="113"/>
        <v>880.2278841280629</v>
      </c>
      <c r="AN168" s="59">
        <f ca="1">AVERAGE(OFFSET($AM$3,0,0,'Données projet'!$E$10+1,1))-AVERAGE(OFFSET($H$3,0,0,'Données projet'!$E$10+1,1))</f>
        <v>298.68533387773886</v>
      </c>
      <c r="AO168" s="59">
        <f t="shared" si="144"/>
        <v>176.04868734496114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26.819508027020312</v>
      </c>
      <c r="AV168" s="21">
        <f>EXP(-LN(2)/25)*AV167+(1-EXP(-LN(2)/25))/(LN(2)/25)*Calculateur!AQ168*Calculateur!AS168*VLOOKUP('Données projet'!$B$10,Paramètres!$A$1:$I$89,3,0)*0.475*44/12</f>
        <v>0.79600506474410238</v>
      </c>
      <c r="AW168" s="21">
        <f>EXP(-LN(2)/2)*AW167+(1-EXP(-LN(2)/2))/(LN(2)/2)*AQ168*AT168*VLOOKUP('Données projet'!$B$10,Paramètres!$A$1:$I$89,3,0)*0.475*44/12</f>
        <v>2.0236996064777797E-7</v>
      </c>
      <c r="AX168" s="21">
        <f t="shared" si="166"/>
        <v>27.615513294134374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-5.999999999994543E-2</v>
      </c>
      <c r="BE168" s="13">
        <f>BD168*VLOOKUP('Données projet'!$B$11,Paramètres!$A$1:$I$89,3,0)*VLOOKUP('Données projet'!$B$11,Paramètres!$A$1:$I$89,5,0)</f>
        <v>-2.8079999999974462E-2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83.62456509032836</v>
      </c>
      <c r="BJ168" s="59">
        <f t="shared" si="146"/>
        <v>131.53128089847871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9.1148691542871259</v>
      </c>
      <c r="BQ168" s="21">
        <f>EXP(-LN(2)/25)*BQ167+(1-EXP(-LN(2)/25))/(LN(2)/25)*Calculateur!BL168*Calculateur!BN168*VLOOKUP('Données projet'!$B$11,Paramètres!$A$1:$I$89,3,0)*0.475*44/12</f>
        <v>1.8051199738280737</v>
      </c>
      <c r="BR168" s="21">
        <f>EXP(-LN(2)/2)*BR167+(1-EXP(-LN(2)/2))/(LN(2)/2)*BL168*BO168*VLOOKUP('Données projet'!$B$11,Paramètres!$A$1:$I$89,3,0)*0.475*44/12</f>
        <v>6.8133903576890848E-15</v>
      </c>
      <c r="BS168" s="22">
        <f t="shared" si="169"/>
        <v>10.919989128115207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925.00000000000034</v>
      </c>
      <c r="BZ168" s="13">
        <f>BY168*VLOOKUP('Données projet'!$B$12,Paramètres!$A$1:$I$89,3,0)*VLOOKUP('Données projet'!$B$12,Paramètres!$A$1:$I$89,5,0)</f>
        <v>408.85000000000014</v>
      </c>
      <c r="CA168" s="13">
        <f t="shared" si="170"/>
        <v>93.568575358321141</v>
      </c>
      <c r="CB168" s="20">
        <f t="shared" si="171"/>
        <v>875.04568541574281</v>
      </c>
      <c r="CC168" s="59">
        <f t="shared" si="119"/>
        <v>1168.3790187490761</v>
      </c>
      <c r="CD168" s="59">
        <f ca="1">AVERAGE(OFFSET($CC$3,0,0,'Données projet'!$E$12+1,1))-AVERAGE(OFFSET($H$3,0,0,'Données projet'!$E$12+1,1))</f>
        <v>415.83983761562189</v>
      </c>
      <c r="CE168" s="59">
        <f t="shared" si="148"/>
        <v>339.37869344688829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12.703070470873884</v>
      </c>
      <c r="CL168" s="21">
        <f>EXP(-LN(2)/25)*CL167+(1-EXP(-LN(2)/25))/(LN(2)/25)*Calculateur!CG168*Calculateur!CI168*VLOOKUP('Données projet'!$B$12,Paramètres!$A$1:$I$89,3,0)*0.475*44/12</f>
        <v>2.7781934611564636</v>
      </c>
      <c r="CM168" s="21">
        <f>EXP(-LN(2)/2)*CM167+(1-EXP(-LN(2)/2))/(LN(2)/2)*CG168*CJ168*VLOOKUP('Données projet'!$B$12,Paramètres!$A$1:$I$89,3,0)*0.475*44/12</f>
        <v>3.9433552147670734E-13</v>
      </c>
      <c r="CN168" s="22">
        <f t="shared" si="172"/>
        <v>15.481263932030743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268.00000000000011</v>
      </c>
      <c r="O169" s="13">
        <f>N169*VLOOKUP('Données projet'!$B$9,Paramètres!$A$1:$I$89,3,0)*VLOOKUP('Données projet'!$B$9,Paramètres!$A$1:$I$89,5,0)</f>
        <v>242.48640000000009</v>
      </c>
      <c r="P169" s="13">
        <f t="shared" si="141"/>
        <v>58.974170235372476</v>
      </c>
      <c r="Q169" s="20">
        <f t="shared" si="162"/>
        <v>525.04382649327385</v>
      </c>
      <c r="R169" s="59">
        <f t="shared" si="109"/>
        <v>818.37715982660711</v>
      </c>
      <c r="S169" s="59">
        <f ca="1">AVERAGE(OFFSET($R$3,0,0,'Données projet'!$E$9+1,1))-AVERAGE(OFFSET($H$3,0,0,'Données projet'!$E$9+1,1))</f>
        <v>258.68215148478868</v>
      </c>
      <c r="T169" s="59">
        <f t="shared" si="142"/>
        <v>153.16792125610209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23.461976035506382</v>
      </c>
      <c r="AA169" s="21">
        <f>EXP(-LN(2)/25)*AA168+(1-EXP(-LN(2)/25))/(LN(2)/25)*Calculateur!V169*Calculateur!X169*VLOOKUP('Données projet'!$B$9,Paramètres!$A$1:$I$89,3,0)*0.475*44/12</f>
        <v>0.69085875899289384</v>
      </c>
      <c r="AB169" s="21">
        <f>EXP(-LN(2)/2)*AB168+(1-EXP(-LN(2)/2))/(LN(2)/2)*V169*Y169*VLOOKUP('Données projet'!$B$9,Paramètres!$A$1:$I$89,3,0)*0.475*44/12</f>
        <v>1.2768670686130621E-7</v>
      </c>
      <c r="AC169" s="22">
        <f t="shared" si="163"/>
        <v>24.152834922185985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268.00000000000011</v>
      </c>
      <c r="AJ169" s="13">
        <f>AI169*VLOOKUP('Données projet'!$B$10,Paramètres!$A$1:$I$89,3,0)*VLOOKUP('Données projet'!$B$10,Paramètres!$A$1:$I$89,5,0)</f>
        <v>271.75200000000012</v>
      </c>
      <c r="AK169" s="13">
        <f t="shared" si="164"/>
        <v>65.220947824724988</v>
      </c>
      <c r="AL169" s="20">
        <f t="shared" si="165"/>
        <v>586.89455079472953</v>
      </c>
      <c r="AM169" s="59">
        <f t="shared" si="113"/>
        <v>880.2278841280629</v>
      </c>
      <c r="AN169" s="59">
        <f ca="1">AVERAGE(OFFSET($AM$3,0,0,'Données projet'!$E$10+1,1))-AVERAGE(OFFSET($H$3,0,0,'Données projet'!$E$10+1,1))</f>
        <v>298.68533387773886</v>
      </c>
      <c r="AO169" s="59">
        <f t="shared" si="144"/>
        <v>176.04868734496114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26.293593832895095</v>
      </c>
      <c r="AV169" s="21">
        <f>EXP(-LN(2)/25)*AV168+(1-EXP(-LN(2)/25))/(LN(2)/25)*Calculateur!AQ169*Calculateur!AS169*VLOOKUP('Données projet'!$B$10,Paramètres!$A$1:$I$89,3,0)*0.475*44/12</f>
        <v>0.77423826438858778</v>
      </c>
      <c r="AW169" s="21">
        <f>EXP(-LN(2)/2)*AW168+(1-EXP(-LN(2)/2))/(LN(2)/2)*AQ169*AT169*VLOOKUP('Données projet'!$B$10,Paramètres!$A$1:$I$89,3,0)*0.475*44/12</f>
        <v>1.4309717148249857E-7</v>
      </c>
      <c r="AX169" s="21">
        <f t="shared" si="166"/>
        <v>27.067832240380852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-5.999999999994543E-2</v>
      </c>
      <c r="BE169" s="13">
        <f>BD169*VLOOKUP('Données projet'!$B$11,Paramètres!$A$1:$I$89,3,0)*VLOOKUP('Données projet'!$B$11,Paramètres!$A$1:$I$89,5,0)</f>
        <v>-2.8079999999974462E-2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83.62456509032836</v>
      </c>
      <c r="BJ169" s="59">
        <f t="shared" si="146"/>
        <v>131.53128089847871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8.9361321296927816</v>
      </c>
      <c r="BQ169" s="21">
        <f>EXP(-LN(2)/25)*BQ168+(1-EXP(-LN(2)/25))/(LN(2)/25)*Calculateur!BL169*Calculateur!BN169*VLOOKUP('Données projet'!$B$11,Paramètres!$A$1:$I$89,3,0)*0.475*44/12</f>
        <v>1.7557588732166112</v>
      </c>
      <c r="BR169" s="21">
        <f>EXP(-LN(2)/2)*BR168+(1-EXP(-LN(2)/2))/(LN(2)/2)*BL169*BO169*VLOOKUP('Données projet'!$B$11,Paramètres!$A$1:$I$89,3,0)*0.475*44/12</f>
        <v>4.8177945247929884E-15</v>
      </c>
      <c r="BS169" s="22">
        <f t="shared" si="169"/>
        <v>10.691891002909399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925.00000000000034</v>
      </c>
      <c r="BZ169" s="13">
        <f>BY169*VLOOKUP('Données projet'!$B$12,Paramètres!$A$1:$I$89,3,0)*VLOOKUP('Données projet'!$B$12,Paramètres!$A$1:$I$89,5,0)</f>
        <v>408.85000000000014</v>
      </c>
      <c r="CA169" s="13">
        <f t="shared" si="170"/>
        <v>93.568575358321141</v>
      </c>
      <c r="CB169" s="20">
        <f t="shared" si="171"/>
        <v>875.04568541574281</v>
      </c>
      <c r="CC169" s="59">
        <f t="shared" si="119"/>
        <v>1168.3790187490761</v>
      </c>
      <c r="CD169" s="59">
        <f ca="1">AVERAGE(OFFSET($CC$3,0,0,'Données projet'!$E$12+1,1))-AVERAGE(OFFSET($H$3,0,0,'Données projet'!$E$12+1,1))</f>
        <v>415.83983761562189</v>
      </c>
      <c r="CE169" s="59">
        <f t="shared" si="148"/>
        <v>339.37869344688829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12.453971007047972</v>
      </c>
      <c r="CL169" s="21">
        <f>EXP(-LN(2)/25)*CL168+(1-EXP(-LN(2)/25))/(LN(2)/25)*Calculateur!CG169*Calculateur!CI169*VLOOKUP('Données projet'!$B$12,Paramètres!$A$1:$I$89,3,0)*0.475*44/12</f>
        <v>2.7022236148622958</v>
      </c>
      <c r="CM169" s="21">
        <f>EXP(-LN(2)/2)*CM168+(1-EXP(-LN(2)/2))/(LN(2)/2)*CG169*CJ169*VLOOKUP('Données projet'!$B$12,Paramètres!$A$1:$I$89,3,0)*0.475*44/12</f>
        <v>2.788373212989132E-13</v>
      </c>
      <c r="CN169" s="22">
        <f t="shared" si="172"/>
        <v>15.156194621910547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268.00000000000011</v>
      </c>
      <c r="O170" s="13">
        <f>N170*VLOOKUP('Données projet'!$B$9,Paramètres!$A$1:$I$89,3,0)*VLOOKUP('Données projet'!$B$9,Paramètres!$A$1:$I$89,5,0)</f>
        <v>242.48640000000009</v>
      </c>
      <c r="P170" s="13">
        <f t="shared" si="141"/>
        <v>58.974170235372476</v>
      </c>
      <c r="Q170" s="20">
        <f t="shared" si="162"/>
        <v>525.04382649327385</v>
      </c>
      <c r="R170" s="59">
        <f t="shared" si="109"/>
        <v>818.37715982660711</v>
      </c>
      <c r="S170" s="59">
        <f ca="1">AVERAGE(OFFSET($R$3,0,0,'Données projet'!$E$9+1,1))-AVERAGE(OFFSET($H$3,0,0,'Données projet'!$E$9+1,1))</f>
        <v>258.68215148478868</v>
      </c>
      <c r="T170" s="59">
        <f t="shared" si="142"/>
        <v>153.16792125610209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23.001900995842451</v>
      </c>
      <c r="AA170" s="21">
        <f>EXP(-LN(2)/25)*AA169+(1-EXP(-LN(2)/25))/(LN(2)/25)*Calculateur!V170*Calculateur!X170*VLOOKUP('Données projet'!$B$9,Paramètres!$A$1:$I$89,3,0)*0.475*44/12</f>
        <v>0.67196718989755</v>
      </c>
      <c r="AB170" s="21">
        <f>EXP(-LN(2)/2)*AB169+(1-EXP(-LN(2)/2))/(LN(2)/2)*V170*Y170*VLOOKUP('Données projet'!$B$9,Paramètres!$A$1:$I$89,3,0)*0.475*44/12</f>
        <v>9.0288136289008487E-8</v>
      </c>
      <c r="AC170" s="22">
        <f t="shared" si="163"/>
        <v>23.673868276028138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268.00000000000011</v>
      </c>
      <c r="AJ170" s="13">
        <f>AI170*VLOOKUP('Données projet'!$B$10,Paramètres!$A$1:$I$89,3,0)*VLOOKUP('Données projet'!$B$10,Paramètres!$A$1:$I$89,5,0)</f>
        <v>271.75200000000012</v>
      </c>
      <c r="AK170" s="13">
        <f t="shared" si="164"/>
        <v>65.220947824724988</v>
      </c>
      <c r="AL170" s="20">
        <f t="shared" si="165"/>
        <v>586.89455079472953</v>
      </c>
      <c r="AM170" s="59">
        <f t="shared" si="113"/>
        <v>880.2278841280629</v>
      </c>
      <c r="AN170" s="59">
        <f ca="1">AVERAGE(OFFSET($AM$3,0,0,'Données projet'!$E$10+1,1))-AVERAGE(OFFSET($H$3,0,0,'Données projet'!$E$10+1,1))</f>
        <v>298.68533387773886</v>
      </c>
      <c r="AO170" s="59">
        <f t="shared" si="144"/>
        <v>176.04868734496114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25.777992495340687</v>
      </c>
      <c r="AV170" s="21">
        <f>EXP(-LN(2)/25)*AV169+(1-EXP(-LN(2)/25))/(LN(2)/25)*Calculateur!AQ170*Calculateur!AS170*VLOOKUP('Données projet'!$B$10,Paramètres!$A$1:$I$89,3,0)*0.475*44/12</f>
        <v>0.75306667833346108</v>
      </c>
      <c r="AW170" s="21">
        <f>EXP(-LN(2)/2)*AW169+(1-EXP(-LN(2)/2))/(LN(2)/2)*AQ170*AT170*VLOOKUP('Données projet'!$B$10,Paramètres!$A$1:$I$89,3,0)*0.475*44/12</f>
        <v>1.0118498032388898E-7</v>
      </c>
      <c r="AX170" s="21">
        <f t="shared" si="166"/>
        <v>26.531059274859128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-5.999999999994543E-2</v>
      </c>
      <c r="BE170" s="13">
        <f>BD170*VLOOKUP('Données projet'!$B$11,Paramètres!$A$1:$I$89,3,0)*VLOOKUP('Données projet'!$B$11,Paramètres!$A$1:$I$89,5,0)</f>
        <v>-2.8079999999974462E-2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83.62456509032836</v>
      </c>
      <c r="BJ170" s="59">
        <f t="shared" si="146"/>
        <v>131.53128089847871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8.7609000291319123</v>
      </c>
      <c r="BQ170" s="21">
        <f>EXP(-LN(2)/25)*BQ169+(1-EXP(-LN(2)/25))/(LN(2)/25)*Calculateur!BL170*Calculateur!BN170*VLOOKUP('Données projet'!$B$11,Paramètres!$A$1:$I$89,3,0)*0.475*44/12</f>
        <v>1.7077475544971565</v>
      </c>
      <c r="BR170" s="21">
        <f>EXP(-LN(2)/2)*BR169+(1-EXP(-LN(2)/2))/(LN(2)/2)*BL170*BO170*VLOOKUP('Données projet'!$B$11,Paramètres!$A$1:$I$89,3,0)*0.475*44/12</f>
        <v>3.4066951788445424E-15</v>
      </c>
      <c r="BS170" s="22">
        <f t="shared" si="169"/>
        <v>10.468647583629073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925.00000000000034</v>
      </c>
      <c r="BZ170" s="13">
        <f>BY170*VLOOKUP('Données projet'!$B$12,Paramètres!$A$1:$I$89,3,0)*VLOOKUP('Données projet'!$B$12,Paramètres!$A$1:$I$89,5,0)</f>
        <v>408.85000000000014</v>
      </c>
      <c r="CA170" s="13">
        <f t="shared" si="170"/>
        <v>93.568575358321141</v>
      </c>
      <c r="CB170" s="20">
        <f t="shared" si="171"/>
        <v>875.04568541574281</v>
      </c>
      <c r="CC170" s="59">
        <f t="shared" si="119"/>
        <v>1168.3790187490761</v>
      </c>
      <c r="CD170" s="59">
        <f ca="1">AVERAGE(OFFSET($CC$3,0,0,'Données projet'!$E$12+1,1))-AVERAGE(OFFSET($H$3,0,0,'Données projet'!$E$12+1,1))</f>
        <v>415.83983761562189</v>
      </c>
      <c r="CE170" s="59">
        <f t="shared" si="148"/>
        <v>339.37869344688829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12.209756231772015</v>
      </c>
      <c r="CL170" s="21">
        <f>EXP(-LN(2)/25)*CL169+(1-EXP(-LN(2)/25))/(LN(2)/25)*Calculateur!CG170*Calculateur!CI170*VLOOKUP('Données projet'!$B$12,Paramètres!$A$1:$I$89,3,0)*0.475*44/12</f>
        <v>2.6283311680101225</v>
      </c>
      <c r="CM170" s="21">
        <f>EXP(-LN(2)/2)*CM169+(1-EXP(-LN(2)/2))/(LN(2)/2)*CG170*CJ170*VLOOKUP('Données projet'!$B$12,Paramètres!$A$1:$I$89,3,0)*0.475*44/12</f>
        <v>1.9716776073835367E-13</v>
      </c>
      <c r="CN170" s="22">
        <f t="shared" si="172"/>
        <v>14.838087399782335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268.00000000000011</v>
      </c>
      <c r="O171" s="13">
        <f>N171*VLOOKUP('Données projet'!$B$9,Paramètres!$A$1:$I$89,3,0)*VLOOKUP('Données projet'!$B$9,Paramètres!$A$1:$I$89,5,0)</f>
        <v>242.48640000000009</v>
      </c>
      <c r="P171" s="13">
        <f t="shared" si="141"/>
        <v>58.974170235372476</v>
      </c>
      <c r="Q171" s="20">
        <f t="shared" si="162"/>
        <v>525.04382649327385</v>
      </c>
      <c r="R171" s="59">
        <f t="shared" si="109"/>
        <v>818.37715982660711</v>
      </c>
      <c r="S171" s="59">
        <f ca="1">AVERAGE(OFFSET($R$3,0,0,'Données projet'!$E$9+1,1))-AVERAGE(OFFSET($H$3,0,0,'Données projet'!$E$9+1,1))</f>
        <v>258.68215148478868</v>
      </c>
      <c r="T171" s="59">
        <f t="shared" si="142"/>
        <v>153.16792125610209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22.550847747088262</v>
      </c>
      <c r="AA171" s="21">
        <f>EXP(-LN(2)/25)*AA170+(1-EXP(-LN(2)/25))/(LN(2)/25)*Calculateur!V171*Calculateur!X171*VLOOKUP('Données projet'!$B$9,Paramètres!$A$1:$I$89,3,0)*0.475*44/12</f>
        <v>0.65359221175258275</v>
      </c>
      <c r="AB171" s="21">
        <f>EXP(-LN(2)/2)*AB170+(1-EXP(-LN(2)/2))/(LN(2)/2)*V171*Y171*VLOOKUP('Données projet'!$B$9,Paramètres!$A$1:$I$89,3,0)*0.475*44/12</f>
        <v>6.3843353430653105E-8</v>
      </c>
      <c r="AC171" s="22">
        <f t="shared" si="163"/>
        <v>23.204440022684196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268.00000000000011</v>
      </c>
      <c r="AJ171" s="13">
        <f>AI171*VLOOKUP('Données projet'!$B$10,Paramètres!$A$1:$I$89,3,0)*VLOOKUP('Données projet'!$B$10,Paramètres!$A$1:$I$89,5,0)</f>
        <v>271.75200000000012</v>
      </c>
      <c r="AK171" s="13">
        <f t="shared" si="164"/>
        <v>65.220947824724988</v>
      </c>
      <c r="AL171" s="20">
        <f t="shared" si="165"/>
        <v>586.89455079472953</v>
      </c>
      <c r="AM171" s="59">
        <f t="shared" si="113"/>
        <v>880.2278841280629</v>
      </c>
      <c r="AN171" s="59">
        <f ca="1">AVERAGE(OFFSET($AM$3,0,0,'Données projet'!$E$10+1,1))-AVERAGE(OFFSET($H$3,0,0,'Données projet'!$E$10+1,1))</f>
        <v>298.68533387773886</v>
      </c>
      <c r="AO171" s="59">
        <f t="shared" si="144"/>
        <v>176.04868734496114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25.272501785529958</v>
      </c>
      <c r="AV171" s="21">
        <f>EXP(-LN(2)/25)*AV170+(1-EXP(-LN(2)/25))/(LN(2)/25)*Calculateur!AQ171*Calculateur!AS171*VLOOKUP('Données projet'!$B$10,Paramètres!$A$1:$I$89,3,0)*0.475*44/12</f>
        <v>0.73247403041237713</v>
      </c>
      <c r="AW171" s="21">
        <f>EXP(-LN(2)/2)*AW170+(1-EXP(-LN(2)/2))/(LN(2)/2)*AQ171*AT171*VLOOKUP('Données projet'!$B$10,Paramètres!$A$1:$I$89,3,0)*0.475*44/12</f>
        <v>7.1548585741249283E-8</v>
      </c>
      <c r="AX171" s="21">
        <f t="shared" si="166"/>
        <v>26.004975887490922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-5.999999999994543E-2</v>
      </c>
      <c r="BE171" s="13">
        <f>BD171*VLOOKUP('Données projet'!$B$11,Paramètres!$A$1:$I$89,3,0)*VLOOKUP('Données projet'!$B$11,Paramètres!$A$1:$I$89,5,0)</f>
        <v>-2.8079999999974462E-2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83.62456509032836</v>
      </c>
      <c r="BJ171" s="59">
        <f t="shared" si="146"/>
        <v>131.53128089847871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8.5891041231820147</v>
      </c>
      <c r="BQ171" s="21">
        <f>EXP(-LN(2)/25)*BQ170+(1-EXP(-LN(2)/25))/(LN(2)/25)*Calculateur!BL171*Calculateur!BN171*VLOOKUP('Données projet'!$B$11,Paramètres!$A$1:$I$89,3,0)*0.475*44/12</f>
        <v>1.6610491078128911</v>
      </c>
      <c r="BR171" s="21">
        <f>EXP(-LN(2)/2)*BR170+(1-EXP(-LN(2)/2))/(LN(2)/2)*BL171*BO171*VLOOKUP('Données projet'!$B$11,Paramètres!$A$1:$I$89,3,0)*0.475*44/12</f>
        <v>2.4088972623964942E-15</v>
      </c>
      <c r="BS171" s="22">
        <f t="shared" si="169"/>
        <v>10.250153230994908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925.00000000000034</v>
      </c>
      <c r="BZ171" s="13">
        <f>BY171*VLOOKUP('Données projet'!$B$12,Paramètres!$A$1:$I$89,3,0)*VLOOKUP('Données projet'!$B$12,Paramètres!$A$1:$I$89,5,0)</f>
        <v>408.85000000000014</v>
      </c>
      <c r="CA171" s="13">
        <f t="shared" si="170"/>
        <v>93.568575358321141</v>
      </c>
      <c r="CB171" s="20">
        <f t="shared" si="171"/>
        <v>875.04568541574281</v>
      </c>
      <c r="CC171" s="59">
        <f t="shared" si="119"/>
        <v>1168.3790187490761</v>
      </c>
      <c r="CD171" s="59">
        <f ca="1">AVERAGE(OFFSET($CC$3,0,0,'Données projet'!$E$12+1,1))-AVERAGE(OFFSET($H$3,0,0,'Données projet'!$E$12+1,1))</f>
        <v>415.83983761562189</v>
      </c>
      <c r="CE171" s="59">
        <f t="shared" si="148"/>
        <v>339.37869344688829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11.970330359282917</v>
      </c>
      <c r="CL171" s="21">
        <f>EXP(-LN(2)/25)*CL170+(1-EXP(-LN(2)/25))/(LN(2)/25)*Calculateur!CG171*Calculateur!CI171*VLOOKUP('Données projet'!$B$12,Paramètres!$A$1:$I$89,3,0)*0.475*44/12</f>
        <v>2.5564593140029568</v>
      </c>
      <c r="CM171" s="21">
        <f>EXP(-LN(2)/2)*CM170+(1-EXP(-LN(2)/2))/(LN(2)/2)*CG171*CJ171*VLOOKUP('Données projet'!$B$12,Paramètres!$A$1:$I$89,3,0)*0.475*44/12</f>
        <v>1.394186606494566E-13</v>
      </c>
      <c r="CN171" s="22">
        <f t="shared" si="172"/>
        <v>14.526789673286013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268.00000000000011</v>
      </c>
      <c r="O172" s="13">
        <f>N172*VLOOKUP('Données projet'!$B$9,Paramètres!$A$1:$I$89,3,0)*VLOOKUP('Données projet'!$B$9,Paramètres!$A$1:$I$89,5,0)</f>
        <v>242.48640000000009</v>
      </c>
      <c r="P172" s="13">
        <f t="shared" si="141"/>
        <v>58.974170235372476</v>
      </c>
      <c r="Q172" s="20">
        <f t="shared" si="162"/>
        <v>525.04382649327385</v>
      </c>
      <c r="R172" s="59">
        <f t="shared" si="109"/>
        <v>818.37715982660711</v>
      </c>
      <c r="S172" s="59">
        <f ca="1">AVERAGE(OFFSET($R$3,0,0,'Données projet'!$E$9+1,1))-AVERAGE(OFFSET($H$3,0,0,'Données projet'!$E$9+1,1))</f>
        <v>258.68215148478868</v>
      </c>
      <c r="T172" s="59">
        <f t="shared" si="142"/>
        <v>153.16792125610209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22.108639377426826</v>
      </c>
      <c r="AA172" s="21">
        <f>EXP(-LN(2)/25)*AA171+(1-EXP(-LN(2)/25))/(LN(2)/25)*Calculateur!V172*Calculateur!X172*VLOOKUP('Données projet'!$B$9,Paramètres!$A$1:$I$89,3,0)*0.475*44/12</f>
        <v>0.63571969835128772</v>
      </c>
      <c r="AB172" s="21">
        <f>EXP(-LN(2)/2)*AB171+(1-EXP(-LN(2)/2))/(LN(2)/2)*V172*Y172*VLOOKUP('Données projet'!$B$9,Paramètres!$A$1:$I$89,3,0)*0.475*44/12</f>
        <v>4.5144068144504243E-8</v>
      </c>
      <c r="AC172" s="22">
        <f t="shared" si="163"/>
        <v>22.744359120922184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268.00000000000011</v>
      </c>
      <c r="AJ172" s="13">
        <f>AI172*VLOOKUP('Données projet'!$B$10,Paramètres!$A$1:$I$89,3,0)*VLOOKUP('Données projet'!$B$10,Paramètres!$A$1:$I$89,5,0)</f>
        <v>271.75200000000012</v>
      </c>
      <c r="AK172" s="13">
        <f t="shared" si="164"/>
        <v>65.220947824724988</v>
      </c>
      <c r="AL172" s="20">
        <f t="shared" si="165"/>
        <v>586.89455079472953</v>
      </c>
      <c r="AM172" s="59">
        <f t="shared" si="113"/>
        <v>880.2278841280629</v>
      </c>
      <c r="AN172" s="59">
        <f ca="1">AVERAGE(OFFSET($AM$3,0,0,'Données projet'!$E$10+1,1))-AVERAGE(OFFSET($H$3,0,0,'Données projet'!$E$10+1,1))</f>
        <v>298.68533387773886</v>
      </c>
      <c r="AO172" s="59">
        <f t="shared" si="144"/>
        <v>176.04868734496114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24.776923440219729</v>
      </c>
      <c r="AV172" s="21">
        <f>EXP(-LN(2)/25)*AV171+(1-EXP(-LN(2)/25))/(LN(2)/25)*Calculateur!AQ172*Calculateur!AS172*VLOOKUP('Données projet'!$B$10,Paramètres!$A$1:$I$89,3,0)*0.475*44/12</f>
        <v>0.71244448953161554</v>
      </c>
      <c r="AW172" s="21">
        <f>EXP(-LN(2)/2)*AW171+(1-EXP(-LN(2)/2))/(LN(2)/2)*AQ172*AT172*VLOOKUP('Données projet'!$B$10,Paramètres!$A$1:$I$89,3,0)*0.475*44/12</f>
        <v>5.0592490161944492E-8</v>
      </c>
      <c r="AX172" s="21">
        <f t="shared" si="166"/>
        <v>25.489367980343836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-5.999999999994543E-2</v>
      </c>
      <c r="BE172" s="13">
        <f>BD172*VLOOKUP('Données projet'!$B$11,Paramètres!$A$1:$I$89,3,0)*VLOOKUP('Données projet'!$B$11,Paramètres!$A$1:$I$89,5,0)</f>
        <v>-2.8079999999974462E-2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83.62456509032836</v>
      </c>
      <c r="BJ172" s="59">
        <f t="shared" si="146"/>
        <v>131.53128089847871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8.4206770301626381</v>
      </c>
      <c r="BQ172" s="21">
        <f>EXP(-LN(2)/25)*BQ171+(1-EXP(-LN(2)/25))/(LN(2)/25)*Calculateur!BL172*Calculateur!BN172*VLOOKUP('Données projet'!$B$11,Paramètres!$A$1:$I$89,3,0)*0.475*44/12</f>
        <v>1.6156276326089714</v>
      </c>
      <c r="BR172" s="21">
        <f>EXP(-LN(2)/2)*BR171+(1-EXP(-LN(2)/2))/(LN(2)/2)*BL172*BO172*VLOOKUP('Données projet'!$B$11,Paramètres!$A$1:$I$89,3,0)*0.475*44/12</f>
        <v>1.7033475894222712E-15</v>
      </c>
      <c r="BS172" s="22">
        <f t="shared" si="169"/>
        <v>10.036304662771611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925.00000000000034</v>
      </c>
      <c r="BZ172" s="13">
        <f>BY172*VLOOKUP('Données projet'!$B$12,Paramètres!$A$1:$I$89,3,0)*VLOOKUP('Données projet'!$B$12,Paramètres!$A$1:$I$89,5,0)</f>
        <v>408.85000000000014</v>
      </c>
      <c r="CA172" s="13">
        <f t="shared" si="170"/>
        <v>93.568575358321141</v>
      </c>
      <c r="CB172" s="20">
        <f t="shared" si="171"/>
        <v>875.04568541574281</v>
      </c>
      <c r="CC172" s="59">
        <f t="shared" si="119"/>
        <v>1168.3790187490761</v>
      </c>
      <c r="CD172" s="59">
        <f ca="1">AVERAGE(OFFSET($CC$3,0,0,'Données projet'!$E$12+1,1))-AVERAGE(OFFSET($H$3,0,0,'Données projet'!$E$12+1,1))</f>
        <v>415.83983761562189</v>
      </c>
      <c r="CE172" s="59">
        <f t="shared" si="148"/>
        <v>339.37869344688829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11.735599482117966</v>
      </c>
      <c r="CL172" s="21">
        <f>EXP(-LN(2)/25)*CL171+(1-EXP(-LN(2)/25))/(LN(2)/25)*Calculateur!CG172*Calculateur!CI172*VLOOKUP('Données projet'!$B$12,Paramètres!$A$1:$I$89,3,0)*0.475*44/12</f>
        <v>2.4865527996231935</v>
      </c>
      <c r="CM172" s="21">
        <f>EXP(-LN(2)/2)*CM171+(1-EXP(-LN(2)/2))/(LN(2)/2)*CG172*CJ172*VLOOKUP('Données projet'!$B$12,Paramètres!$A$1:$I$89,3,0)*0.475*44/12</f>
        <v>9.8583880369176835E-14</v>
      </c>
      <c r="CN172" s="22">
        <f t="shared" si="172"/>
        <v>14.222152281741257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268.00000000000011</v>
      </c>
      <c r="O173" s="13">
        <f>N173*VLOOKUP('Données projet'!$B$9,Paramètres!$A$1:$I$89,3,0)*VLOOKUP('Données projet'!$B$9,Paramètres!$A$1:$I$89,5,0)</f>
        <v>242.48640000000009</v>
      </c>
      <c r="P173" s="13">
        <f t="shared" si="141"/>
        <v>58.974170235372476</v>
      </c>
      <c r="Q173" s="20">
        <f t="shared" si="162"/>
        <v>525.04382649327385</v>
      </c>
      <c r="R173" s="59">
        <f t="shared" si="109"/>
        <v>818.37715982660711</v>
      </c>
      <c r="S173" s="59">
        <f ca="1">AVERAGE(OFFSET($R$3,0,0,'Données projet'!$E$9+1,1))-AVERAGE(OFFSET($H$3,0,0,'Données projet'!$E$9+1,1))</f>
        <v>258.68215148478868</v>
      </c>
      <c r="T173" s="59">
        <f t="shared" si="142"/>
        <v>153.16792125610209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21.67510244417398</v>
      </c>
      <c r="AA173" s="21">
        <f>EXP(-LN(2)/25)*AA172+(1-EXP(-LN(2)/25))/(LN(2)/25)*Calculateur!V173*Calculateur!X173*VLOOKUP('Données projet'!$B$9,Paramètres!$A$1:$I$89,3,0)*0.475*44/12</f>
        <v>0.6183359097688258</v>
      </c>
      <c r="AB173" s="21">
        <f>EXP(-LN(2)/2)*AB172+(1-EXP(-LN(2)/2))/(LN(2)/2)*V173*Y173*VLOOKUP('Données projet'!$B$9,Paramètres!$A$1:$I$89,3,0)*0.475*44/12</f>
        <v>3.1921676715326552E-8</v>
      </c>
      <c r="AC173" s="22">
        <f t="shared" si="163"/>
        <v>22.293438385864484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268.00000000000011</v>
      </c>
      <c r="AJ173" s="13">
        <f>AI173*VLOOKUP('Données projet'!$B$10,Paramètres!$A$1:$I$89,3,0)*VLOOKUP('Données projet'!$B$10,Paramètres!$A$1:$I$89,5,0)</f>
        <v>271.75200000000012</v>
      </c>
      <c r="AK173" s="13">
        <f t="shared" si="164"/>
        <v>65.220947824724988</v>
      </c>
      <c r="AL173" s="20">
        <f t="shared" si="165"/>
        <v>586.89455079472953</v>
      </c>
      <c r="AM173" s="59">
        <f t="shared" si="113"/>
        <v>880.2278841280629</v>
      </c>
      <c r="AN173" s="59">
        <f ca="1">AVERAGE(OFFSET($AM$3,0,0,'Données projet'!$E$10+1,1))-AVERAGE(OFFSET($H$3,0,0,'Données projet'!$E$10+1,1))</f>
        <v>298.68533387773886</v>
      </c>
      <c r="AO173" s="59">
        <f t="shared" si="144"/>
        <v>176.04868734496114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24.291063083988089</v>
      </c>
      <c r="AV173" s="21">
        <f>EXP(-LN(2)/25)*AV172+(1-EXP(-LN(2)/25))/(LN(2)/25)*Calculateur!AQ173*Calculateur!AS173*VLOOKUP('Données projet'!$B$10,Paramètres!$A$1:$I$89,3,0)*0.475*44/12</f>
        <v>0.69296265749954611</v>
      </c>
      <c r="AW173" s="21">
        <f>EXP(-LN(2)/2)*AW172+(1-EXP(-LN(2)/2))/(LN(2)/2)*AQ173*AT173*VLOOKUP('Données projet'!$B$10,Paramètres!$A$1:$I$89,3,0)*0.475*44/12</f>
        <v>3.5774292870624642E-8</v>
      </c>
      <c r="AX173" s="21">
        <f t="shared" si="166"/>
        <v>24.984025777261927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-5.999999999994543E-2</v>
      </c>
      <c r="BE173" s="13">
        <f>BD173*VLOOKUP('Données projet'!$B$11,Paramètres!$A$1:$I$89,3,0)*VLOOKUP('Données projet'!$B$11,Paramètres!$A$1:$I$89,5,0)</f>
        <v>-2.8079999999974462E-2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83.62456509032836</v>
      </c>
      <c r="BJ173" s="59">
        <f t="shared" si="146"/>
        <v>131.53128089847871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8.2555526897069882</v>
      </c>
      <c r="BQ173" s="21">
        <f>EXP(-LN(2)/25)*BQ172+(1-EXP(-LN(2)/25))/(LN(2)/25)*Calculateur!BL173*Calculateur!BN173*VLOOKUP('Données projet'!$B$11,Paramètres!$A$1:$I$89,3,0)*0.475*44/12</f>
        <v>1.5714482100331144</v>
      </c>
      <c r="BR173" s="21">
        <f>EXP(-LN(2)/2)*BR172+(1-EXP(-LN(2)/2))/(LN(2)/2)*BL173*BO173*VLOOKUP('Données projet'!$B$11,Paramètres!$A$1:$I$89,3,0)*0.475*44/12</f>
        <v>1.2044486311982471E-15</v>
      </c>
      <c r="BS173" s="22">
        <f t="shared" si="169"/>
        <v>9.8270008997401046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925.00000000000034</v>
      </c>
      <c r="BZ173" s="13">
        <f>BY173*VLOOKUP('Données projet'!$B$12,Paramètres!$A$1:$I$89,3,0)*VLOOKUP('Données projet'!$B$12,Paramètres!$A$1:$I$89,5,0)</f>
        <v>408.85000000000014</v>
      </c>
      <c r="CA173" s="13">
        <f t="shared" si="170"/>
        <v>93.568575358321141</v>
      </c>
      <c r="CB173" s="20">
        <f t="shared" si="171"/>
        <v>875.04568541574281</v>
      </c>
      <c r="CC173" s="59">
        <f t="shared" si="119"/>
        <v>1168.3790187490761</v>
      </c>
      <c r="CD173" s="59">
        <f ca="1">AVERAGE(OFFSET($CC$3,0,0,'Données projet'!$E$12+1,1))-AVERAGE(OFFSET($H$3,0,0,'Données projet'!$E$12+1,1))</f>
        <v>415.83983761562189</v>
      </c>
      <c r="CE173" s="59">
        <f t="shared" si="148"/>
        <v>339.37869344688829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11.505471534282522</v>
      </c>
      <c r="CL173" s="21">
        <f>EXP(-LN(2)/25)*CL172+(1-EXP(-LN(2)/25))/(LN(2)/25)*Calculateur!CG173*Calculateur!CI173*VLOOKUP('Données projet'!$B$12,Paramètres!$A$1:$I$89,3,0)*0.475*44/12</f>
        <v>2.4185578825553686</v>
      </c>
      <c r="CM173" s="21">
        <f>EXP(-LN(2)/2)*CM172+(1-EXP(-LN(2)/2))/(LN(2)/2)*CG173*CJ173*VLOOKUP('Données projet'!$B$12,Paramètres!$A$1:$I$89,3,0)*0.475*44/12</f>
        <v>6.9709330324728301E-14</v>
      </c>
      <c r="CN173" s="22">
        <f t="shared" si="172"/>
        <v>13.924029416837961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268.00000000000011</v>
      </c>
      <c r="O174" s="13">
        <f>N174*VLOOKUP('Données projet'!$B$9,Paramètres!$A$1:$I$89,3,0)*VLOOKUP('Données projet'!$B$9,Paramètres!$A$1:$I$89,5,0)</f>
        <v>242.48640000000009</v>
      </c>
      <c r="P174" s="13">
        <f t="shared" si="141"/>
        <v>58.974170235372476</v>
      </c>
      <c r="Q174" s="20">
        <f t="shared" si="162"/>
        <v>525.04382649327385</v>
      </c>
      <c r="R174" s="59">
        <f t="shared" si="109"/>
        <v>818.37715982660711</v>
      </c>
      <c r="S174" s="59">
        <f ca="1">AVERAGE(OFFSET($R$3,0,0,'Données projet'!$E$9+1,1))-AVERAGE(OFFSET($H$3,0,0,'Données projet'!$E$9+1,1))</f>
        <v>258.68215148478868</v>
      </c>
      <c r="T174" s="59">
        <f t="shared" si="142"/>
        <v>153.16792125610209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21.250066905750803</v>
      </c>
      <c r="AA174" s="21">
        <f>EXP(-LN(2)/25)*AA173+(1-EXP(-LN(2)/25))/(LN(2)/25)*Calculateur!V174*Calculateur!X174*VLOOKUP('Données projet'!$B$9,Paramètres!$A$1:$I$89,3,0)*0.475*44/12</f>
        <v>0.60142748179932504</v>
      </c>
      <c r="AB174" s="21">
        <f>EXP(-LN(2)/2)*AB173+(1-EXP(-LN(2)/2))/(LN(2)/2)*V174*Y174*VLOOKUP('Données projet'!$B$9,Paramètres!$A$1:$I$89,3,0)*0.475*44/12</f>
        <v>2.2572034072252122E-8</v>
      </c>
      <c r="AC174" s="22">
        <f t="shared" si="163"/>
        <v>21.851494410122161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268.00000000000011</v>
      </c>
      <c r="AJ174" s="13">
        <f>AI174*VLOOKUP('Données projet'!$B$10,Paramètres!$A$1:$I$89,3,0)*VLOOKUP('Données projet'!$B$10,Paramètres!$A$1:$I$89,5,0)</f>
        <v>271.75200000000012</v>
      </c>
      <c r="AK174" s="13">
        <f t="shared" si="164"/>
        <v>65.220947824724988</v>
      </c>
      <c r="AL174" s="20">
        <f t="shared" si="165"/>
        <v>586.89455079472953</v>
      </c>
      <c r="AM174" s="59">
        <f t="shared" si="113"/>
        <v>880.2278841280629</v>
      </c>
      <c r="AN174" s="59">
        <f ca="1">AVERAGE(OFFSET($AM$3,0,0,'Données projet'!$E$10+1,1))-AVERAGE(OFFSET($H$3,0,0,'Données projet'!$E$10+1,1))</f>
        <v>298.68533387773886</v>
      </c>
      <c r="AO174" s="59">
        <f t="shared" si="144"/>
        <v>176.04868734496114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23.814730152996596</v>
      </c>
      <c r="AV174" s="21">
        <f>EXP(-LN(2)/25)*AV173+(1-EXP(-LN(2)/25))/(LN(2)/25)*Calculateur!AQ174*Calculateur!AS174*VLOOKUP('Données projet'!$B$10,Paramètres!$A$1:$I$89,3,0)*0.475*44/12</f>
        <v>0.67401355718889866</v>
      </c>
      <c r="AW174" s="21">
        <f>EXP(-LN(2)/2)*AW173+(1-EXP(-LN(2)/2))/(LN(2)/2)*AQ174*AT174*VLOOKUP('Données projet'!$B$10,Paramètres!$A$1:$I$89,3,0)*0.475*44/12</f>
        <v>2.5296245080972246E-8</v>
      </c>
      <c r="AX174" s="21">
        <f t="shared" si="166"/>
        <v>24.488743735481741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-5.999999999994543E-2</v>
      </c>
      <c r="BE174" s="13">
        <f>BD174*VLOOKUP('Données projet'!$B$11,Paramètres!$A$1:$I$89,3,0)*VLOOKUP('Données projet'!$B$11,Paramètres!$A$1:$I$89,5,0)</f>
        <v>-2.8079999999974462E-2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83.62456509032836</v>
      </c>
      <c r="BJ174" s="59">
        <f t="shared" si="146"/>
        <v>131.53128089847871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8.0936663368517721</v>
      </c>
      <c r="BQ174" s="21">
        <f>EXP(-LN(2)/25)*BQ173+(1-EXP(-LN(2)/25))/(LN(2)/25)*Calculateur!BL174*Calculateur!BN174*VLOOKUP('Données projet'!$B$11,Paramètres!$A$1:$I$89,3,0)*0.475*44/12</f>
        <v>1.5284768760908891</v>
      </c>
      <c r="BR174" s="21">
        <f>EXP(-LN(2)/2)*BR173+(1-EXP(-LN(2)/2))/(LN(2)/2)*BL174*BO174*VLOOKUP('Données projet'!$B$11,Paramètres!$A$1:$I$89,3,0)*0.475*44/12</f>
        <v>8.516737947111356E-16</v>
      </c>
      <c r="BS174" s="22">
        <f t="shared" si="169"/>
        <v>9.6221432129426603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925.00000000000034</v>
      </c>
      <c r="BZ174" s="13">
        <f>BY174*VLOOKUP('Données projet'!$B$12,Paramètres!$A$1:$I$89,3,0)*VLOOKUP('Données projet'!$B$12,Paramètres!$A$1:$I$89,5,0)</f>
        <v>408.85000000000014</v>
      </c>
      <c r="CA174" s="13">
        <f t="shared" si="170"/>
        <v>93.568575358321141</v>
      </c>
      <c r="CB174" s="20">
        <f t="shared" si="171"/>
        <v>875.04568541574281</v>
      </c>
      <c r="CC174" s="59">
        <f t="shared" si="119"/>
        <v>1168.3790187490761</v>
      </c>
      <c r="CD174" s="59">
        <f ca="1">AVERAGE(OFFSET($CC$3,0,0,'Données projet'!$E$12+1,1))-AVERAGE(OFFSET($H$3,0,0,'Données projet'!$E$12+1,1))</f>
        <v>415.83983761562189</v>
      </c>
      <c r="CE174" s="59">
        <f t="shared" si="148"/>
        <v>339.37869344688829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11.279856255139943</v>
      </c>
      <c r="CL174" s="21">
        <f>EXP(-LN(2)/25)*CL173+(1-EXP(-LN(2)/25))/(LN(2)/25)*Calculateur!CG174*Calculateur!CI174*VLOOKUP('Données projet'!$B$12,Paramètres!$A$1:$I$89,3,0)*0.475*44/12</f>
        <v>2.3524222900704608</v>
      </c>
      <c r="CM174" s="21">
        <f>EXP(-LN(2)/2)*CM173+(1-EXP(-LN(2)/2))/(LN(2)/2)*CG174*CJ174*VLOOKUP('Données projet'!$B$12,Paramètres!$A$1:$I$89,3,0)*0.475*44/12</f>
        <v>4.9291940184588417E-14</v>
      </c>
      <c r="CN174" s="22">
        <f t="shared" si="172"/>
        <v>13.632278545210454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268.00000000000011</v>
      </c>
      <c r="O175" s="13">
        <f>N175*VLOOKUP('Données projet'!$B$9,Paramètres!$A$1:$I$89,3,0)*VLOOKUP('Données projet'!$B$9,Paramètres!$A$1:$I$89,5,0)</f>
        <v>242.48640000000009</v>
      </c>
      <c r="P175" s="13">
        <f t="shared" si="141"/>
        <v>58.974170235372476</v>
      </c>
      <c r="Q175" s="20">
        <f t="shared" si="162"/>
        <v>525.04382649327385</v>
      </c>
      <c r="R175" s="59">
        <f t="shared" si="109"/>
        <v>818.37715982660711</v>
      </c>
      <c r="S175" s="59">
        <f ca="1">AVERAGE(OFFSET($R$3,0,0,'Données projet'!$E$9+1,1))-AVERAGE(OFFSET($H$3,0,0,'Données projet'!$E$9+1,1))</f>
        <v>258.68215148478868</v>
      </c>
      <c r="T175" s="59">
        <f t="shared" si="142"/>
        <v>153.16792125610209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20.833366054990023</v>
      </c>
      <c r="AA175" s="21">
        <f>EXP(-LN(2)/25)*AA174+(1-EXP(-LN(2)/25))/(LN(2)/25)*Calculateur!V175*Calculateur!X175*VLOOKUP('Données projet'!$B$9,Paramètres!$A$1:$I$89,3,0)*0.475*44/12</f>
        <v>0.58498141568182582</v>
      </c>
      <c r="AB175" s="21">
        <f>EXP(-LN(2)/2)*AB174+(1-EXP(-LN(2)/2))/(LN(2)/2)*V175*Y175*VLOOKUP('Données projet'!$B$9,Paramètres!$A$1:$I$89,3,0)*0.475*44/12</f>
        <v>1.5960838357663276E-8</v>
      </c>
      <c r="AC175" s="22">
        <f t="shared" si="163"/>
        <v>21.418347486632687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268.00000000000011</v>
      </c>
      <c r="AJ175" s="13">
        <f>AI175*VLOOKUP('Données projet'!$B$10,Paramètres!$A$1:$I$89,3,0)*VLOOKUP('Données projet'!$B$10,Paramètres!$A$1:$I$89,5,0)</f>
        <v>271.75200000000012</v>
      </c>
      <c r="AK175" s="13">
        <f t="shared" si="164"/>
        <v>65.220947824724988</v>
      </c>
      <c r="AL175" s="20">
        <f t="shared" si="165"/>
        <v>586.89455079472953</v>
      </c>
      <c r="AM175" s="59">
        <f t="shared" si="113"/>
        <v>880.2278841280629</v>
      </c>
      <c r="AN175" s="59">
        <f ca="1">AVERAGE(OFFSET($AM$3,0,0,'Données projet'!$E$10+1,1))-AVERAGE(OFFSET($H$3,0,0,'Données projet'!$E$10+1,1))</f>
        <v>298.68533387773886</v>
      </c>
      <c r="AO175" s="59">
        <f t="shared" si="144"/>
        <v>176.04868734496114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23.347737820247445</v>
      </c>
      <c r="AV175" s="21">
        <f>EXP(-LN(2)/25)*AV174+(1-EXP(-LN(2)/25))/(LN(2)/25)*Calculateur!AQ175*Calculateur!AS175*VLOOKUP('Données projet'!$B$10,Paramètres!$A$1:$I$89,3,0)*0.475*44/12</f>
        <v>0.65558262102273568</v>
      </c>
      <c r="AW175" s="21">
        <f>EXP(-LN(2)/2)*AW174+(1-EXP(-LN(2)/2))/(LN(2)/2)*AQ175*AT175*VLOOKUP('Données projet'!$B$10,Paramètres!$A$1:$I$89,3,0)*0.475*44/12</f>
        <v>1.7887146435312321E-8</v>
      </c>
      <c r="AX175" s="21">
        <f t="shared" si="166"/>
        <v>24.003320459157326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-5.999999999994543E-2</v>
      </c>
      <c r="BE175" s="13">
        <f>BD175*VLOOKUP('Données projet'!$B$11,Paramètres!$A$1:$I$89,3,0)*VLOOKUP('Données projet'!$B$11,Paramètres!$A$1:$I$89,5,0)</f>
        <v>-2.8079999999974462E-2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83.62456509032836</v>
      </c>
      <c r="BJ175" s="59">
        <f t="shared" si="146"/>
        <v>131.53128089847871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7.934954476635121</v>
      </c>
      <c r="BQ175" s="21">
        <f>EXP(-LN(2)/25)*BQ174+(1-EXP(-LN(2)/25))/(LN(2)/25)*Calculateur!BL175*Calculateur!BN175*VLOOKUP('Données projet'!$B$11,Paramètres!$A$1:$I$89,3,0)*0.475*44/12</f>
        <v>1.4866805955350781</v>
      </c>
      <c r="BR175" s="21">
        <f>EXP(-LN(2)/2)*BR174+(1-EXP(-LN(2)/2))/(LN(2)/2)*BL175*BO175*VLOOKUP('Données projet'!$B$11,Paramètres!$A$1:$I$89,3,0)*0.475*44/12</f>
        <v>6.0222431559912355E-16</v>
      </c>
      <c r="BS175" s="22">
        <f t="shared" si="169"/>
        <v>9.4216350721701989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925.00000000000034</v>
      </c>
      <c r="BZ175" s="13">
        <f>BY175*VLOOKUP('Données projet'!$B$12,Paramètres!$A$1:$I$89,3,0)*VLOOKUP('Données projet'!$B$12,Paramètres!$A$1:$I$89,5,0)</f>
        <v>408.85000000000014</v>
      </c>
      <c r="CA175" s="13">
        <f t="shared" si="170"/>
        <v>93.568575358321141</v>
      </c>
      <c r="CB175" s="20">
        <f t="shared" si="171"/>
        <v>875.04568541574281</v>
      </c>
      <c r="CC175" s="59">
        <f t="shared" si="119"/>
        <v>1168.3790187490761</v>
      </c>
      <c r="CD175" s="59">
        <f ca="1">AVERAGE(OFFSET($CC$3,0,0,'Données projet'!$E$12+1,1))-AVERAGE(OFFSET($H$3,0,0,'Données projet'!$E$12+1,1))</f>
        <v>415.83983761562189</v>
      </c>
      <c r="CE175" s="59">
        <f t="shared" si="148"/>
        <v>339.37869344688829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11.058665154009619</v>
      </c>
      <c r="CL175" s="21">
        <f>EXP(-LN(2)/25)*CL174+(1-EXP(-LN(2)/25))/(LN(2)/25)*Calculateur!CG175*Calculateur!CI175*VLOOKUP('Données projet'!$B$12,Paramètres!$A$1:$I$89,3,0)*0.475*44/12</f>
        <v>2.2880951788399724</v>
      </c>
      <c r="CM175" s="21">
        <f>EXP(-LN(2)/2)*CM174+(1-EXP(-LN(2)/2))/(LN(2)/2)*CG175*CJ175*VLOOKUP('Données projet'!$B$12,Paramètres!$A$1:$I$89,3,0)*0.475*44/12</f>
        <v>3.485466516236415E-14</v>
      </c>
      <c r="CN175" s="22">
        <f t="shared" si="172"/>
        <v>13.346760332849627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268.00000000000011</v>
      </c>
      <c r="O176" s="13">
        <f>N176*VLOOKUP('Données projet'!$B$9,Paramètres!$A$1:$I$89,3,0)*VLOOKUP('Données projet'!$B$9,Paramètres!$A$1:$I$89,5,0)</f>
        <v>242.48640000000009</v>
      </c>
      <c r="P176" s="13">
        <f t="shared" si="141"/>
        <v>58.974170235372476</v>
      </c>
      <c r="Q176" s="20">
        <f t="shared" si="162"/>
        <v>525.04382649327385</v>
      </c>
      <c r="R176" s="59">
        <f t="shared" si="109"/>
        <v>818.37715982660711</v>
      </c>
      <c r="S176" s="59">
        <f ca="1">AVERAGE(OFFSET($R$3,0,0,'Données projet'!$E$9+1,1))-AVERAGE(OFFSET($H$3,0,0,'Données projet'!$E$9+1,1))</f>
        <v>258.68215148478868</v>
      </c>
      <c r="T176" s="59">
        <f t="shared" si="142"/>
        <v>153.16792125610209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20.424836453750242</v>
      </c>
      <c r="AA176" s="21">
        <f>EXP(-LN(2)/25)*AA175+(1-EXP(-LN(2)/25))/(LN(2)/25)*Calculateur!V176*Calculateur!X176*VLOOKUP('Données projet'!$B$9,Paramètres!$A$1:$I$89,3,0)*0.475*44/12</f>
        <v>0.56898506810717064</v>
      </c>
      <c r="AB176" s="21">
        <f>EXP(-LN(2)/2)*AB175+(1-EXP(-LN(2)/2))/(LN(2)/2)*V176*Y176*VLOOKUP('Données projet'!$B$9,Paramètres!$A$1:$I$89,3,0)*0.475*44/12</f>
        <v>1.1286017036126061E-8</v>
      </c>
      <c r="AC176" s="22">
        <f t="shared" si="163"/>
        <v>20.993821533143429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268.00000000000011</v>
      </c>
      <c r="AJ176" s="13">
        <f>AI176*VLOOKUP('Données projet'!$B$10,Paramètres!$A$1:$I$89,3,0)*VLOOKUP('Données projet'!$B$10,Paramètres!$A$1:$I$89,5,0)</f>
        <v>271.75200000000012</v>
      </c>
      <c r="AK176" s="13">
        <f t="shared" si="164"/>
        <v>65.220947824724988</v>
      </c>
      <c r="AL176" s="20">
        <f t="shared" si="165"/>
        <v>586.89455079472953</v>
      </c>
      <c r="AM176" s="59">
        <f t="shared" si="113"/>
        <v>880.2278841280629</v>
      </c>
      <c r="AN176" s="59">
        <f ca="1">AVERAGE(OFFSET($AM$3,0,0,'Données projet'!$E$10+1,1))-AVERAGE(OFFSET($H$3,0,0,'Données projet'!$E$10+1,1))</f>
        <v>298.68533387773886</v>
      </c>
      <c r="AO176" s="59">
        <f t="shared" si="144"/>
        <v>176.04868734496114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22.889902922306309</v>
      </c>
      <c r="AV176" s="21">
        <f>EXP(-LN(2)/25)*AV175+(1-EXP(-LN(2)/25))/(LN(2)/25)*Calculateur!AQ176*Calculateur!AS176*VLOOKUP('Données projet'!$B$10,Paramètres!$A$1:$I$89,3,0)*0.475*44/12</f>
        <v>0.63765567977527726</v>
      </c>
      <c r="AW176" s="21">
        <f>EXP(-LN(2)/2)*AW175+(1-EXP(-LN(2)/2))/(LN(2)/2)*AQ176*AT176*VLOOKUP('Données projet'!$B$10,Paramètres!$A$1:$I$89,3,0)*0.475*44/12</f>
        <v>1.2648122540486123E-8</v>
      </c>
      <c r="AX176" s="21">
        <f t="shared" si="166"/>
        <v>23.52755861472971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-5.999999999994543E-2</v>
      </c>
      <c r="BE176" s="13">
        <f>BD176*VLOOKUP('Données projet'!$B$11,Paramètres!$A$1:$I$89,3,0)*VLOOKUP('Données projet'!$B$11,Paramètres!$A$1:$I$89,5,0)</f>
        <v>-2.8079999999974462E-2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83.62456509032836</v>
      </c>
      <c r="BJ176" s="59">
        <f t="shared" si="146"/>
        <v>131.53128089847871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7.779354859192642</v>
      </c>
      <c r="BQ176" s="21">
        <f>EXP(-LN(2)/25)*BQ175+(1-EXP(-LN(2)/25))/(LN(2)/25)*Calculateur!BL176*Calculateur!BN176*VLOOKUP('Données projet'!$B$11,Paramètres!$A$1:$I$89,3,0)*0.475*44/12</f>
        <v>1.4460272364690367</v>
      </c>
      <c r="BR176" s="21">
        <f>EXP(-LN(2)/2)*BR175+(1-EXP(-LN(2)/2))/(LN(2)/2)*BL176*BO176*VLOOKUP('Données projet'!$B$11,Paramètres!$A$1:$I$89,3,0)*0.475*44/12</f>
        <v>4.258368973555678E-16</v>
      </c>
      <c r="BS176" s="22">
        <f t="shared" si="169"/>
        <v>9.2253820956616792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925.00000000000034</v>
      </c>
      <c r="BZ176" s="13">
        <f>BY176*VLOOKUP('Données projet'!$B$12,Paramètres!$A$1:$I$89,3,0)*VLOOKUP('Données projet'!$B$12,Paramètres!$A$1:$I$89,5,0)</f>
        <v>408.85000000000014</v>
      </c>
      <c r="CA176" s="13">
        <f t="shared" si="170"/>
        <v>93.568575358321141</v>
      </c>
      <c r="CB176" s="20">
        <f t="shared" si="171"/>
        <v>875.04568541574281</v>
      </c>
      <c r="CC176" s="59">
        <f t="shared" si="119"/>
        <v>1168.3790187490761</v>
      </c>
      <c r="CD176" s="59">
        <f ca="1">AVERAGE(OFFSET($CC$3,0,0,'Données projet'!$E$12+1,1))-AVERAGE(OFFSET($H$3,0,0,'Données projet'!$E$12+1,1))</f>
        <v>415.83983761562189</v>
      </c>
      <c r="CE176" s="59">
        <f t="shared" si="148"/>
        <v>339.37869344688829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10.84181147545921</v>
      </c>
      <c r="CL176" s="21">
        <f>EXP(-LN(2)/25)*CL175+(1-EXP(-LN(2)/25))/(LN(2)/25)*Calculateur!CG176*Calculateur!CI176*VLOOKUP('Données projet'!$B$12,Paramètres!$A$1:$I$89,3,0)*0.475*44/12</f>
        <v>2.2255270958488973</v>
      </c>
      <c r="CM176" s="21">
        <f>EXP(-LN(2)/2)*CM175+(1-EXP(-LN(2)/2))/(LN(2)/2)*CG176*CJ176*VLOOKUP('Données projet'!$B$12,Paramètres!$A$1:$I$89,3,0)*0.475*44/12</f>
        <v>2.4645970092294209E-14</v>
      </c>
      <c r="CN176" s="22">
        <f t="shared" si="172"/>
        <v>13.067338571308131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268.00000000000011</v>
      </c>
      <c r="O177" s="13">
        <f>N177*VLOOKUP('Données projet'!$B$9,Paramètres!$A$1:$I$89,3,0)*VLOOKUP('Données projet'!$B$9,Paramètres!$A$1:$I$89,5,0)</f>
        <v>242.48640000000009</v>
      </c>
      <c r="P177" s="13">
        <f t="shared" si="141"/>
        <v>58.974170235372476</v>
      </c>
      <c r="Q177" s="20">
        <f t="shared" si="162"/>
        <v>525.04382649327385</v>
      </c>
      <c r="R177" s="59">
        <f t="shared" si="109"/>
        <v>818.37715982660711</v>
      </c>
      <c r="S177" s="59">
        <f ca="1">AVERAGE(OFFSET($R$3,0,0,'Données projet'!$E$9+1,1))-AVERAGE(OFFSET($H$3,0,0,'Données projet'!$E$9+1,1))</f>
        <v>258.68215148478868</v>
      </c>
      <c r="T177" s="59">
        <f t="shared" si="142"/>
        <v>153.16792125610209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20.024317868812318</v>
      </c>
      <c r="AA177" s="21">
        <f>EXP(-LN(2)/25)*AA176+(1-EXP(-LN(2)/25))/(LN(2)/25)*Calculateur!V177*Calculateur!X177*VLOOKUP('Données projet'!$B$9,Paramètres!$A$1:$I$89,3,0)*0.475*44/12</f>
        <v>0.55342614149815572</v>
      </c>
      <c r="AB177" s="21">
        <f>EXP(-LN(2)/2)*AB176+(1-EXP(-LN(2)/2))/(LN(2)/2)*V177*Y177*VLOOKUP('Données projet'!$B$9,Paramètres!$A$1:$I$89,3,0)*0.475*44/12</f>
        <v>7.9804191788316381E-9</v>
      </c>
      <c r="AC177" s="22">
        <f t="shared" si="163"/>
        <v>20.577744018290893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268.00000000000011</v>
      </c>
      <c r="AJ177" s="13">
        <f>AI177*VLOOKUP('Données projet'!$B$10,Paramètres!$A$1:$I$89,3,0)*VLOOKUP('Données projet'!$B$10,Paramètres!$A$1:$I$89,5,0)</f>
        <v>271.75200000000012</v>
      </c>
      <c r="AK177" s="13">
        <f t="shared" si="164"/>
        <v>65.220947824724988</v>
      </c>
      <c r="AL177" s="20">
        <f t="shared" si="165"/>
        <v>586.89455079472953</v>
      </c>
      <c r="AM177" s="59">
        <f t="shared" si="113"/>
        <v>880.2278841280629</v>
      </c>
      <c r="AN177" s="59">
        <f ca="1">AVERAGE(OFFSET($AM$3,0,0,'Données projet'!$E$10+1,1))-AVERAGE(OFFSET($H$3,0,0,'Données projet'!$E$10+1,1))</f>
        <v>298.68533387773886</v>
      </c>
      <c r="AO177" s="59">
        <f t="shared" si="144"/>
        <v>176.04868734496114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22.441045887462085</v>
      </c>
      <c r="AV177" s="21">
        <f>EXP(-LN(2)/25)*AV176+(1-EXP(-LN(2)/25))/(LN(2)/25)*Calculateur!AQ177*Calculateur!AS177*VLOOKUP('Données projet'!$B$10,Paramètres!$A$1:$I$89,3,0)*0.475*44/12</f>
        <v>0.62021895167896746</v>
      </c>
      <c r="AW177" s="21">
        <f>EXP(-LN(2)/2)*AW176+(1-EXP(-LN(2)/2))/(LN(2)/2)*AQ177*AT177*VLOOKUP('Données projet'!$B$10,Paramètres!$A$1:$I$89,3,0)*0.475*44/12</f>
        <v>8.9435732176561604E-9</v>
      </c>
      <c r="AX177" s="21">
        <f t="shared" si="166"/>
        <v>23.061264848084626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-5.999999999994543E-2</v>
      </c>
      <c r="BE177" s="13">
        <f>BD177*VLOOKUP('Données projet'!$B$11,Paramètres!$A$1:$I$89,3,0)*VLOOKUP('Données projet'!$B$11,Paramètres!$A$1:$I$89,5,0)</f>
        <v>-2.8079999999974462E-2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83.62456509032836</v>
      </c>
      <c r="BJ177" s="59">
        <f t="shared" si="146"/>
        <v>131.53128089847871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7.6268064553418151</v>
      </c>
      <c r="BQ177" s="21">
        <f>EXP(-LN(2)/25)*BQ176+(1-EXP(-LN(2)/25))/(LN(2)/25)*Calculateur!BL177*Calculateur!BN177*VLOOKUP('Données projet'!$B$11,Paramètres!$A$1:$I$89,3,0)*0.475*44/12</f>
        <v>1.4064855456445235</v>
      </c>
      <c r="BR177" s="21">
        <f>EXP(-LN(2)/2)*BR176+(1-EXP(-LN(2)/2))/(LN(2)/2)*BL177*BO177*VLOOKUP('Données projet'!$B$11,Paramètres!$A$1:$I$89,3,0)*0.475*44/12</f>
        <v>3.0111215779956178E-16</v>
      </c>
      <c r="BS177" s="22">
        <f t="shared" si="169"/>
        <v>9.0332920009863393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925.00000000000034</v>
      </c>
      <c r="BZ177" s="13">
        <f>BY177*VLOOKUP('Données projet'!$B$12,Paramètres!$A$1:$I$89,3,0)*VLOOKUP('Données projet'!$B$12,Paramètres!$A$1:$I$89,5,0)</f>
        <v>408.85000000000014</v>
      </c>
      <c r="CA177" s="13">
        <f t="shared" si="170"/>
        <v>93.568575358321141</v>
      </c>
      <c r="CB177" s="20">
        <f t="shared" si="171"/>
        <v>875.04568541574281</v>
      </c>
      <c r="CC177" s="59">
        <f t="shared" si="119"/>
        <v>1168.3790187490761</v>
      </c>
      <c r="CD177" s="59">
        <f ca="1">AVERAGE(OFFSET($CC$3,0,0,'Données projet'!$E$12+1,1))-AVERAGE(OFFSET($H$3,0,0,'Données projet'!$E$12+1,1))</f>
        <v>415.83983761562189</v>
      </c>
      <c r="CE177" s="59">
        <f t="shared" si="148"/>
        <v>339.37869344688829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10.62921016527749</v>
      </c>
      <c r="CL177" s="21">
        <f>EXP(-LN(2)/25)*CL176+(1-EXP(-LN(2)/25))/(LN(2)/25)*Calculateur!CG177*Calculateur!CI177*VLOOKUP('Données projet'!$B$12,Paramètres!$A$1:$I$89,3,0)*0.475*44/12</f>
        <v>2.1646699403775256</v>
      </c>
      <c r="CM177" s="21">
        <f>EXP(-LN(2)/2)*CM176+(1-EXP(-LN(2)/2))/(LN(2)/2)*CG177*CJ177*VLOOKUP('Données projet'!$B$12,Paramètres!$A$1:$I$89,3,0)*0.475*44/12</f>
        <v>1.7427332581182075E-14</v>
      </c>
      <c r="CN177" s="22">
        <f t="shared" si="172"/>
        <v>12.793880105655033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268.00000000000011</v>
      </c>
      <c r="O178" s="13">
        <f>N178*VLOOKUP('Données projet'!$B$9,Paramètres!$A$1:$I$89,3,0)*VLOOKUP('Données projet'!$B$9,Paramètres!$A$1:$I$89,5,0)</f>
        <v>242.48640000000009</v>
      </c>
      <c r="P178" s="13">
        <f t="shared" si="141"/>
        <v>58.974170235372476</v>
      </c>
      <c r="Q178" s="20">
        <f t="shared" si="162"/>
        <v>525.04382649327385</v>
      </c>
      <c r="R178" s="59">
        <f t="shared" si="109"/>
        <v>818.37715982660711</v>
      </c>
      <c r="S178" s="59">
        <f ca="1">AVERAGE(OFFSET($R$3,0,0,'Données projet'!$E$9+1,1))-AVERAGE(OFFSET($H$3,0,0,'Données projet'!$E$9+1,1))</f>
        <v>258.68215148478868</v>
      </c>
      <c r="T178" s="59">
        <f t="shared" si="142"/>
        <v>153.16792125610209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19.631653209032812</v>
      </c>
      <c r="AA178" s="21">
        <f>EXP(-LN(2)/25)*AA177+(1-EXP(-LN(2)/25))/(LN(2)/25)*Calculateur!V178*Calculateur!X178*VLOOKUP('Données projet'!$B$9,Paramètres!$A$1:$I$89,3,0)*0.475*44/12</f>
        <v>0.53829267455547269</v>
      </c>
      <c r="AB178" s="21">
        <f>EXP(-LN(2)/2)*AB177+(1-EXP(-LN(2)/2))/(LN(2)/2)*V178*Y178*VLOOKUP('Données projet'!$B$9,Paramètres!$A$1:$I$89,3,0)*0.475*44/12</f>
        <v>5.6430085180630304E-9</v>
      </c>
      <c r="AC178" s="22">
        <f t="shared" si="163"/>
        <v>20.169945889231293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268.00000000000011</v>
      </c>
      <c r="AJ178" s="13">
        <f>AI178*VLOOKUP('Données projet'!$B$10,Paramètres!$A$1:$I$89,3,0)*VLOOKUP('Données projet'!$B$10,Paramètres!$A$1:$I$89,5,0)</f>
        <v>271.75200000000012</v>
      </c>
      <c r="AK178" s="13">
        <f t="shared" si="164"/>
        <v>65.220947824724988</v>
      </c>
      <c r="AL178" s="20">
        <f t="shared" si="165"/>
        <v>586.89455079472953</v>
      </c>
      <c r="AM178" s="59">
        <f t="shared" si="113"/>
        <v>880.2278841280629</v>
      </c>
      <c r="AN178" s="59">
        <f ca="1">AVERAGE(OFFSET($AM$3,0,0,'Données projet'!$E$10+1,1))-AVERAGE(OFFSET($H$3,0,0,'Données projet'!$E$10+1,1))</f>
        <v>298.68533387773886</v>
      </c>
      <c r="AO178" s="59">
        <f t="shared" si="144"/>
        <v>176.04868734496114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22.000990665295397</v>
      </c>
      <c r="AV178" s="21">
        <f>EXP(-LN(2)/25)*AV177+(1-EXP(-LN(2)/25))/(LN(2)/25)*Calculateur!AQ178*Calculateur!AS178*VLOOKUP('Données projet'!$B$10,Paramètres!$A$1:$I$89,3,0)*0.475*44/12</f>
        <v>0.60325903182940899</v>
      </c>
      <c r="AW178" s="21">
        <f>EXP(-LN(2)/2)*AW177+(1-EXP(-LN(2)/2))/(LN(2)/2)*AQ178*AT178*VLOOKUP('Données projet'!$B$10,Paramètres!$A$1:$I$89,3,0)*0.475*44/12</f>
        <v>6.3240612702430615E-9</v>
      </c>
      <c r="AX178" s="21">
        <f t="shared" si="166"/>
        <v>22.604249703448868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-5.999999999994543E-2</v>
      </c>
      <c r="BE178" s="13">
        <f>BD178*VLOOKUP('Données projet'!$B$11,Paramètres!$A$1:$I$89,3,0)*VLOOKUP('Données projet'!$B$11,Paramètres!$A$1:$I$89,5,0)</f>
        <v>-2.8079999999974462E-2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83.62456509032836</v>
      </c>
      <c r="BJ178" s="59">
        <f t="shared" si="146"/>
        <v>131.53128089847871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7.4772494326451637</v>
      </c>
      <c r="BQ178" s="21">
        <f>EXP(-LN(2)/25)*BQ177+(1-EXP(-LN(2)/25))/(LN(2)/25)*Calculateur!BL178*Calculateur!BN178*VLOOKUP('Données projet'!$B$11,Paramètres!$A$1:$I$89,3,0)*0.475*44/12</f>
        <v>1.3680251244350137</v>
      </c>
      <c r="BR178" s="21">
        <f>EXP(-LN(2)/2)*BR177+(1-EXP(-LN(2)/2))/(LN(2)/2)*BL178*BO178*VLOOKUP('Données projet'!$B$11,Paramètres!$A$1:$I$89,3,0)*0.475*44/12</f>
        <v>2.129184486777839E-16</v>
      </c>
      <c r="BS178" s="22">
        <f t="shared" si="169"/>
        <v>8.8452745570801774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925.00000000000034</v>
      </c>
      <c r="BZ178" s="13">
        <f>BY178*VLOOKUP('Données projet'!$B$12,Paramètres!$A$1:$I$89,3,0)*VLOOKUP('Données projet'!$B$12,Paramètres!$A$1:$I$89,5,0)</f>
        <v>408.85000000000014</v>
      </c>
      <c r="CA178" s="13">
        <f t="shared" si="170"/>
        <v>93.568575358321141</v>
      </c>
      <c r="CB178" s="20">
        <f t="shared" si="171"/>
        <v>875.04568541574281</v>
      </c>
      <c r="CC178" s="59">
        <f t="shared" si="119"/>
        <v>1168.3790187490761</v>
      </c>
      <c r="CD178" s="59">
        <f ca="1">AVERAGE(OFFSET($CC$3,0,0,'Données projet'!$E$12+1,1))-AVERAGE(OFFSET($H$3,0,0,'Données projet'!$E$12+1,1))</f>
        <v>415.83983761562189</v>
      </c>
      <c r="CE178" s="59">
        <f t="shared" si="148"/>
        <v>339.37869344688829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10.420777837114439</v>
      </c>
      <c r="CL178" s="21">
        <f>EXP(-LN(2)/25)*CL177+(1-EXP(-LN(2)/25))/(LN(2)/25)*Calculateur!CG178*Calculateur!CI178*VLOOKUP('Données projet'!$B$12,Paramètres!$A$1:$I$89,3,0)*0.475*44/12</f>
        <v>2.1054769270228575</v>
      </c>
      <c r="CM178" s="21">
        <f>EXP(-LN(2)/2)*CM177+(1-EXP(-LN(2)/2))/(LN(2)/2)*CG178*CJ178*VLOOKUP('Données projet'!$B$12,Paramètres!$A$1:$I$89,3,0)*0.475*44/12</f>
        <v>1.2322985046147104E-14</v>
      </c>
      <c r="CN178" s="22">
        <f t="shared" si="172"/>
        <v>12.52625476413731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268.00000000000011</v>
      </c>
      <c r="O179" s="13">
        <f>N179*VLOOKUP('Données projet'!$B$9,Paramètres!$A$1:$I$89,3,0)*VLOOKUP('Données projet'!$B$9,Paramètres!$A$1:$I$89,5,0)</f>
        <v>242.48640000000009</v>
      </c>
      <c r="P179" s="13">
        <f t="shared" si="141"/>
        <v>58.974170235372476</v>
      </c>
      <c r="Q179" s="20">
        <f t="shared" si="162"/>
        <v>525.04382649327385</v>
      </c>
      <c r="R179" s="59">
        <f t="shared" si="109"/>
        <v>818.37715982660711</v>
      </c>
      <c r="S179" s="59">
        <f ca="1">AVERAGE(OFFSET($R$3,0,0,'Données projet'!$E$9+1,1))-AVERAGE(OFFSET($H$3,0,0,'Données projet'!$E$9+1,1))</f>
        <v>258.68215148478868</v>
      </c>
      <c r="T179" s="59">
        <f t="shared" si="142"/>
        <v>153.16792125610209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19.246688463729789</v>
      </c>
      <c r="AA179" s="21">
        <f>EXP(-LN(2)/25)*AA178+(1-EXP(-LN(2)/25))/(LN(2)/25)*Calculateur!V179*Calculateur!X179*VLOOKUP('Données projet'!$B$9,Paramètres!$A$1:$I$89,3,0)*0.475*44/12</f>
        <v>0.52357303306217184</v>
      </c>
      <c r="AB179" s="21">
        <f>EXP(-LN(2)/2)*AB178+(1-EXP(-LN(2)/2))/(LN(2)/2)*V179*Y179*VLOOKUP('Données projet'!$B$9,Paramètres!$A$1:$I$89,3,0)*0.475*44/12</f>
        <v>3.990209589415819E-9</v>
      </c>
      <c r="AC179" s="22">
        <f t="shared" si="163"/>
        <v>19.770261500782169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268.00000000000011</v>
      </c>
      <c r="AJ179" s="13">
        <f>AI179*VLOOKUP('Données projet'!$B$10,Paramètres!$A$1:$I$89,3,0)*VLOOKUP('Données projet'!$B$10,Paramètres!$A$1:$I$89,5,0)</f>
        <v>271.75200000000012</v>
      </c>
      <c r="AK179" s="13">
        <f t="shared" si="164"/>
        <v>65.220947824724988</v>
      </c>
      <c r="AL179" s="20">
        <f t="shared" si="165"/>
        <v>586.89455079472953</v>
      </c>
      <c r="AM179" s="59">
        <f t="shared" si="113"/>
        <v>880.2278841280629</v>
      </c>
      <c r="AN179" s="59">
        <f ca="1">AVERAGE(OFFSET($AM$3,0,0,'Données projet'!$E$10+1,1))-AVERAGE(OFFSET($H$3,0,0,'Données projet'!$E$10+1,1))</f>
        <v>298.68533387773886</v>
      </c>
      <c r="AO179" s="59">
        <f t="shared" si="144"/>
        <v>176.04868734496114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21.569564657628217</v>
      </c>
      <c r="AV179" s="21">
        <f>EXP(-LN(2)/25)*AV178+(1-EXP(-LN(2)/25))/(LN(2)/25)*Calculateur!AQ179*Calculateur!AS179*VLOOKUP('Données projet'!$B$10,Paramètres!$A$1:$I$89,3,0)*0.475*44/12</f>
        <v>0.58676288188002013</v>
      </c>
      <c r="AW179" s="21">
        <f>EXP(-LN(2)/2)*AW178+(1-EXP(-LN(2)/2))/(LN(2)/2)*AQ179*AT179*VLOOKUP('Données projet'!$B$10,Paramètres!$A$1:$I$89,3,0)*0.475*44/12</f>
        <v>4.4717866088280802E-9</v>
      </c>
      <c r="AX179" s="21">
        <f t="shared" si="166"/>
        <v>22.156327543980023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-5.999999999994543E-2</v>
      </c>
      <c r="BE179" s="13">
        <f>BD179*VLOOKUP('Données projet'!$B$11,Paramètres!$A$1:$I$89,3,0)*VLOOKUP('Données projet'!$B$11,Paramètres!$A$1:$I$89,5,0)</f>
        <v>-2.8079999999974462E-2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83.62456509032836</v>
      </c>
      <c r="BJ179" s="59">
        <f t="shared" si="146"/>
        <v>131.53128089847871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7.3306251319428171</v>
      </c>
      <c r="BQ179" s="21">
        <f>EXP(-LN(2)/25)*BQ178+(1-EXP(-LN(2)/25))/(LN(2)/25)*Calculateur!BL179*Calculateur!BN179*VLOOKUP('Données projet'!$B$11,Paramètres!$A$1:$I$89,3,0)*0.475*44/12</f>
        <v>1.3306164054660237</v>
      </c>
      <c r="BR179" s="21">
        <f>EXP(-LN(2)/2)*BR178+(1-EXP(-LN(2)/2))/(LN(2)/2)*BL179*BO179*VLOOKUP('Données projet'!$B$11,Paramètres!$A$1:$I$89,3,0)*0.475*44/12</f>
        <v>1.5055607889978089E-16</v>
      </c>
      <c r="BS179" s="22">
        <f t="shared" si="169"/>
        <v>8.6612415374088414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925.00000000000034</v>
      </c>
      <c r="BZ179" s="13">
        <f>BY179*VLOOKUP('Données projet'!$B$12,Paramètres!$A$1:$I$89,3,0)*VLOOKUP('Données projet'!$B$12,Paramètres!$A$1:$I$89,5,0)</f>
        <v>408.85000000000014</v>
      </c>
      <c r="CA179" s="13">
        <f t="shared" si="170"/>
        <v>93.568575358321141</v>
      </c>
      <c r="CB179" s="20">
        <f t="shared" si="171"/>
        <v>875.04568541574281</v>
      </c>
      <c r="CC179" s="59">
        <f t="shared" si="119"/>
        <v>1168.3790187490761</v>
      </c>
      <c r="CD179" s="59">
        <f ca="1">AVERAGE(OFFSET($CC$3,0,0,'Données projet'!$E$12+1,1))-AVERAGE(OFFSET($H$3,0,0,'Données projet'!$E$12+1,1))</f>
        <v>415.83983761562189</v>
      </c>
      <c r="CE179" s="59">
        <f t="shared" si="148"/>
        <v>339.37869344688829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10.216432739775499</v>
      </c>
      <c r="CL179" s="21">
        <f>EXP(-LN(2)/25)*CL178+(1-EXP(-LN(2)/25))/(LN(2)/25)*Calculateur!CG179*Calculateur!CI179*VLOOKUP('Données projet'!$B$12,Paramètres!$A$1:$I$89,3,0)*0.475*44/12</f>
        <v>2.047902549731198</v>
      </c>
      <c r="CM179" s="21">
        <f>EXP(-LN(2)/2)*CM178+(1-EXP(-LN(2)/2))/(LN(2)/2)*CG179*CJ179*VLOOKUP('Données projet'!$B$12,Paramètres!$A$1:$I$89,3,0)*0.475*44/12</f>
        <v>8.7136662905910376E-15</v>
      </c>
      <c r="CN179" s="22">
        <f t="shared" si="172"/>
        <v>12.264335289506706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268.00000000000011</v>
      </c>
      <c r="O180" s="13">
        <f>N180*VLOOKUP('Données projet'!$B$9,Paramètres!$A$1:$I$89,3,0)*VLOOKUP('Données projet'!$B$9,Paramètres!$A$1:$I$89,5,0)</f>
        <v>242.48640000000009</v>
      </c>
      <c r="P180" s="13">
        <f t="shared" si="141"/>
        <v>58.974170235372476</v>
      </c>
      <c r="Q180" s="20">
        <f t="shared" si="162"/>
        <v>525.04382649327385</v>
      </c>
      <c r="R180" s="59">
        <f t="shared" si="109"/>
        <v>818.37715982660711</v>
      </c>
      <c r="S180" s="59">
        <f ca="1">AVERAGE(OFFSET($R$3,0,0,'Données projet'!$E$9+1,1))-AVERAGE(OFFSET($H$3,0,0,'Données projet'!$E$9+1,1))</f>
        <v>258.68215148478868</v>
      </c>
      <c r="T180" s="59">
        <f t="shared" si="142"/>
        <v>153.16792125610209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18.869272642276851</v>
      </c>
      <c r="AA180" s="21">
        <f>EXP(-LN(2)/25)*AA179+(1-EXP(-LN(2)/25))/(LN(2)/25)*Calculateur!V180*Calculateur!X180*VLOOKUP('Données projet'!$B$9,Paramètres!$A$1:$I$89,3,0)*0.475*44/12</f>
        <v>0.50925590093957762</v>
      </c>
      <c r="AB180" s="21">
        <f>EXP(-LN(2)/2)*AB179+(1-EXP(-LN(2)/2))/(LN(2)/2)*V180*Y180*VLOOKUP('Données projet'!$B$9,Paramètres!$A$1:$I$89,3,0)*0.475*44/12</f>
        <v>2.8215042590315152E-9</v>
      </c>
      <c r="AC180" s="22">
        <f t="shared" si="163"/>
        <v>19.378528546037934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268.00000000000011</v>
      </c>
      <c r="AJ180" s="13">
        <f>AI180*VLOOKUP('Données projet'!$B$10,Paramètres!$A$1:$I$89,3,0)*VLOOKUP('Données projet'!$B$10,Paramètres!$A$1:$I$89,5,0)</f>
        <v>271.75200000000012</v>
      </c>
      <c r="AK180" s="13">
        <f t="shared" si="164"/>
        <v>65.220947824724988</v>
      </c>
      <c r="AL180" s="20">
        <f t="shared" si="165"/>
        <v>586.89455079472953</v>
      </c>
      <c r="AM180" s="59">
        <f t="shared" si="113"/>
        <v>880.2278841280629</v>
      </c>
      <c r="AN180" s="59">
        <f ca="1">AVERAGE(OFFSET($AM$3,0,0,'Données projet'!$E$10+1,1))-AVERAGE(OFFSET($H$3,0,0,'Données projet'!$E$10+1,1))</f>
        <v>298.68533387773886</v>
      </c>
      <c r="AO180" s="59">
        <f t="shared" si="144"/>
        <v>176.04868734496114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21.146598650827507</v>
      </c>
      <c r="AV180" s="21">
        <f>EXP(-LN(2)/25)*AV179+(1-EXP(-LN(2)/25))/(LN(2)/25)*Calculateur!AQ180*Calculateur!AS180*VLOOKUP('Données projet'!$B$10,Paramètres!$A$1:$I$89,3,0)*0.475*44/12</f>
        <v>0.57071782001849203</v>
      </c>
      <c r="AW180" s="21">
        <f>EXP(-LN(2)/2)*AW179+(1-EXP(-LN(2)/2))/(LN(2)/2)*AQ180*AT180*VLOOKUP('Données projet'!$B$10,Paramètres!$A$1:$I$89,3,0)*0.475*44/12</f>
        <v>3.1620306351215307E-9</v>
      </c>
      <c r="AX180" s="21">
        <f t="shared" si="166"/>
        <v>21.717316474008026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-5.999999999994543E-2</v>
      </c>
      <c r="BE180" s="13">
        <f>BD180*VLOOKUP('Données projet'!$B$11,Paramètres!$A$1:$I$89,3,0)*VLOOKUP('Données projet'!$B$11,Paramètres!$A$1:$I$89,5,0)</f>
        <v>-2.8079999999974462E-2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83.62456509032836</v>
      </c>
      <c r="BJ180" s="59">
        <f t="shared" si="146"/>
        <v>131.53128089847871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7.1868760443452508</v>
      </c>
      <c r="BQ180" s="21">
        <f>EXP(-LN(2)/25)*BQ179+(1-EXP(-LN(2)/25))/(LN(2)/25)*Calculateur!BL180*Calculateur!BN180*VLOOKUP('Données projet'!$B$11,Paramètres!$A$1:$I$89,3,0)*0.475*44/12</f>
        <v>1.2942306298844797</v>
      </c>
      <c r="BR180" s="21">
        <f>EXP(-LN(2)/2)*BR179+(1-EXP(-LN(2)/2))/(LN(2)/2)*BL180*BO180*VLOOKUP('Données projet'!$B$11,Paramètres!$A$1:$I$89,3,0)*0.475*44/12</f>
        <v>1.0645922433889195E-16</v>
      </c>
      <c r="BS180" s="22">
        <f t="shared" si="169"/>
        <v>8.4811066742297303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925.00000000000034</v>
      </c>
      <c r="BZ180" s="13">
        <f>BY180*VLOOKUP('Données projet'!$B$12,Paramètres!$A$1:$I$89,3,0)*VLOOKUP('Données projet'!$B$12,Paramètres!$A$1:$I$89,5,0)</f>
        <v>408.85000000000014</v>
      </c>
      <c r="CA180" s="13">
        <f t="shared" si="170"/>
        <v>93.568575358321141</v>
      </c>
      <c r="CB180" s="20">
        <f t="shared" si="171"/>
        <v>875.04568541574281</v>
      </c>
      <c r="CC180" s="59">
        <f t="shared" si="119"/>
        <v>1168.3790187490761</v>
      </c>
      <c r="CD180" s="59">
        <f ca="1">AVERAGE(OFFSET($CC$3,0,0,'Données projet'!$E$12+1,1))-AVERAGE(OFFSET($H$3,0,0,'Données projet'!$E$12+1,1))</f>
        <v>415.83983761562189</v>
      </c>
      <c r="CE180" s="59">
        <f t="shared" si="148"/>
        <v>339.37869344688829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10.016094725157172</v>
      </c>
      <c r="CL180" s="21">
        <f>EXP(-LN(2)/25)*CL179+(1-EXP(-LN(2)/25))/(LN(2)/25)*Calculateur!CG180*Calculateur!CI180*VLOOKUP('Données projet'!$B$12,Paramètres!$A$1:$I$89,3,0)*0.475*44/12</f>
        <v>1.9919025468142839</v>
      </c>
      <c r="CM180" s="21">
        <f>EXP(-LN(2)/2)*CM179+(1-EXP(-LN(2)/2))/(LN(2)/2)*CG180*CJ180*VLOOKUP('Données projet'!$B$12,Paramètres!$A$1:$I$89,3,0)*0.475*44/12</f>
        <v>6.1614925230735522E-15</v>
      </c>
      <c r="CN180" s="22">
        <f t="shared" si="172"/>
        <v>12.007997271971462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268.00000000000011</v>
      </c>
      <c r="O181" s="13">
        <f>N181*VLOOKUP('Données projet'!$B$9,Paramètres!$A$1:$I$89,3,0)*VLOOKUP('Données projet'!$B$9,Paramètres!$A$1:$I$89,5,0)</f>
        <v>242.48640000000009</v>
      </c>
      <c r="P181" s="13">
        <f t="shared" si="141"/>
        <v>58.974170235372476</v>
      </c>
      <c r="Q181" s="20">
        <f t="shared" si="162"/>
        <v>525.04382649327385</v>
      </c>
      <c r="R181" s="59">
        <f t="shared" si="109"/>
        <v>818.37715982660711</v>
      </c>
      <c r="S181" s="59">
        <f ca="1">AVERAGE(OFFSET($R$3,0,0,'Données projet'!$E$9+1,1))-AVERAGE(OFFSET($H$3,0,0,'Données projet'!$E$9+1,1))</f>
        <v>258.68215148478868</v>
      </c>
      <c r="T181" s="59">
        <f t="shared" si="142"/>
        <v>153.16792125610209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18.499257714881683</v>
      </c>
      <c r="AA181" s="21">
        <f>EXP(-LN(2)/25)*AA180+(1-EXP(-LN(2)/25))/(LN(2)/25)*Calculateur!V181*Calculateur!X181*VLOOKUP('Données projet'!$B$9,Paramètres!$A$1:$I$89,3,0)*0.475*44/12</f>
        <v>0.49533027154778098</v>
      </c>
      <c r="AB181" s="21">
        <f>EXP(-LN(2)/2)*AB180+(1-EXP(-LN(2)/2))/(LN(2)/2)*V181*Y181*VLOOKUP('Données projet'!$B$9,Paramètres!$A$1:$I$89,3,0)*0.475*44/12</f>
        <v>1.9951047947079095E-9</v>
      </c>
      <c r="AC181" s="22">
        <f t="shared" si="163"/>
        <v>18.99458798842457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268.00000000000011</v>
      </c>
      <c r="AJ181" s="13">
        <f>AI181*VLOOKUP('Données projet'!$B$10,Paramètres!$A$1:$I$89,3,0)*VLOOKUP('Données projet'!$B$10,Paramètres!$A$1:$I$89,5,0)</f>
        <v>271.75200000000012</v>
      </c>
      <c r="AK181" s="13">
        <f t="shared" si="164"/>
        <v>65.220947824724988</v>
      </c>
      <c r="AL181" s="20">
        <f t="shared" si="165"/>
        <v>586.89455079472953</v>
      </c>
      <c r="AM181" s="59">
        <f t="shared" si="113"/>
        <v>880.2278841280629</v>
      </c>
      <c r="AN181" s="59">
        <f ca="1">AVERAGE(OFFSET($AM$3,0,0,'Données projet'!$E$10+1,1))-AVERAGE(OFFSET($H$3,0,0,'Données projet'!$E$10+1,1))</f>
        <v>298.68533387773886</v>
      </c>
      <c r="AO181" s="59">
        <f t="shared" si="144"/>
        <v>176.04868734496114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20.731926749436369</v>
      </c>
      <c r="AV181" s="21">
        <f>EXP(-LN(2)/25)*AV180+(1-EXP(-LN(2)/25))/(LN(2)/25)*Calculateur!AQ181*Calculateur!AS181*VLOOKUP('Données projet'!$B$10,Paramètres!$A$1:$I$89,3,0)*0.475*44/12</f>
        <v>0.55511151121734059</v>
      </c>
      <c r="AW181" s="21">
        <f>EXP(-LN(2)/2)*AW180+(1-EXP(-LN(2)/2))/(LN(2)/2)*AQ181*AT181*VLOOKUP('Données projet'!$B$10,Paramètres!$A$1:$I$89,3,0)*0.475*44/12</f>
        <v>2.2358933044140401E-9</v>
      </c>
      <c r="AX181" s="21">
        <f t="shared" si="166"/>
        <v>21.287038262889602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-5.999999999994543E-2</v>
      </c>
      <c r="BE181" s="13">
        <f>BD181*VLOOKUP('Données projet'!$B$11,Paramètres!$A$1:$I$89,3,0)*VLOOKUP('Données projet'!$B$11,Paramètres!$A$1:$I$89,5,0)</f>
        <v>-2.8079999999974462E-2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83.62456509032836</v>
      </c>
      <c r="BJ181" s="59">
        <f t="shared" si="146"/>
        <v>131.53128089847871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7.0459457886771863</v>
      </c>
      <c r="BQ181" s="21">
        <f>EXP(-LN(2)/25)*BQ180+(1-EXP(-LN(2)/25))/(LN(2)/25)*Calculateur!BL181*Calculateur!BN181*VLOOKUP('Données projet'!$B$11,Paramètres!$A$1:$I$89,3,0)*0.475*44/12</f>
        <v>1.2588398252496578</v>
      </c>
      <c r="BR181" s="21">
        <f>EXP(-LN(2)/2)*BR180+(1-EXP(-LN(2)/2))/(LN(2)/2)*BL181*BO181*VLOOKUP('Données projet'!$B$11,Paramètres!$A$1:$I$89,3,0)*0.475*44/12</f>
        <v>7.5278039449890444E-17</v>
      </c>
      <c r="BS181" s="22">
        <f t="shared" si="169"/>
        <v>8.3047856139268443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925.00000000000034</v>
      </c>
      <c r="BZ181" s="13">
        <f>BY181*VLOOKUP('Données projet'!$B$12,Paramètres!$A$1:$I$89,3,0)*VLOOKUP('Données projet'!$B$12,Paramètres!$A$1:$I$89,5,0)</f>
        <v>408.85000000000014</v>
      </c>
      <c r="CA181" s="13">
        <f t="shared" si="170"/>
        <v>93.568575358321141</v>
      </c>
      <c r="CB181" s="20">
        <f t="shared" si="171"/>
        <v>875.04568541574281</v>
      </c>
      <c r="CC181" s="59">
        <f t="shared" si="119"/>
        <v>1168.3790187490761</v>
      </c>
      <c r="CD181" s="59">
        <f ca="1">AVERAGE(OFFSET($CC$3,0,0,'Données projet'!$E$12+1,1))-AVERAGE(OFFSET($H$3,0,0,'Données projet'!$E$12+1,1))</f>
        <v>415.83983761562189</v>
      </c>
      <c r="CE181" s="59">
        <f t="shared" si="148"/>
        <v>339.37869344688829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9.8196852168113882</v>
      </c>
      <c r="CL181" s="21">
        <f>EXP(-LN(2)/25)*CL180+(1-EXP(-LN(2)/25))/(LN(2)/25)*Calculateur!CG181*Calculateur!CI181*VLOOKUP('Données projet'!$B$12,Paramètres!$A$1:$I$89,3,0)*0.475*44/12</f>
        <v>1.937433866922045</v>
      </c>
      <c r="CM181" s="21">
        <f>EXP(-LN(2)/2)*CM180+(1-EXP(-LN(2)/2))/(LN(2)/2)*CG181*CJ181*VLOOKUP('Données projet'!$B$12,Paramètres!$A$1:$I$89,3,0)*0.475*44/12</f>
        <v>4.3568331452955188E-15</v>
      </c>
      <c r="CN181" s="22">
        <f t="shared" si="172"/>
        <v>11.757119083733437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268.00000000000011</v>
      </c>
      <c r="O182" s="13">
        <f>N182*VLOOKUP('Données projet'!$B$9,Paramètres!$A$1:$I$89,3,0)*VLOOKUP('Données projet'!$B$9,Paramètres!$A$1:$I$89,5,0)</f>
        <v>242.48640000000009</v>
      </c>
      <c r="P182" s="13">
        <f t="shared" si="141"/>
        <v>58.974170235372476</v>
      </c>
      <c r="Q182" s="20">
        <f t="shared" si="162"/>
        <v>525.04382649327385</v>
      </c>
      <c r="R182" s="59">
        <f t="shared" si="109"/>
        <v>818.37715982660711</v>
      </c>
      <c r="S182" s="59">
        <f ca="1">AVERAGE(OFFSET($R$3,0,0,'Données projet'!$E$9+1,1))-AVERAGE(OFFSET($H$3,0,0,'Données projet'!$E$9+1,1))</f>
        <v>258.68215148478868</v>
      </c>
      <c r="T182" s="59">
        <f t="shared" si="142"/>
        <v>153.16792125610209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18.136498554525911</v>
      </c>
      <c r="AA182" s="21">
        <f>EXP(-LN(2)/25)*AA181+(1-EXP(-LN(2)/25))/(LN(2)/25)*Calculateur!V182*Calculateur!X182*VLOOKUP('Données projet'!$B$9,Paramètres!$A$1:$I$89,3,0)*0.475*44/12</f>
        <v>0.48178543922402001</v>
      </c>
      <c r="AB182" s="21">
        <f>EXP(-LN(2)/2)*AB181+(1-EXP(-LN(2)/2))/(LN(2)/2)*V182*Y182*VLOOKUP('Données projet'!$B$9,Paramètres!$A$1:$I$89,3,0)*0.475*44/12</f>
        <v>1.4107521295157576E-9</v>
      </c>
      <c r="AC182" s="22">
        <f t="shared" si="163"/>
        <v>18.618283995160681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268.00000000000011</v>
      </c>
      <c r="AJ182" s="13">
        <f>AI182*VLOOKUP('Données projet'!$B$10,Paramètres!$A$1:$I$89,3,0)*VLOOKUP('Données projet'!$B$10,Paramètres!$A$1:$I$89,5,0)</f>
        <v>271.75200000000012</v>
      </c>
      <c r="AK182" s="13">
        <f t="shared" si="164"/>
        <v>65.220947824724988</v>
      </c>
      <c r="AL182" s="20">
        <f t="shared" si="165"/>
        <v>586.89455079472953</v>
      </c>
      <c r="AM182" s="59">
        <f t="shared" si="113"/>
        <v>880.2278841280629</v>
      </c>
      <c r="AN182" s="59">
        <f ca="1">AVERAGE(OFFSET($AM$3,0,0,'Données projet'!$E$10+1,1))-AVERAGE(OFFSET($H$3,0,0,'Données projet'!$E$10+1,1))</f>
        <v>298.68533387773886</v>
      </c>
      <c r="AO182" s="59">
        <f t="shared" si="144"/>
        <v>176.04868734496114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20.325386311106627</v>
      </c>
      <c r="AV182" s="21">
        <f>EXP(-LN(2)/25)*AV181+(1-EXP(-LN(2)/25))/(LN(2)/25)*Calculateur!AQ182*Calculateur!AS182*VLOOKUP('Données projet'!$B$10,Paramètres!$A$1:$I$89,3,0)*0.475*44/12</f>
        <v>0.53993195775105673</v>
      </c>
      <c r="AW182" s="21">
        <f>EXP(-LN(2)/2)*AW181+(1-EXP(-LN(2)/2))/(LN(2)/2)*AQ182*AT182*VLOOKUP('Données projet'!$B$10,Paramètres!$A$1:$I$89,3,0)*0.475*44/12</f>
        <v>1.5810153175607654E-9</v>
      </c>
      <c r="AX182" s="21">
        <f t="shared" si="166"/>
        <v>20.865318270438699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-5.999999999994543E-2</v>
      </c>
      <c r="BE182" s="13">
        <f>BD182*VLOOKUP('Données projet'!$B$11,Paramètres!$A$1:$I$89,3,0)*VLOOKUP('Données projet'!$B$11,Paramètres!$A$1:$I$89,5,0)</f>
        <v>-2.8079999999974462E-2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83.62456509032836</v>
      </c>
      <c r="BJ182" s="59">
        <f t="shared" si="146"/>
        <v>131.53128089847871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6.9077790893638049</v>
      </c>
      <c r="BQ182" s="21">
        <f>EXP(-LN(2)/25)*BQ181+(1-EXP(-LN(2)/25))/(LN(2)/25)*Calculateur!BL182*Calculateur!BN182*VLOOKUP('Données projet'!$B$11,Paramètres!$A$1:$I$89,3,0)*0.475*44/12</f>
        <v>1.2244167840286966</v>
      </c>
      <c r="BR182" s="21">
        <f>EXP(-LN(2)/2)*BR181+(1-EXP(-LN(2)/2))/(LN(2)/2)*BL182*BO182*VLOOKUP('Données projet'!$B$11,Paramètres!$A$1:$I$89,3,0)*0.475*44/12</f>
        <v>5.3229612169445975E-17</v>
      </c>
      <c r="BS182" s="22">
        <f t="shared" si="169"/>
        <v>8.1321958733925008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925.00000000000034</v>
      </c>
      <c r="BZ182" s="13">
        <f>BY182*VLOOKUP('Données projet'!$B$12,Paramètres!$A$1:$I$89,3,0)*VLOOKUP('Données projet'!$B$12,Paramètres!$A$1:$I$89,5,0)</f>
        <v>408.85000000000014</v>
      </c>
      <c r="CA182" s="13">
        <f t="shared" si="170"/>
        <v>93.568575358321141</v>
      </c>
      <c r="CB182" s="20">
        <f t="shared" si="171"/>
        <v>875.04568541574281</v>
      </c>
      <c r="CC182" s="59">
        <f t="shared" si="119"/>
        <v>1168.3790187490761</v>
      </c>
      <c r="CD182" s="59">
        <f ca="1">AVERAGE(OFFSET($CC$3,0,0,'Données projet'!$E$12+1,1))-AVERAGE(OFFSET($H$3,0,0,'Données projet'!$E$12+1,1))</f>
        <v>415.83983761562189</v>
      </c>
      <c r="CE182" s="59">
        <f t="shared" si="148"/>
        <v>339.37869344688829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9.627127179126294</v>
      </c>
      <c r="CL182" s="21">
        <f>EXP(-LN(2)/25)*CL181+(1-EXP(-LN(2)/25))/(LN(2)/25)*Calculateur!CG182*Calculateur!CI182*VLOOKUP('Données projet'!$B$12,Paramètres!$A$1:$I$89,3,0)*0.475*44/12</f>
        <v>1.8844546359458427</v>
      </c>
      <c r="CM182" s="21">
        <f>EXP(-LN(2)/2)*CM181+(1-EXP(-LN(2)/2))/(LN(2)/2)*CG182*CJ182*VLOOKUP('Données projet'!$B$12,Paramètres!$A$1:$I$89,3,0)*0.475*44/12</f>
        <v>3.0807462615367761E-15</v>
      </c>
      <c r="CN182" s="22">
        <f t="shared" si="172"/>
        <v>11.511581815072141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268.00000000000011</v>
      </c>
      <c r="O183" s="13">
        <f>N183*VLOOKUP('Données projet'!$B$9,Paramètres!$A$1:$I$89,3,0)*VLOOKUP('Données projet'!$B$9,Paramètres!$A$1:$I$89,5,0)</f>
        <v>242.48640000000009</v>
      </c>
      <c r="P183" s="13">
        <f t="shared" si="141"/>
        <v>58.974170235372476</v>
      </c>
      <c r="Q183" s="20">
        <f t="shared" si="162"/>
        <v>525.04382649327385</v>
      </c>
      <c r="R183" s="59">
        <f t="shared" si="109"/>
        <v>818.37715982660711</v>
      </c>
      <c r="S183" s="59">
        <f ca="1">AVERAGE(OFFSET($R$3,0,0,'Données projet'!$E$9+1,1))-AVERAGE(OFFSET($H$3,0,0,'Données projet'!$E$9+1,1))</f>
        <v>258.68215148478868</v>
      </c>
      <c r="T183" s="59">
        <f t="shared" si="142"/>
        <v>153.16792125610209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17.780852880043476</v>
      </c>
      <c r="AA183" s="21">
        <f>EXP(-LN(2)/25)*AA182+(1-EXP(-LN(2)/25))/(LN(2)/25)*Calculateur!V183*Calculateur!X183*VLOOKUP('Données projet'!$B$9,Paramètres!$A$1:$I$89,3,0)*0.475*44/12</f>
        <v>0.46861099105244408</v>
      </c>
      <c r="AB183" s="21">
        <f>EXP(-LN(2)/2)*AB182+(1-EXP(-LN(2)/2))/(LN(2)/2)*V183*Y183*VLOOKUP('Données projet'!$B$9,Paramètres!$A$1:$I$89,3,0)*0.475*44/12</f>
        <v>9.9755239735395476E-10</v>
      </c>
      <c r="AC183" s="22">
        <f t="shared" si="163"/>
        <v>18.249463872093472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268.00000000000011</v>
      </c>
      <c r="AJ183" s="13">
        <f>AI183*VLOOKUP('Données projet'!$B$10,Paramètres!$A$1:$I$89,3,0)*VLOOKUP('Données projet'!$B$10,Paramètres!$A$1:$I$89,5,0)</f>
        <v>271.75200000000012</v>
      </c>
      <c r="AK183" s="13">
        <f t="shared" si="164"/>
        <v>65.220947824724988</v>
      </c>
      <c r="AL183" s="20">
        <f t="shared" si="165"/>
        <v>586.89455079472953</v>
      </c>
      <c r="AM183" s="59">
        <f t="shared" si="113"/>
        <v>880.2278841280629</v>
      </c>
      <c r="AN183" s="59">
        <f ca="1">AVERAGE(OFFSET($AM$3,0,0,'Données projet'!$E$10+1,1))-AVERAGE(OFFSET($H$3,0,0,'Données projet'!$E$10+1,1))</f>
        <v>298.68533387773886</v>
      </c>
      <c r="AO183" s="59">
        <f t="shared" si="144"/>
        <v>176.04868734496114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19.926817882807349</v>
      </c>
      <c r="AV183" s="21">
        <f>EXP(-LN(2)/25)*AV182+(1-EXP(-LN(2)/25))/(LN(2)/25)*Calculateur!AQ183*Calculateur!AS183*VLOOKUP('Données projet'!$B$10,Paramètres!$A$1:$I$89,3,0)*0.475*44/12</f>
        <v>0.52516748997256646</v>
      </c>
      <c r="AW183" s="21">
        <f>EXP(-LN(2)/2)*AW182+(1-EXP(-LN(2)/2))/(LN(2)/2)*AQ183*AT183*VLOOKUP('Données projet'!$B$10,Paramètres!$A$1:$I$89,3,0)*0.475*44/12</f>
        <v>1.1179466522070201E-9</v>
      </c>
      <c r="AX183" s="21">
        <f t="shared" si="166"/>
        <v>20.451985373897863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-5.999999999994543E-2</v>
      </c>
      <c r="BE183" s="13">
        <f>BD183*VLOOKUP('Données projet'!$B$11,Paramètres!$A$1:$I$89,3,0)*VLOOKUP('Données projet'!$B$11,Paramètres!$A$1:$I$89,5,0)</f>
        <v>-2.8079999999974462E-2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83.62456509032836</v>
      </c>
      <c r="BJ183" s="59">
        <f t="shared" si="146"/>
        <v>131.53128089847871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6.7723217547505934</v>
      </c>
      <c r="BQ183" s="21">
        <f>EXP(-LN(2)/25)*BQ182+(1-EXP(-LN(2)/25))/(LN(2)/25)*Calculateur!BL183*Calculateur!BN183*VLOOKUP('Données projet'!$B$11,Paramètres!$A$1:$I$89,3,0)*0.475*44/12</f>
        <v>1.1909350426801517</v>
      </c>
      <c r="BR183" s="21">
        <f>EXP(-LN(2)/2)*BR182+(1-EXP(-LN(2)/2))/(LN(2)/2)*BL183*BO183*VLOOKUP('Données projet'!$B$11,Paramètres!$A$1:$I$89,3,0)*0.475*44/12</f>
        <v>3.7639019724945222E-17</v>
      </c>
      <c r="BS183" s="22">
        <f t="shared" si="169"/>
        <v>7.9632567974307449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925.00000000000034</v>
      </c>
      <c r="BZ183" s="13">
        <f>BY183*VLOOKUP('Données projet'!$B$12,Paramètres!$A$1:$I$89,3,0)*VLOOKUP('Données projet'!$B$12,Paramètres!$A$1:$I$89,5,0)</f>
        <v>408.85000000000014</v>
      </c>
      <c r="CA183" s="13">
        <f t="shared" si="170"/>
        <v>93.568575358321141</v>
      </c>
      <c r="CB183" s="20">
        <f t="shared" si="171"/>
        <v>875.04568541574281</v>
      </c>
      <c r="CC183" s="59">
        <f t="shared" si="119"/>
        <v>1168.3790187490761</v>
      </c>
      <c r="CD183" s="59">
        <f ca="1">AVERAGE(OFFSET($CC$3,0,0,'Données projet'!$E$12+1,1))-AVERAGE(OFFSET($H$3,0,0,'Données projet'!$E$12+1,1))</f>
        <v>415.83983761562189</v>
      </c>
      <c r="CE183" s="59">
        <f t="shared" si="148"/>
        <v>339.37869344688829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9.4383450871113972</v>
      </c>
      <c r="CL183" s="21">
        <f>EXP(-LN(2)/25)*CL182+(1-EXP(-LN(2)/25))/(LN(2)/25)*Calculateur!CG183*Calculateur!CI183*VLOOKUP('Données projet'!$B$12,Paramètres!$A$1:$I$89,3,0)*0.475*44/12</f>
        <v>1.8329241248267414</v>
      </c>
      <c r="CM183" s="21">
        <f>EXP(-LN(2)/2)*CM182+(1-EXP(-LN(2)/2))/(LN(2)/2)*CG183*CJ183*VLOOKUP('Données projet'!$B$12,Paramètres!$A$1:$I$89,3,0)*0.475*44/12</f>
        <v>2.1784165726477594E-15</v>
      </c>
      <c r="CN183" s="22">
        <f t="shared" si="172"/>
        <v>11.27126921193814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268.00000000000011</v>
      </c>
      <c r="O184" s="13">
        <f>N184*VLOOKUP('Données projet'!$B$9,Paramètres!$A$1:$I$89,3,0)*VLOOKUP('Données projet'!$B$9,Paramètres!$A$1:$I$89,5,0)</f>
        <v>242.48640000000009</v>
      </c>
      <c r="P184" s="13">
        <f t="shared" si="141"/>
        <v>58.974170235372476</v>
      </c>
      <c r="Q184" s="20">
        <f t="shared" si="162"/>
        <v>525.04382649327385</v>
      </c>
      <c r="R184" s="59">
        <f t="shared" si="109"/>
        <v>818.37715982660711</v>
      </c>
      <c r="S184" s="59">
        <f ca="1">AVERAGE(OFFSET($R$3,0,0,'Données projet'!$E$9+1,1))-AVERAGE(OFFSET($H$3,0,0,'Données projet'!$E$9+1,1))</f>
        <v>258.68215148478868</v>
      </c>
      <c r="T184" s="59">
        <f t="shared" si="142"/>
        <v>153.16792125610209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17.432181200315199</v>
      </c>
      <c r="AA184" s="21">
        <f>EXP(-LN(2)/25)*AA183+(1-EXP(-LN(2)/25))/(LN(2)/25)*Calculateur!V184*Calculateur!X184*VLOOKUP('Données projet'!$B$9,Paramètres!$A$1:$I$89,3,0)*0.475*44/12</f>
        <v>0.45579679885893398</v>
      </c>
      <c r="AB184" s="21">
        <f>EXP(-LN(2)/2)*AB183+(1-EXP(-LN(2)/2))/(LN(2)/2)*V184*Y184*VLOOKUP('Données projet'!$B$9,Paramètres!$A$1:$I$89,3,0)*0.475*44/12</f>
        <v>7.053760647578788E-10</v>
      </c>
      <c r="AC184" s="22">
        <f t="shared" si="163"/>
        <v>17.88797799987951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268.00000000000011</v>
      </c>
      <c r="AJ184" s="13">
        <f>AI184*VLOOKUP('Données projet'!$B$10,Paramètres!$A$1:$I$89,3,0)*VLOOKUP('Données projet'!$B$10,Paramètres!$A$1:$I$89,5,0)</f>
        <v>271.75200000000012</v>
      </c>
      <c r="AK184" s="13">
        <f t="shared" si="164"/>
        <v>65.220947824724988</v>
      </c>
      <c r="AL184" s="20">
        <f t="shared" si="165"/>
        <v>586.89455079472953</v>
      </c>
      <c r="AM184" s="59">
        <f t="shared" si="113"/>
        <v>880.2278841280629</v>
      </c>
      <c r="AN184" s="59">
        <f ca="1">AVERAGE(OFFSET($AM$3,0,0,'Données projet'!$E$10+1,1))-AVERAGE(OFFSET($H$3,0,0,'Données projet'!$E$10+1,1))</f>
        <v>298.68533387773886</v>
      </c>
      <c r="AO184" s="59">
        <f t="shared" si="144"/>
        <v>176.04868734496114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19.536065138284282</v>
      </c>
      <c r="AV184" s="21">
        <f>EXP(-LN(2)/25)*AV183+(1-EXP(-LN(2)/25))/(LN(2)/25)*Calculateur!AQ184*Calculateur!AS184*VLOOKUP('Données projet'!$B$10,Paramètres!$A$1:$I$89,3,0)*0.475*44/12</f>
        <v>0.51080675734190861</v>
      </c>
      <c r="AW184" s="21">
        <f>EXP(-LN(2)/2)*AW183+(1-EXP(-LN(2)/2))/(LN(2)/2)*AQ184*AT184*VLOOKUP('Données projet'!$B$10,Paramètres!$A$1:$I$89,3,0)*0.475*44/12</f>
        <v>7.9050765878038269E-10</v>
      </c>
      <c r="AX184" s="21">
        <f t="shared" si="166"/>
        <v>20.046871896416697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-5.999999999994543E-2</v>
      </c>
      <c r="BE184" s="13">
        <f>BD184*VLOOKUP('Données projet'!$B$11,Paramètres!$A$1:$I$89,3,0)*VLOOKUP('Données projet'!$B$11,Paramètres!$A$1:$I$89,5,0)</f>
        <v>-2.8079999999974462E-2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83.62456509032836</v>
      </c>
      <c r="BJ184" s="59">
        <f t="shared" si="146"/>
        <v>131.53128089847871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6.6395206558483313</v>
      </c>
      <c r="BQ184" s="21">
        <f>EXP(-LN(2)/25)*BQ183+(1-EXP(-LN(2)/25))/(LN(2)/25)*Calculateur!BL184*Calculateur!BN184*VLOOKUP('Données projet'!$B$11,Paramètres!$A$1:$I$89,3,0)*0.475*44/12</f>
        <v>1.1583688613095109</v>
      </c>
      <c r="BR184" s="21">
        <f>EXP(-LN(2)/2)*BR183+(1-EXP(-LN(2)/2))/(LN(2)/2)*BL184*BO184*VLOOKUP('Données projet'!$B$11,Paramètres!$A$1:$I$89,3,0)*0.475*44/12</f>
        <v>2.6614806084722988E-17</v>
      </c>
      <c r="BS184" s="22">
        <f t="shared" si="169"/>
        <v>7.7978895171578424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925.00000000000034</v>
      </c>
      <c r="BZ184" s="13">
        <f>BY184*VLOOKUP('Données projet'!$B$12,Paramètres!$A$1:$I$89,3,0)*VLOOKUP('Données projet'!$B$12,Paramètres!$A$1:$I$89,5,0)</f>
        <v>408.85000000000014</v>
      </c>
      <c r="CA184" s="13">
        <f t="shared" si="170"/>
        <v>93.568575358321141</v>
      </c>
      <c r="CB184" s="20">
        <f t="shared" si="171"/>
        <v>875.04568541574281</v>
      </c>
      <c r="CC184" s="59">
        <f t="shared" si="119"/>
        <v>1168.3790187490761</v>
      </c>
      <c r="CD184" s="59">
        <f ca="1">AVERAGE(OFFSET($CC$3,0,0,'Données projet'!$E$12+1,1))-AVERAGE(OFFSET($H$3,0,0,'Données projet'!$E$12+1,1))</f>
        <v>415.83983761562189</v>
      </c>
      <c r="CE184" s="59">
        <f t="shared" si="148"/>
        <v>339.37869344688829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9.2532648967752067</v>
      </c>
      <c r="CL184" s="21">
        <f>EXP(-LN(2)/25)*CL183+(1-EXP(-LN(2)/25))/(LN(2)/25)*Calculateur!CG184*Calculateur!CI184*VLOOKUP('Données projet'!$B$12,Paramètres!$A$1:$I$89,3,0)*0.475*44/12</f>
        <v>1.7828027182440636</v>
      </c>
      <c r="CM184" s="21">
        <f>EXP(-LN(2)/2)*CM183+(1-EXP(-LN(2)/2))/(LN(2)/2)*CG184*CJ184*VLOOKUP('Données projet'!$B$12,Paramètres!$A$1:$I$89,3,0)*0.475*44/12</f>
        <v>1.540373130768388E-15</v>
      </c>
      <c r="CN184" s="22">
        <f t="shared" si="172"/>
        <v>11.036067615019272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268.00000000000011</v>
      </c>
      <c r="O185" s="13">
        <f>N185*VLOOKUP('Données projet'!$B$9,Paramètres!$A$1:$I$89,3,0)*VLOOKUP('Données projet'!$B$9,Paramètres!$A$1:$I$89,5,0)</f>
        <v>242.48640000000009</v>
      </c>
      <c r="P185" s="13">
        <f t="shared" si="141"/>
        <v>58.974170235372476</v>
      </c>
      <c r="Q185" s="20">
        <f t="shared" si="162"/>
        <v>525.04382649327385</v>
      </c>
      <c r="R185" s="59">
        <f t="shared" si="109"/>
        <v>818.37715982660711</v>
      </c>
      <c r="S185" s="59">
        <f ca="1">AVERAGE(OFFSET($R$3,0,0,'Données projet'!$E$9+1,1))-AVERAGE(OFFSET($H$3,0,0,'Données projet'!$E$9+1,1))</f>
        <v>258.68215148478868</v>
      </c>
      <c r="T185" s="59">
        <f t="shared" si="142"/>
        <v>153.16792125610209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17.090346759557669</v>
      </c>
      <c r="AA185" s="21">
        <f>EXP(-LN(2)/25)*AA184+(1-EXP(-LN(2)/25))/(LN(2)/25)*Calculateur!V185*Calculateur!X185*VLOOKUP('Données projet'!$B$9,Paramètres!$A$1:$I$89,3,0)*0.475*44/12</f>
        <v>0.44333301142482451</v>
      </c>
      <c r="AB185" s="21">
        <f>EXP(-LN(2)/2)*AB184+(1-EXP(-LN(2)/2))/(LN(2)/2)*V185*Y185*VLOOKUP('Données projet'!$B$9,Paramètres!$A$1:$I$89,3,0)*0.475*44/12</f>
        <v>4.9877619867697738E-10</v>
      </c>
      <c r="AC185" s="22">
        <f t="shared" si="163"/>
        <v>17.533679771481268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268.00000000000011</v>
      </c>
      <c r="AJ185" s="13">
        <f>AI185*VLOOKUP('Données projet'!$B$10,Paramètres!$A$1:$I$89,3,0)*VLOOKUP('Données projet'!$B$10,Paramètres!$A$1:$I$89,5,0)</f>
        <v>271.75200000000012</v>
      </c>
      <c r="AK185" s="13">
        <f t="shared" si="164"/>
        <v>65.220947824724988</v>
      </c>
      <c r="AL185" s="20">
        <f t="shared" si="165"/>
        <v>586.89455079472953</v>
      </c>
      <c r="AM185" s="59">
        <f t="shared" si="113"/>
        <v>880.2278841280629</v>
      </c>
      <c r="AN185" s="59">
        <f ca="1">AVERAGE(OFFSET($AM$3,0,0,'Données projet'!$E$10+1,1))-AVERAGE(OFFSET($H$3,0,0,'Données projet'!$E$10+1,1))</f>
        <v>298.68533387773886</v>
      </c>
      <c r="AO185" s="59">
        <f t="shared" si="144"/>
        <v>176.04868734496114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19.152974816745672</v>
      </c>
      <c r="AV185" s="21">
        <f>EXP(-LN(2)/25)*AV184+(1-EXP(-LN(2)/25))/(LN(2)/25)*Calculateur!AQ185*Calculateur!AS185*VLOOKUP('Données projet'!$B$10,Paramètres!$A$1:$I$89,3,0)*0.475*44/12</f>
        <v>0.49683871970023424</v>
      </c>
      <c r="AW185" s="21">
        <f>EXP(-LN(2)/2)*AW184+(1-EXP(-LN(2)/2))/(LN(2)/2)*AQ185*AT185*VLOOKUP('Données projet'!$B$10,Paramètres!$A$1:$I$89,3,0)*0.475*44/12</f>
        <v>5.5897332610351003E-10</v>
      </c>
      <c r="AX185" s="21">
        <f t="shared" si="166"/>
        <v>19.649813537004881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-5.999999999994543E-2</v>
      </c>
      <c r="BE185" s="13">
        <f>BD185*VLOOKUP('Données projet'!$B$11,Paramètres!$A$1:$I$89,3,0)*VLOOKUP('Données projet'!$B$11,Paramètres!$A$1:$I$89,5,0)</f>
        <v>-2.8079999999974462E-2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83.62456509032836</v>
      </c>
      <c r="BJ185" s="59">
        <f t="shared" si="146"/>
        <v>131.53128089847871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6.5093237054948698</v>
      </c>
      <c r="BQ185" s="21">
        <f>EXP(-LN(2)/25)*BQ184+(1-EXP(-LN(2)/25))/(LN(2)/25)*Calculateur!BL185*Calculateur!BN185*VLOOKUP('Données projet'!$B$11,Paramètres!$A$1:$I$89,3,0)*0.475*44/12</f>
        <v>1.1266932038810313</v>
      </c>
      <c r="BR185" s="21">
        <f>EXP(-LN(2)/2)*BR184+(1-EXP(-LN(2)/2))/(LN(2)/2)*BL185*BO185*VLOOKUP('Données projet'!$B$11,Paramètres!$A$1:$I$89,3,0)*0.475*44/12</f>
        <v>1.8819509862472611E-17</v>
      </c>
      <c r="BS185" s="22">
        <f t="shared" si="169"/>
        <v>7.6360169093759014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925.00000000000034</v>
      </c>
      <c r="BZ185" s="13">
        <f>BY185*VLOOKUP('Données projet'!$B$12,Paramètres!$A$1:$I$89,3,0)*VLOOKUP('Données projet'!$B$12,Paramètres!$A$1:$I$89,5,0)</f>
        <v>408.85000000000014</v>
      </c>
      <c r="CA185" s="13">
        <f t="shared" si="170"/>
        <v>93.568575358321141</v>
      </c>
      <c r="CB185" s="20">
        <f t="shared" si="171"/>
        <v>875.04568541574281</v>
      </c>
      <c r="CC185" s="59">
        <f t="shared" si="119"/>
        <v>1168.3790187490761</v>
      </c>
      <c r="CD185" s="59">
        <f ca="1">AVERAGE(OFFSET($CC$3,0,0,'Données projet'!$E$12+1,1))-AVERAGE(OFFSET($H$3,0,0,'Données projet'!$E$12+1,1))</f>
        <v>415.83983761562189</v>
      </c>
      <c r="CE185" s="59">
        <f t="shared" si="148"/>
        <v>339.37869344688829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9.0718140160837404</v>
      </c>
      <c r="CL185" s="21">
        <f>EXP(-LN(2)/25)*CL184+(1-EXP(-LN(2)/25))/(LN(2)/25)*Calculateur!CG185*Calculateur!CI185*VLOOKUP('Données projet'!$B$12,Paramètres!$A$1:$I$89,3,0)*0.475*44/12</f>
        <v>1.7340518841601593</v>
      </c>
      <c r="CM185" s="21">
        <f>EXP(-LN(2)/2)*CM184+(1-EXP(-LN(2)/2))/(LN(2)/2)*CG185*CJ185*VLOOKUP('Données projet'!$B$12,Paramètres!$A$1:$I$89,3,0)*0.475*44/12</f>
        <v>1.0892082863238797E-15</v>
      </c>
      <c r="CN185" s="22">
        <f t="shared" si="172"/>
        <v>10.805865900243901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268.00000000000011</v>
      </c>
      <c r="O186" s="13">
        <f>N186*VLOOKUP('Données projet'!$B$9,Paramètres!$A$1:$I$89,3,0)*VLOOKUP('Données projet'!$B$9,Paramètres!$A$1:$I$89,5,0)</f>
        <v>242.48640000000009</v>
      </c>
      <c r="P186" s="13">
        <f t="shared" si="141"/>
        <v>58.974170235372476</v>
      </c>
      <c r="Q186" s="20">
        <f t="shared" si="162"/>
        <v>525.04382649327385</v>
      </c>
      <c r="R186" s="59">
        <f t="shared" si="109"/>
        <v>818.37715982660711</v>
      </c>
      <c r="S186" s="59">
        <f ca="1">AVERAGE(OFFSET($R$3,0,0,'Données projet'!$E$9+1,1))-AVERAGE(OFFSET($H$3,0,0,'Données projet'!$E$9+1,1))</f>
        <v>258.68215148478868</v>
      </c>
      <c r="T186" s="59">
        <f t="shared" si="142"/>
        <v>153.16792125610209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16.755215483684974</v>
      </c>
      <c r="AA186" s="21">
        <f>EXP(-LN(2)/25)*AA185+(1-EXP(-LN(2)/25))/(LN(2)/25)*Calculateur!V186*Calculateur!X186*VLOOKUP('Données projet'!$B$9,Paramètres!$A$1:$I$89,3,0)*0.475*44/12</f>
        <v>0.43121004691354287</v>
      </c>
      <c r="AB186" s="21">
        <f>EXP(-LN(2)/2)*AB185+(1-EXP(-LN(2)/2))/(LN(2)/2)*V186*Y186*VLOOKUP('Données projet'!$B$9,Paramètres!$A$1:$I$89,3,0)*0.475*44/12</f>
        <v>3.526880323789394E-10</v>
      </c>
      <c r="AC186" s="22">
        <f t="shared" si="163"/>
        <v>17.186425530951205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268.00000000000011</v>
      </c>
      <c r="AJ186" s="13">
        <f>AI186*VLOOKUP('Données projet'!$B$10,Paramètres!$A$1:$I$89,3,0)*VLOOKUP('Données projet'!$B$10,Paramètres!$A$1:$I$89,5,0)</f>
        <v>271.75200000000012</v>
      </c>
      <c r="AK186" s="13">
        <f t="shared" si="164"/>
        <v>65.220947824724988</v>
      </c>
      <c r="AL186" s="20">
        <f t="shared" si="165"/>
        <v>586.89455079472953</v>
      </c>
      <c r="AM186" s="59">
        <f t="shared" si="113"/>
        <v>880.2278841280629</v>
      </c>
      <c r="AN186" s="59">
        <f ca="1">AVERAGE(OFFSET($AM$3,0,0,'Données projet'!$E$10+1,1))-AVERAGE(OFFSET($H$3,0,0,'Données projet'!$E$10+1,1))</f>
        <v>298.68533387773886</v>
      </c>
      <c r="AO186" s="59">
        <f t="shared" si="144"/>
        <v>176.04868734496114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18.777396662750409</v>
      </c>
      <c r="AV186" s="21">
        <f>EXP(-LN(2)/25)*AV185+(1-EXP(-LN(2)/25))/(LN(2)/25)*Calculateur!AQ186*Calculateur!AS186*VLOOKUP('Données projet'!$B$10,Paramètres!$A$1:$I$89,3,0)*0.475*44/12</f>
        <v>0.48325263878241859</v>
      </c>
      <c r="AW186" s="21">
        <f>EXP(-LN(2)/2)*AW185+(1-EXP(-LN(2)/2))/(LN(2)/2)*AQ186*AT186*VLOOKUP('Données projet'!$B$10,Paramètres!$A$1:$I$89,3,0)*0.475*44/12</f>
        <v>3.9525382939019134E-10</v>
      </c>
      <c r="AX186" s="21">
        <f t="shared" si="166"/>
        <v>19.26064930192808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-5.999999999994543E-2</v>
      </c>
      <c r="BE186" s="13">
        <f>BD186*VLOOKUP('Données projet'!$B$11,Paramètres!$A$1:$I$89,3,0)*VLOOKUP('Données projet'!$B$11,Paramètres!$A$1:$I$89,5,0)</f>
        <v>-2.8079999999974462E-2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83.62456509032836</v>
      </c>
      <c r="BJ186" s="59">
        <f t="shared" si="146"/>
        <v>131.53128089847871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6.3816798379255415</v>
      </c>
      <c r="BQ186" s="21">
        <f>EXP(-LN(2)/25)*BQ185+(1-EXP(-LN(2)/25))/(LN(2)/25)*Calculateur!BL186*Calculateur!BN186*VLOOKUP('Données projet'!$B$11,Paramètres!$A$1:$I$89,3,0)*0.475*44/12</f>
        <v>1.095883718970684</v>
      </c>
      <c r="BR186" s="21">
        <f>EXP(-LN(2)/2)*BR185+(1-EXP(-LN(2)/2))/(LN(2)/2)*BL186*BO186*VLOOKUP('Données projet'!$B$11,Paramètres!$A$1:$I$89,3,0)*0.475*44/12</f>
        <v>1.3307403042361494E-17</v>
      </c>
      <c r="BS186" s="22">
        <f t="shared" si="169"/>
        <v>7.4775635568962251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925.00000000000034</v>
      </c>
      <c r="BZ186" s="13">
        <f>BY186*VLOOKUP('Données projet'!$B$12,Paramètres!$A$1:$I$89,3,0)*VLOOKUP('Données projet'!$B$12,Paramètres!$A$1:$I$89,5,0)</f>
        <v>408.85000000000014</v>
      </c>
      <c r="CA186" s="13">
        <f t="shared" si="170"/>
        <v>93.568575358321141</v>
      </c>
      <c r="CB186" s="20">
        <f t="shared" si="171"/>
        <v>875.04568541574281</v>
      </c>
      <c r="CC186" s="59">
        <f t="shared" si="119"/>
        <v>1168.3790187490761</v>
      </c>
      <c r="CD186" s="59">
        <f ca="1">AVERAGE(OFFSET($CC$3,0,0,'Données projet'!$E$12+1,1))-AVERAGE(OFFSET($H$3,0,0,'Données projet'!$E$12+1,1))</f>
        <v>415.83983761562189</v>
      </c>
      <c r="CE186" s="59">
        <f t="shared" si="148"/>
        <v>339.37869344688829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8.8939212764885234</v>
      </c>
      <c r="CL186" s="21">
        <f>EXP(-LN(2)/25)*CL185+(1-EXP(-LN(2)/25))/(LN(2)/25)*Calculateur!CG186*Calculateur!CI186*VLOOKUP('Données projet'!$B$12,Paramètres!$A$1:$I$89,3,0)*0.475*44/12</f>
        <v>1.6866341441979744</v>
      </c>
      <c r="CM186" s="21">
        <f>EXP(-LN(2)/2)*CM185+(1-EXP(-LN(2)/2))/(LN(2)/2)*CG186*CJ186*VLOOKUP('Données projet'!$B$12,Paramètres!$A$1:$I$89,3,0)*0.475*44/12</f>
        <v>7.7018656538419402E-16</v>
      </c>
      <c r="CN186" s="22">
        <f t="shared" si="172"/>
        <v>10.580555420686498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268.00000000000011</v>
      </c>
      <c r="O187" s="13">
        <f>N187*VLOOKUP('Données projet'!$B$9,Paramètres!$A$1:$I$89,3,0)*VLOOKUP('Données projet'!$B$9,Paramètres!$A$1:$I$89,5,0)</f>
        <v>242.48640000000009</v>
      </c>
      <c r="P187" s="13">
        <f t="shared" si="141"/>
        <v>58.974170235372476</v>
      </c>
      <c r="Q187" s="20">
        <f t="shared" si="162"/>
        <v>525.04382649327385</v>
      </c>
      <c r="R187" s="59">
        <f t="shared" si="109"/>
        <v>818.37715982660711</v>
      </c>
      <c r="S187" s="59">
        <f ca="1">AVERAGE(OFFSET($R$3,0,0,'Données projet'!$E$9+1,1))-AVERAGE(OFFSET($H$3,0,0,'Données projet'!$E$9+1,1))</f>
        <v>258.68215148478868</v>
      </c>
      <c r="T187" s="59">
        <f t="shared" si="142"/>
        <v>153.16792125610209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16.426655927722248</v>
      </c>
      <c r="AA187" s="21">
        <f>EXP(-LN(2)/25)*AA186+(1-EXP(-LN(2)/25))/(LN(2)/25)*Calculateur!V187*Calculateur!X187*VLOOKUP('Données projet'!$B$9,Paramètres!$A$1:$I$89,3,0)*0.475*44/12</f>
        <v>0.41941858550434119</v>
      </c>
      <c r="AB187" s="21">
        <f>EXP(-LN(2)/2)*AB186+(1-EXP(-LN(2)/2))/(LN(2)/2)*V187*Y187*VLOOKUP('Données projet'!$B$9,Paramètres!$A$1:$I$89,3,0)*0.475*44/12</f>
        <v>2.4938809933848869E-10</v>
      </c>
      <c r="AC187" s="22">
        <f t="shared" si="163"/>
        <v>16.84607451347598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268.00000000000011</v>
      </c>
      <c r="AJ187" s="13">
        <f>AI187*VLOOKUP('Données projet'!$B$10,Paramètres!$A$1:$I$89,3,0)*VLOOKUP('Données projet'!$B$10,Paramètres!$A$1:$I$89,5,0)</f>
        <v>271.75200000000012</v>
      </c>
      <c r="AK187" s="13">
        <f t="shared" si="164"/>
        <v>65.220947824724988</v>
      </c>
      <c r="AL187" s="20">
        <f t="shared" si="165"/>
        <v>586.89455079472953</v>
      </c>
      <c r="AM187" s="59">
        <f t="shared" si="113"/>
        <v>880.2278841280629</v>
      </c>
      <c r="AN187" s="59">
        <f ca="1">AVERAGE(OFFSET($AM$3,0,0,'Données projet'!$E$10+1,1))-AVERAGE(OFFSET($H$3,0,0,'Données projet'!$E$10+1,1))</f>
        <v>298.68533387773886</v>
      </c>
      <c r="AO187" s="59">
        <f t="shared" si="144"/>
        <v>176.04868734496114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18.409183367274938</v>
      </c>
      <c r="AV187" s="21">
        <f>EXP(-LN(2)/25)*AV186+(1-EXP(-LN(2)/25))/(LN(2)/25)*Calculateur!AQ187*Calculateur!AS187*VLOOKUP('Données projet'!$B$10,Paramètres!$A$1:$I$89,3,0)*0.475*44/12</f>
        <v>0.47003806996176156</v>
      </c>
      <c r="AW187" s="21">
        <f>EXP(-LN(2)/2)*AW186+(1-EXP(-LN(2)/2))/(LN(2)/2)*AQ187*AT187*VLOOKUP('Données projet'!$B$10,Paramètres!$A$1:$I$89,3,0)*0.475*44/12</f>
        <v>2.7948666305175501E-10</v>
      </c>
      <c r="AX187" s="21">
        <f t="shared" si="166"/>
        <v>18.87922143751619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-5.999999999994543E-2</v>
      </c>
      <c r="BE187" s="13">
        <f>BD187*VLOOKUP('Données projet'!$B$11,Paramètres!$A$1:$I$89,3,0)*VLOOKUP('Données projet'!$B$11,Paramètres!$A$1:$I$89,5,0)</f>
        <v>-2.8079999999974462E-2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83.62456509032836</v>
      </c>
      <c r="BJ187" s="59">
        <f t="shared" si="146"/>
        <v>131.53128089847871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6.2565389887441762</v>
      </c>
      <c r="BQ187" s="21">
        <f>EXP(-LN(2)/25)*BQ186+(1-EXP(-LN(2)/25))/(LN(2)/25)*Calculateur!BL187*Calculateur!BN187*VLOOKUP('Données projet'!$B$11,Paramètres!$A$1:$I$89,3,0)*0.475*44/12</f>
        <v>1.0659167210454106</v>
      </c>
      <c r="BR187" s="21">
        <f>EXP(-LN(2)/2)*BR186+(1-EXP(-LN(2)/2))/(LN(2)/2)*BL187*BO187*VLOOKUP('Données projet'!$B$11,Paramètres!$A$1:$I$89,3,0)*0.475*44/12</f>
        <v>9.4097549312363055E-18</v>
      </c>
      <c r="BS187" s="22">
        <f t="shared" si="169"/>
        <v>7.3224557097895868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925.00000000000034</v>
      </c>
      <c r="BZ187" s="13">
        <f>BY187*VLOOKUP('Données projet'!$B$12,Paramètres!$A$1:$I$89,3,0)*VLOOKUP('Données projet'!$B$12,Paramètres!$A$1:$I$89,5,0)</f>
        <v>408.85000000000014</v>
      </c>
      <c r="CA187" s="13">
        <f t="shared" si="170"/>
        <v>93.568575358321141</v>
      </c>
      <c r="CB187" s="20">
        <f t="shared" si="171"/>
        <v>875.04568541574281</v>
      </c>
      <c r="CC187" s="59">
        <f t="shared" si="119"/>
        <v>1168.3790187490761</v>
      </c>
      <c r="CD187" s="59">
        <f ca="1">AVERAGE(OFFSET($CC$3,0,0,'Données projet'!$E$12+1,1))-AVERAGE(OFFSET($H$3,0,0,'Données projet'!$E$12+1,1))</f>
        <v>415.83983761562189</v>
      </c>
      <c r="CE187" s="59">
        <f t="shared" si="148"/>
        <v>339.37869344688829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8.7195169050129113</v>
      </c>
      <c r="CL187" s="21">
        <f>EXP(-LN(2)/25)*CL186+(1-EXP(-LN(2)/25))/(LN(2)/25)*Calculateur!CG187*Calculateur!CI187*VLOOKUP('Données projet'!$B$12,Paramètres!$A$1:$I$89,3,0)*0.475*44/12</f>
        <v>1.640513044828646</v>
      </c>
      <c r="CM187" s="21">
        <f>EXP(-LN(2)/2)*CM186+(1-EXP(-LN(2)/2))/(LN(2)/2)*CG187*CJ187*VLOOKUP('Données projet'!$B$12,Paramètres!$A$1:$I$89,3,0)*0.475*44/12</f>
        <v>5.4460414316193985E-16</v>
      </c>
      <c r="CN187" s="22">
        <f t="shared" si="172"/>
        <v>10.360029949841557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268.00000000000011</v>
      </c>
      <c r="O188" s="13">
        <f>N188*VLOOKUP('Données projet'!$B$9,Paramètres!$A$1:$I$89,3,0)*VLOOKUP('Données projet'!$B$9,Paramètres!$A$1:$I$89,5,0)</f>
        <v>242.48640000000009</v>
      </c>
      <c r="P188" s="13">
        <f t="shared" si="141"/>
        <v>58.974170235372476</v>
      </c>
      <c r="Q188" s="20">
        <f t="shared" si="162"/>
        <v>525.04382649327385</v>
      </c>
      <c r="R188" s="59">
        <f t="shared" si="109"/>
        <v>818.37715982660711</v>
      </c>
      <c r="S188" s="59">
        <f ca="1">AVERAGE(OFFSET($R$3,0,0,'Données projet'!$E$9+1,1))-AVERAGE(OFFSET($H$3,0,0,'Données projet'!$E$9+1,1))</f>
        <v>258.68215148478868</v>
      </c>
      <c r="T188" s="59">
        <f t="shared" si="142"/>
        <v>153.16792125610209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16.104539224250409</v>
      </c>
      <c r="AA188" s="21">
        <f>EXP(-LN(2)/25)*AA187+(1-EXP(-LN(2)/25))/(LN(2)/25)*Calculateur!V188*Calculateur!X188*VLOOKUP('Données projet'!$B$9,Paramètres!$A$1:$I$89,3,0)*0.475*44/12</f>
        <v>0.40794956222746015</v>
      </c>
      <c r="AB188" s="21">
        <f>EXP(-LN(2)/2)*AB187+(1-EXP(-LN(2)/2))/(LN(2)/2)*V188*Y188*VLOOKUP('Données projet'!$B$9,Paramètres!$A$1:$I$89,3,0)*0.475*44/12</f>
        <v>1.763440161894697E-10</v>
      </c>
      <c r="AC188" s="22">
        <f t="shared" si="163"/>
        <v>16.512488786654213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268.00000000000011</v>
      </c>
      <c r="AJ188" s="13">
        <f>AI188*VLOOKUP('Données projet'!$B$10,Paramètres!$A$1:$I$89,3,0)*VLOOKUP('Données projet'!$B$10,Paramètres!$A$1:$I$89,5,0)</f>
        <v>271.75200000000012</v>
      </c>
      <c r="AK188" s="13">
        <f t="shared" si="164"/>
        <v>65.220947824724988</v>
      </c>
      <c r="AL188" s="20">
        <f t="shared" si="165"/>
        <v>586.89455079472953</v>
      </c>
      <c r="AM188" s="59">
        <f t="shared" si="113"/>
        <v>880.2278841280629</v>
      </c>
      <c r="AN188" s="59">
        <f ca="1">AVERAGE(OFFSET($AM$3,0,0,'Données projet'!$E$10+1,1))-AVERAGE(OFFSET($H$3,0,0,'Données projet'!$E$10+1,1))</f>
        <v>298.68533387773886</v>
      </c>
      <c r="AO188" s="59">
        <f t="shared" si="144"/>
        <v>176.04868734496114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18.048190509935807</v>
      </c>
      <c r="AV188" s="21">
        <f>EXP(-LN(2)/25)*AV187+(1-EXP(-LN(2)/25))/(LN(2)/25)*Calculateur!AQ188*Calculateur!AS188*VLOOKUP('Données projet'!$B$10,Paramètres!$A$1:$I$89,3,0)*0.475*44/12</f>
        <v>0.45718485422042937</v>
      </c>
      <c r="AW188" s="21">
        <f>EXP(-LN(2)/2)*AW187+(1-EXP(-LN(2)/2))/(LN(2)/2)*AQ188*AT188*VLOOKUP('Données projet'!$B$10,Paramètres!$A$1:$I$89,3,0)*0.475*44/12</f>
        <v>1.9762691469509567E-10</v>
      </c>
      <c r="AX188" s="21">
        <f t="shared" si="166"/>
        <v>18.505375364353863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-5.999999999994543E-2</v>
      </c>
      <c r="BE188" s="13">
        <f>BD188*VLOOKUP('Données projet'!$B$11,Paramètres!$A$1:$I$89,3,0)*VLOOKUP('Données projet'!$B$11,Paramètres!$A$1:$I$89,5,0)</f>
        <v>-2.8079999999974462E-2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83.62456509032836</v>
      </c>
      <c r="BJ188" s="59">
        <f t="shared" si="146"/>
        <v>131.53128089847871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6.1338520752868764</v>
      </c>
      <c r="BQ188" s="21">
        <f>EXP(-LN(2)/25)*BQ187+(1-EXP(-LN(2)/25))/(LN(2)/25)*Calculateur!BL188*Calculateur!BN188*VLOOKUP('Données projet'!$B$11,Paramètres!$A$1:$I$89,3,0)*0.475*44/12</f>
        <v>1.0367691722542995</v>
      </c>
      <c r="BR188" s="21">
        <f>EXP(-LN(2)/2)*BR187+(1-EXP(-LN(2)/2))/(LN(2)/2)*BL188*BO188*VLOOKUP('Données projet'!$B$11,Paramètres!$A$1:$I$89,3,0)*0.475*44/12</f>
        <v>6.6537015211807469E-18</v>
      </c>
      <c r="BS188" s="22">
        <f t="shared" si="169"/>
        <v>7.1706212475411757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925.00000000000034</v>
      </c>
      <c r="BZ188" s="13">
        <f>BY188*VLOOKUP('Données projet'!$B$12,Paramètres!$A$1:$I$89,3,0)*VLOOKUP('Données projet'!$B$12,Paramètres!$A$1:$I$89,5,0)</f>
        <v>408.85000000000014</v>
      </c>
      <c r="CA188" s="13">
        <f t="shared" si="170"/>
        <v>93.568575358321141</v>
      </c>
      <c r="CB188" s="20">
        <f t="shared" si="171"/>
        <v>875.04568541574281</v>
      </c>
      <c r="CC188" s="59">
        <f t="shared" si="119"/>
        <v>1168.3790187490761</v>
      </c>
      <c r="CD188" s="59">
        <f ca="1">AVERAGE(OFFSET($CC$3,0,0,'Données projet'!$E$12+1,1))-AVERAGE(OFFSET($H$3,0,0,'Données projet'!$E$12+1,1))</f>
        <v>415.83983761562189</v>
      </c>
      <c r="CE188" s="59">
        <f t="shared" si="148"/>
        <v>339.37869344688829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8.5485324968857732</v>
      </c>
      <c r="CL188" s="21">
        <f>EXP(-LN(2)/25)*CL187+(1-EXP(-LN(2)/25))/(LN(2)/25)*Calculateur!CG188*Calculateur!CI188*VLOOKUP('Données projet'!$B$12,Paramètres!$A$1:$I$89,3,0)*0.475*44/12</f>
        <v>1.5956531293469751</v>
      </c>
      <c r="CM188" s="21">
        <f>EXP(-LN(2)/2)*CM187+(1-EXP(-LN(2)/2))/(LN(2)/2)*CG188*CJ188*VLOOKUP('Données projet'!$B$12,Paramètres!$A$1:$I$89,3,0)*0.475*44/12</f>
        <v>3.8509328269209701E-16</v>
      </c>
      <c r="CN188" s="22">
        <f t="shared" si="172"/>
        <v>10.144185626232748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268.00000000000011</v>
      </c>
      <c r="O189" s="13">
        <f>N189*VLOOKUP('Données projet'!$B$9,Paramètres!$A$1:$I$89,3,0)*VLOOKUP('Données projet'!$B$9,Paramètres!$A$1:$I$89,5,0)</f>
        <v>242.48640000000009</v>
      </c>
      <c r="P189" s="13">
        <f t="shared" si="141"/>
        <v>58.974170235372476</v>
      </c>
      <c r="Q189" s="20">
        <f t="shared" si="162"/>
        <v>525.04382649327385</v>
      </c>
      <c r="R189" s="59">
        <f t="shared" si="109"/>
        <v>818.37715982660711</v>
      </c>
      <c r="S189" s="59">
        <f ca="1">AVERAGE(OFFSET($R$3,0,0,'Données projet'!$E$9+1,1))-AVERAGE(OFFSET($H$3,0,0,'Données projet'!$E$9+1,1))</f>
        <v>258.68215148478868</v>
      </c>
      <c r="T189" s="59">
        <f t="shared" si="142"/>
        <v>153.16792125610209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15.788739032861864</v>
      </c>
      <c r="AA189" s="21">
        <f>EXP(-LN(2)/25)*AA188+(1-EXP(-LN(2)/25))/(LN(2)/25)*Calculateur!V189*Calculateur!X189*VLOOKUP('Données projet'!$B$9,Paramètres!$A$1:$I$89,3,0)*0.475*44/12</f>
        <v>0.39679415999521517</v>
      </c>
      <c r="AB189" s="21">
        <f>EXP(-LN(2)/2)*AB188+(1-EXP(-LN(2)/2))/(LN(2)/2)*V189*Y189*VLOOKUP('Données projet'!$B$9,Paramètres!$A$1:$I$89,3,0)*0.475*44/12</f>
        <v>1.2469404966924435E-10</v>
      </c>
      <c r="AC189" s="22">
        <f t="shared" si="163"/>
        <v>16.185533192981772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268.00000000000011</v>
      </c>
      <c r="AJ189" s="13">
        <f>AI189*VLOOKUP('Données projet'!$B$10,Paramètres!$A$1:$I$89,3,0)*VLOOKUP('Données projet'!$B$10,Paramètres!$A$1:$I$89,5,0)</f>
        <v>271.75200000000012</v>
      </c>
      <c r="AK189" s="13">
        <f t="shared" si="164"/>
        <v>65.220947824724988</v>
      </c>
      <c r="AL189" s="20">
        <f t="shared" si="165"/>
        <v>586.89455079472953</v>
      </c>
      <c r="AM189" s="59">
        <f t="shared" si="113"/>
        <v>880.2278841280629</v>
      </c>
      <c r="AN189" s="59">
        <f ca="1">AVERAGE(OFFSET($AM$3,0,0,'Données projet'!$E$10+1,1))-AVERAGE(OFFSET($H$3,0,0,'Données projet'!$E$10+1,1))</f>
        <v>298.68533387773886</v>
      </c>
      <c r="AO189" s="59">
        <f t="shared" si="144"/>
        <v>176.04868734496114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17.694276502345197</v>
      </c>
      <c r="AV189" s="21">
        <f>EXP(-LN(2)/25)*AV188+(1-EXP(-LN(2)/25))/(LN(2)/25)*Calculateur!AQ189*Calculateur!AS189*VLOOKUP('Données projet'!$B$10,Paramètres!$A$1:$I$89,3,0)*0.475*44/12</f>
        <v>0.44468311033946517</v>
      </c>
      <c r="AW189" s="21">
        <f>EXP(-LN(2)/2)*AW188+(1-EXP(-LN(2)/2))/(LN(2)/2)*AQ189*AT189*VLOOKUP('Données projet'!$B$10,Paramètres!$A$1:$I$89,3,0)*0.475*44/12</f>
        <v>1.3974333152587751E-10</v>
      </c>
      <c r="AX189" s="21">
        <f t="shared" si="166"/>
        <v>18.138959612824404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-5.999999999994543E-2</v>
      </c>
      <c r="BE189" s="13">
        <f>BD189*VLOOKUP('Données projet'!$B$11,Paramètres!$A$1:$I$89,3,0)*VLOOKUP('Données projet'!$B$11,Paramètres!$A$1:$I$89,5,0)</f>
        <v>-2.8079999999974462E-2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83.62456509032836</v>
      </c>
      <c r="BJ189" s="59">
        <f t="shared" si="146"/>
        <v>131.53128089847871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6.0135709773708461</v>
      </c>
      <c r="BQ189" s="21">
        <f>EXP(-LN(2)/25)*BQ188+(1-EXP(-LN(2)/25))/(LN(2)/25)*Calculateur!BL189*Calculateur!BN189*VLOOKUP('Données projet'!$B$11,Paramètres!$A$1:$I$89,3,0)*0.475*44/12</f>
        <v>1.0084186647176845</v>
      </c>
      <c r="BR189" s="21">
        <f>EXP(-LN(2)/2)*BR188+(1-EXP(-LN(2)/2))/(LN(2)/2)*BL189*BO189*VLOOKUP('Données projet'!$B$11,Paramètres!$A$1:$I$89,3,0)*0.475*44/12</f>
        <v>4.7048774656181527E-18</v>
      </c>
      <c r="BS189" s="22">
        <f t="shared" si="169"/>
        <v>7.0219896420885304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925.00000000000034</v>
      </c>
      <c r="BZ189" s="13">
        <f>BY189*VLOOKUP('Données projet'!$B$12,Paramètres!$A$1:$I$89,3,0)*VLOOKUP('Données projet'!$B$12,Paramètres!$A$1:$I$89,5,0)</f>
        <v>408.85000000000014</v>
      </c>
      <c r="CA189" s="13">
        <f t="shared" si="170"/>
        <v>93.568575358321141</v>
      </c>
      <c r="CB189" s="20">
        <f t="shared" si="171"/>
        <v>875.04568541574281</v>
      </c>
      <c r="CC189" s="59">
        <f t="shared" si="119"/>
        <v>1168.3790187490761</v>
      </c>
      <c r="CD189" s="59">
        <f ca="1">AVERAGE(OFFSET($CC$3,0,0,'Données projet'!$E$12+1,1))-AVERAGE(OFFSET($H$3,0,0,'Données projet'!$E$12+1,1))</f>
        <v>415.83983761562189</v>
      </c>
      <c r="CE189" s="59">
        <f t="shared" si="148"/>
        <v>339.37869344688829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8.3809009887118169</v>
      </c>
      <c r="CL189" s="21">
        <f>EXP(-LN(2)/25)*CL188+(1-EXP(-LN(2)/25))/(LN(2)/25)*Calculateur!CG189*Calculateur!CI189*VLOOKUP('Données projet'!$B$12,Paramètres!$A$1:$I$89,3,0)*0.475*44/12</f>
        <v>1.5520199106132309</v>
      </c>
      <c r="CM189" s="21">
        <f>EXP(-LN(2)/2)*CM188+(1-EXP(-LN(2)/2))/(LN(2)/2)*CG189*CJ189*VLOOKUP('Données projet'!$B$12,Paramètres!$A$1:$I$89,3,0)*0.475*44/12</f>
        <v>2.7230207158096992E-16</v>
      </c>
      <c r="CN189" s="22">
        <f t="shared" si="172"/>
        <v>9.9329208993250475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268.00000000000011</v>
      </c>
      <c r="O190" s="13">
        <f>N190*VLOOKUP('Données projet'!$B$9,Paramètres!$A$1:$I$89,3,0)*VLOOKUP('Données projet'!$B$9,Paramètres!$A$1:$I$89,5,0)</f>
        <v>242.48640000000009</v>
      </c>
      <c r="P190" s="13">
        <f t="shared" si="141"/>
        <v>58.974170235372476</v>
      </c>
      <c r="Q190" s="20">
        <f t="shared" si="162"/>
        <v>525.04382649327385</v>
      </c>
      <c r="R190" s="59">
        <f t="shared" si="109"/>
        <v>818.37715982660711</v>
      </c>
      <c r="S190" s="59">
        <f ca="1">AVERAGE(OFFSET($R$3,0,0,'Données projet'!$E$9+1,1))-AVERAGE(OFFSET($H$3,0,0,'Données projet'!$E$9+1,1))</f>
        <v>258.68215148478868</v>
      </c>
      <c r="T190" s="59">
        <f t="shared" si="142"/>
        <v>153.16792125610209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15.479131490607351</v>
      </c>
      <c r="AA190" s="21">
        <f>EXP(-LN(2)/25)*AA189+(1-EXP(-LN(2)/25))/(LN(2)/25)*Calculateur!V190*Calculateur!X190*VLOOKUP('Données projet'!$B$9,Paramètres!$A$1:$I$89,3,0)*0.475*44/12</f>
        <v>0.38594380282364804</v>
      </c>
      <c r="AB190" s="21">
        <f>EXP(-LN(2)/2)*AB189+(1-EXP(-LN(2)/2))/(LN(2)/2)*V190*Y190*VLOOKUP('Données projet'!$B$9,Paramètres!$A$1:$I$89,3,0)*0.475*44/12</f>
        <v>8.817200809473485E-11</v>
      </c>
      <c r="AC190" s="22">
        <f t="shared" si="163"/>
        <v>15.865075293519171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268.00000000000011</v>
      </c>
      <c r="AJ190" s="13">
        <f>AI190*VLOOKUP('Données projet'!$B$10,Paramètres!$A$1:$I$89,3,0)*VLOOKUP('Données projet'!$B$10,Paramètres!$A$1:$I$89,5,0)</f>
        <v>271.75200000000012</v>
      </c>
      <c r="AK190" s="13">
        <f t="shared" si="164"/>
        <v>65.220947824724988</v>
      </c>
      <c r="AL190" s="20">
        <f t="shared" si="165"/>
        <v>586.89455079472953</v>
      </c>
      <c r="AM190" s="59">
        <f t="shared" si="113"/>
        <v>880.2278841280629</v>
      </c>
      <c r="AN190" s="59">
        <f ca="1">AVERAGE(OFFSET($AM$3,0,0,'Données projet'!$E$10+1,1))-AVERAGE(OFFSET($H$3,0,0,'Données projet'!$E$10+1,1))</f>
        <v>298.68533387773886</v>
      </c>
      <c r="AO190" s="59">
        <f t="shared" si="144"/>
        <v>176.04868734496114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17.34730253257721</v>
      </c>
      <c r="AV190" s="21">
        <f>EXP(-LN(2)/25)*AV189+(1-EXP(-LN(2)/25))/(LN(2)/25)*Calculateur!AQ190*Calculateur!AS190*VLOOKUP('Données projet'!$B$10,Paramètres!$A$1:$I$89,3,0)*0.475*44/12</f>
        <v>0.43252322730236403</v>
      </c>
      <c r="AW190" s="21">
        <f>EXP(-LN(2)/2)*AW189+(1-EXP(-LN(2)/2))/(LN(2)/2)*AQ190*AT190*VLOOKUP('Données projet'!$B$10,Paramètres!$A$1:$I$89,3,0)*0.475*44/12</f>
        <v>9.8813457347547836E-11</v>
      </c>
      <c r="AX190" s="21">
        <f t="shared" si="166"/>
        <v>17.77982575997839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-5.999999999994543E-2</v>
      </c>
      <c r="BE190" s="13">
        <f>BD190*VLOOKUP('Données projet'!$B$11,Paramètres!$A$1:$I$89,3,0)*VLOOKUP('Données projet'!$B$11,Paramètres!$A$1:$I$89,5,0)</f>
        <v>-2.8079999999974462E-2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83.62456509032836</v>
      </c>
      <c r="BJ190" s="59">
        <f t="shared" si="146"/>
        <v>131.53128089847871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5.8956485184207237</v>
      </c>
      <c r="BQ190" s="21">
        <f>EXP(-LN(2)/25)*BQ189+(1-EXP(-LN(2)/25))/(LN(2)/25)*Calculateur!BL190*Calculateur!BN190*VLOOKUP('Données projet'!$B$11,Paramètres!$A$1:$I$89,3,0)*0.475*44/12</f>
        <v>0.98084340330054665</v>
      </c>
      <c r="BR190" s="21">
        <f>EXP(-LN(2)/2)*BR189+(1-EXP(-LN(2)/2))/(LN(2)/2)*BL190*BO190*VLOOKUP('Données projet'!$B$11,Paramètres!$A$1:$I$89,3,0)*0.475*44/12</f>
        <v>3.3268507605903735E-18</v>
      </c>
      <c r="BS190" s="22">
        <f t="shared" si="169"/>
        <v>6.8764919217212706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925.00000000000034</v>
      </c>
      <c r="BZ190" s="13">
        <f>BY190*VLOOKUP('Données projet'!$B$12,Paramètres!$A$1:$I$89,3,0)*VLOOKUP('Données projet'!$B$12,Paramètres!$A$1:$I$89,5,0)</f>
        <v>408.85000000000014</v>
      </c>
      <c r="CA190" s="13">
        <f t="shared" si="170"/>
        <v>93.568575358321141</v>
      </c>
      <c r="CB190" s="20">
        <f t="shared" si="171"/>
        <v>875.04568541574281</v>
      </c>
      <c r="CC190" s="59">
        <f t="shared" si="119"/>
        <v>1168.3790187490761</v>
      </c>
      <c r="CD190" s="59">
        <f ca="1">AVERAGE(OFFSET($CC$3,0,0,'Données projet'!$E$12+1,1))-AVERAGE(OFFSET($H$3,0,0,'Données projet'!$E$12+1,1))</f>
        <v>415.83983761562189</v>
      </c>
      <c r="CE190" s="59">
        <f t="shared" si="148"/>
        <v>339.37869344688829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8.2165566321680288</v>
      </c>
      <c r="CL190" s="21">
        <f>EXP(-LN(2)/25)*CL189+(1-EXP(-LN(2)/25))/(LN(2)/25)*Calculateur!CG190*Calculateur!CI190*VLOOKUP('Données projet'!$B$12,Paramètres!$A$1:$I$89,3,0)*0.475*44/12</f>
        <v>1.5095798445403321</v>
      </c>
      <c r="CM190" s="21">
        <f>EXP(-LN(2)/2)*CM189+(1-EXP(-LN(2)/2))/(LN(2)/2)*CG190*CJ190*VLOOKUP('Données projet'!$B$12,Paramètres!$A$1:$I$89,3,0)*0.475*44/12</f>
        <v>1.9254664134604851E-16</v>
      </c>
      <c r="CN190" s="22">
        <f t="shared" si="172"/>
        <v>9.7261364767083602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268.00000000000011</v>
      </c>
      <c r="O191" s="13">
        <f>N191*VLOOKUP('Données projet'!$B$9,Paramètres!$A$1:$I$89,3,0)*VLOOKUP('Données projet'!$B$9,Paramètres!$A$1:$I$89,5,0)</f>
        <v>242.48640000000009</v>
      </c>
      <c r="P191" s="13">
        <f t="shared" si="141"/>
        <v>58.974170235372476</v>
      </c>
      <c r="Q191" s="20">
        <f t="shared" si="162"/>
        <v>525.04382649327385</v>
      </c>
      <c r="R191" s="59">
        <f t="shared" si="109"/>
        <v>818.37715982660711</v>
      </c>
      <c r="S191" s="59">
        <f ca="1">AVERAGE(OFFSET($R$3,0,0,'Données projet'!$E$9+1,1))-AVERAGE(OFFSET($H$3,0,0,'Données projet'!$E$9+1,1))</f>
        <v>258.68215148478868</v>
      </c>
      <c r="T191" s="59">
        <f t="shared" si="142"/>
        <v>153.16792125610209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15.175595163414496</v>
      </c>
      <c r="AA191" s="21">
        <f>EXP(-LN(2)/25)*AA190+(1-EXP(-LN(2)/25))/(LN(2)/25)*Calculateur!V191*Calculateur!X191*VLOOKUP('Données projet'!$B$9,Paramètres!$A$1:$I$89,3,0)*0.475*44/12</f>
        <v>0.3753901492395329</v>
      </c>
      <c r="AB191" s="21">
        <f>EXP(-LN(2)/2)*AB190+(1-EXP(-LN(2)/2))/(LN(2)/2)*V191*Y191*VLOOKUP('Données projet'!$B$9,Paramètres!$A$1:$I$89,3,0)*0.475*44/12</f>
        <v>6.2347024834622173E-11</v>
      </c>
      <c r="AC191" s="22">
        <f t="shared" si="163"/>
        <v>15.550985312716374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268.00000000000011</v>
      </c>
      <c r="AJ191" s="13">
        <f>AI191*VLOOKUP('Données projet'!$B$10,Paramètres!$A$1:$I$89,3,0)*VLOOKUP('Données projet'!$B$10,Paramètres!$A$1:$I$89,5,0)</f>
        <v>271.75200000000012</v>
      </c>
      <c r="AK191" s="13">
        <f t="shared" si="164"/>
        <v>65.220947824724988</v>
      </c>
      <c r="AL191" s="20">
        <f t="shared" si="165"/>
        <v>586.89455079472953</v>
      </c>
      <c r="AM191" s="59">
        <f t="shared" si="113"/>
        <v>880.2278841280629</v>
      </c>
      <c r="AN191" s="59">
        <f ca="1">AVERAGE(OFFSET($AM$3,0,0,'Données projet'!$E$10+1,1))-AVERAGE(OFFSET($H$3,0,0,'Données projet'!$E$10+1,1))</f>
        <v>298.68533387773886</v>
      </c>
      <c r="AO191" s="59">
        <f t="shared" si="144"/>
        <v>176.04868734496114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17.007132510723146</v>
      </c>
      <c r="AV191" s="21">
        <f>EXP(-LN(2)/25)*AV190+(1-EXP(-LN(2)/25))/(LN(2)/25)*Calculateur!AQ191*Calculateur!AS191*VLOOKUP('Données projet'!$B$10,Paramètres!$A$1:$I$89,3,0)*0.475*44/12</f>
        <v>0.4206958569063729</v>
      </c>
      <c r="AW191" s="21">
        <f>EXP(-LN(2)/2)*AW190+(1-EXP(-LN(2)/2))/(LN(2)/2)*AQ191*AT191*VLOOKUP('Données projet'!$B$10,Paramètres!$A$1:$I$89,3,0)*0.475*44/12</f>
        <v>6.9871665762938753E-11</v>
      </c>
      <c r="AX191" s="21">
        <f t="shared" si="166"/>
        <v>17.427828367699391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-5.999999999994543E-2</v>
      </c>
      <c r="BE191" s="13">
        <f>BD191*VLOOKUP('Données projet'!$B$11,Paramètres!$A$1:$I$89,3,0)*VLOOKUP('Données projet'!$B$11,Paramètres!$A$1:$I$89,5,0)</f>
        <v>-2.8079999999974462E-2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83.62456509032836</v>
      </c>
      <c r="BJ191" s="59">
        <f t="shared" si="146"/>
        <v>131.53128089847871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5.7800384469650146</v>
      </c>
      <c r="BQ191" s="21">
        <f>EXP(-LN(2)/25)*BQ190+(1-EXP(-LN(2)/25))/(LN(2)/25)*Calculateur!BL191*Calculateur!BN191*VLOOKUP('Données projet'!$B$11,Paramètres!$A$1:$I$89,3,0)*0.475*44/12</f>
        <v>0.95402218885698031</v>
      </c>
      <c r="BR191" s="21">
        <f>EXP(-LN(2)/2)*BR190+(1-EXP(-LN(2)/2))/(LN(2)/2)*BL191*BO191*VLOOKUP('Données projet'!$B$11,Paramètres!$A$1:$I$89,3,0)*0.475*44/12</f>
        <v>2.3524387328090764E-18</v>
      </c>
      <c r="BS191" s="22">
        <f t="shared" si="169"/>
        <v>6.7340606358219945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925.00000000000034</v>
      </c>
      <c r="BZ191" s="13">
        <f>BY191*VLOOKUP('Données projet'!$B$12,Paramètres!$A$1:$I$89,3,0)*VLOOKUP('Données projet'!$B$12,Paramètres!$A$1:$I$89,5,0)</f>
        <v>408.85000000000014</v>
      </c>
      <c r="CA191" s="13">
        <f t="shared" si="170"/>
        <v>93.568575358321141</v>
      </c>
      <c r="CB191" s="20">
        <f t="shared" si="171"/>
        <v>875.04568541574281</v>
      </c>
      <c r="CC191" s="59">
        <f t="shared" si="119"/>
        <v>1168.3790187490761</v>
      </c>
      <c r="CD191" s="59">
        <f ca="1">AVERAGE(OFFSET($CC$3,0,0,'Données projet'!$E$12+1,1))-AVERAGE(OFFSET($H$3,0,0,'Données projet'!$E$12+1,1))</f>
        <v>415.83983761562189</v>
      </c>
      <c r="CE191" s="59">
        <f t="shared" si="148"/>
        <v>339.37869344688829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8.0554349682159039</v>
      </c>
      <c r="CL191" s="21">
        <f>EXP(-LN(2)/25)*CL190+(1-EXP(-LN(2)/25))/(LN(2)/25)*Calculateur!CG191*Calculateur!CI191*VLOOKUP('Données projet'!$B$12,Paramètres!$A$1:$I$89,3,0)*0.475*44/12</f>
        <v>1.468300304306023</v>
      </c>
      <c r="CM191" s="21">
        <f>EXP(-LN(2)/2)*CM190+(1-EXP(-LN(2)/2))/(LN(2)/2)*CG191*CJ191*VLOOKUP('Données projet'!$B$12,Paramètres!$A$1:$I$89,3,0)*0.475*44/12</f>
        <v>1.3615103579048496E-16</v>
      </c>
      <c r="CN191" s="22">
        <f t="shared" si="172"/>
        <v>9.5237352725219271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268.00000000000011</v>
      </c>
      <c r="O192" s="13">
        <f>N192*VLOOKUP('Données projet'!$B$9,Paramètres!$A$1:$I$89,3,0)*VLOOKUP('Données projet'!$B$9,Paramètres!$A$1:$I$89,5,0)</f>
        <v>242.48640000000009</v>
      </c>
      <c r="P192" s="13">
        <f t="shared" si="141"/>
        <v>58.974170235372476</v>
      </c>
      <c r="Q192" s="20">
        <f t="shared" si="162"/>
        <v>525.04382649327385</v>
      </c>
      <c r="R192" s="59">
        <f t="shared" si="109"/>
        <v>818.37715982660711</v>
      </c>
      <c r="S192" s="59">
        <f ca="1">AVERAGE(OFFSET($R$3,0,0,'Données projet'!$E$9+1,1))-AVERAGE(OFFSET($H$3,0,0,'Données projet'!$E$9+1,1))</f>
        <v>258.68215148478868</v>
      </c>
      <c r="T192" s="59">
        <f t="shared" si="142"/>
        <v>153.16792125610209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14.878010998459013</v>
      </c>
      <c r="AA192" s="21">
        <f>EXP(-LN(2)/25)*AA191+(1-EXP(-LN(2)/25))/(LN(2)/25)*Calculateur!V192*Calculateur!X192*VLOOKUP('Données projet'!$B$9,Paramètres!$A$1:$I$89,3,0)*0.475*44/12</f>
        <v>0.3651250858676679</v>
      </c>
      <c r="AB192" s="21">
        <f>EXP(-LN(2)/2)*AB191+(1-EXP(-LN(2)/2))/(LN(2)/2)*V192*Y192*VLOOKUP('Données projet'!$B$9,Paramètres!$A$1:$I$89,3,0)*0.475*44/12</f>
        <v>4.4086004047367425E-11</v>
      </c>
      <c r="AC192" s="22">
        <f t="shared" si="163"/>
        <v>15.243136084370766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268.00000000000011</v>
      </c>
      <c r="AJ192" s="13">
        <f>AI192*VLOOKUP('Données projet'!$B$10,Paramètres!$A$1:$I$89,3,0)*VLOOKUP('Données projet'!$B$10,Paramètres!$A$1:$I$89,5,0)</f>
        <v>271.75200000000012</v>
      </c>
      <c r="AK192" s="13">
        <f t="shared" si="164"/>
        <v>65.220947824724988</v>
      </c>
      <c r="AL192" s="20">
        <f t="shared" si="165"/>
        <v>586.89455079472953</v>
      </c>
      <c r="AM192" s="59">
        <f t="shared" si="113"/>
        <v>880.2278841280629</v>
      </c>
      <c r="AN192" s="59">
        <f ca="1">AVERAGE(OFFSET($AM$3,0,0,'Données projet'!$E$10+1,1))-AVERAGE(OFFSET($H$3,0,0,'Données projet'!$E$10+1,1))</f>
        <v>298.68533387773886</v>
      </c>
      <c r="AO192" s="59">
        <f t="shared" si="144"/>
        <v>176.04868734496114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16.673633015514415</v>
      </c>
      <c r="AV192" s="21">
        <f>EXP(-LN(2)/25)*AV191+(1-EXP(-LN(2)/25))/(LN(2)/25)*Calculateur!AQ192*Calculateur!AS192*VLOOKUP('Données projet'!$B$10,Paramètres!$A$1:$I$89,3,0)*0.475*44/12</f>
        <v>0.40919190657583454</v>
      </c>
      <c r="AW192" s="21">
        <f>EXP(-LN(2)/2)*AW191+(1-EXP(-LN(2)/2))/(LN(2)/2)*AQ192*AT192*VLOOKUP('Données projet'!$B$10,Paramètres!$A$1:$I$89,3,0)*0.475*44/12</f>
        <v>4.9406728673773918E-11</v>
      </c>
      <c r="AX192" s="21">
        <f t="shared" si="166"/>
        <v>17.082824922139658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-5.999999999994543E-2</v>
      </c>
      <c r="BE192" s="13">
        <f>BD192*VLOOKUP('Données projet'!$B$11,Paramètres!$A$1:$I$89,3,0)*VLOOKUP('Données projet'!$B$11,Paramètres!$A$1:$I$89,5,0)</f>
        <v>-2.8079999999974462E-2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83.62456509032836</v>
      </c>
      <c r="BJ192" s="59">
        <f t="shared" si="146"/>
        <v>131.53128089847871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5.6666954184953715</v>
      </c>
      <c r="BQ192" s="21">
        <f>EXP(-LN(2)/25)*BQ191+(1-EXP(-LN(2)/25))/(LN(2)/25)*Calculateur!BL192*Calculateur!BN192*VLOOKUP('Données projet'!$B$11,Paramètres!$A$1:$I$89,3,0)*0.475*44/12</f>
        <v>0.92793440193283971</v>
      </c>
      <c r="BR192" s="21">
        <f>EXP(-LN(2)/2)*BR191+(1-EXP(-LN(2)/2))/(LN(2)/2)*BL192*BO192*VLOOKUP('Données projet'!$B$11,Paramètres!$A$1:$I$89,3,0)*0.475*44/12</f>
        <v>1.6634253802951867E-18</v>
      </c>
      <c r="BS192" s="22">
        <f t="shared" si="169"/>
        <v>6.594629820428211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925.00000000000034</v>
      </c>
      <c r="BZ192" s="13">
        <f>BY192*VLOOKUP('Données projet'!$B$12,Paramètres!$A$1:$I$89,3,0)*VLOOKUP('Données projet'!$B$12,Paramètres!$A$1:$I$89,5,0)</f>
        <v>408.85000000000014</v>
      </c>
      <c r="CA192" s="13">
        <f t="shared" si="170"/>
        <v>93.568575358321141</v>
      </c>
      <c r="CB192" s="20">
        <f t="shared" si="171"/>
        <v>875.04568541574281</v>
      </c>
      <c r="CC192" s="59">
        <f t="shared" si="119"/>
        <v>1168.3790187490761</v>
      </c>
      <c r="CD192" s="59">
        <f ca="1">AVERAGE(OFFSET($CC$3,0,0,'Données projet'!$E$12+1,1))-AVERAGE(OFFSET($H$3,0,0,'Données projet'!$E$12+1,1))</f>
        <v>415.83983761562189</v>
      </c>
      <c r="CE192" s="59">
        <f t="shared" si="148"/>
        <v>339.37869344688829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7.8974728018193696</v>
      </c>
      <c r="CL192" s="21">
        <f>EXP(-LN(2)/25)*CL191+(1-EXP(-LN(2)/25))/(LN(2)/25)*Calculateur!CG192*Calculateur!CI192*VLOOKUP('Données projet'!$B$12,Paramètres!$A$1:$I$89,3,0)*0.475*44/12</f>
        <v>1.4281495552702177</v>
      </c>
      <c r="CM192" s="21">
        <f>EXP(-LN(2)/2)*CM191+(1-EXP(-LN(2)/2))/(LN(2)/2)*CG192*CJ192*VLOOKUP('Données projet'!$B$12,Paramètres!$A$1:$I$89,3,0)*0.475*44/12</f>
        <v>9.6273320673024253E-17</v>
      </c>
      <c r="CN192" s="22">
        <f t="shared" si="172"/>
        <v>9.3256223570895873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268.00000000000011</v>
      </c>
      <c r="O193" s="13">
        <f>N193*VLOOKUP('Données projet'!$B$9,Paramètres!$A$1:$I$89,3,0)*VLOOKUP('Données projet'!$B$9,Paramètres!$A$1:$I$89,5,0)</f>
        <v>242.48640000000009</v>
      </c>
      <c r="P193" s="13">
        <f t="shared" si="141"/>
        <v>58.974170235372476</v>
      </c>
      <c r="Q193" s="20">
        <f t="shared" si="162"/>
        <v>525.04382649327385</v>
      </c>
      <c r="R193" s="59">
        <f t="shared" si="109"/>
        <v>818.37715982660711</v>
      </c>
      <c r="S193" s="59">
        <f ca="1">AVERAGE(OFFSET($R$3,0,0,'Données projet'!$E$9+1,1))-AVERAGE(OFFSET($H$3,0,0,'Données projet'!$E$9+1,1))</f>
        <v>258.68215148478868</v>
      </c>
      <c r="T193" s="59">
        <f t="shared" si="142"/>
        <v>153.16792125610209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14.58626227746989</v>
      </c>
      <c r="AA193" s="21">
        <f>EXP(-LN(2)/25)*AA192+(1-EXP(-LN(2)/25))/(LN(2)/25)*Calculateur!V193*Calculateur!X193*VLOOKUP('Données projet'!$B$9,Paramètres!$A$1:$I$89,3,0)*0.475*44/12</f>
        <v>0.35514072119352275</v>
      </c>
      <c r="AB193" s="21">
        <f>EXP(-LN(2)/2)*AB192+(1-EXP(-LN(2)/2))/(LN(2)/2)*V193*Y193*VLOOKUP('Données projet'!$B$9,Paramètres!$A$1:$I$89,3,0)*0.475*44/12</f>
        <v>3.1173512417311086E-11</v>
      </c>
      <c r="AC193" s="22">
        <f t="shared" si="163"/>
        <v>14.941402998694587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268.00000000000011</v>
      </c>
      <c r="AJ193" s="13">
        <f>AI193*VLOOKUP('Données projet'!$B$10,Paramètres!$A$1:$I$89,3,0)*VLOOKUP('Données projet'!$B$10,Paramètres!$A$1:$I$89,5,0)</f>
        <v>271.75200000000012</v>
      </c>
      <c r="AK193" s="13">
        <f t="shared" si="164"/>
        <v>65.220947824724988</v>
      </c>
      <c r="AL193" s="20">
        <f t="shared" si="165"/>
        <v>586.89455079472953</v>
      </c>
      <c r="AM193" s="59">
        <f t="shared" si="113"/>
        <v>880.2278841280629</v>
      </c>
      <c r="AN193" s="59">
        <f ca="1">AVERAGE(OFFSET($AM$3,0,0,'Données projet'!$E$10+1,1))-AVERAGE(OFFSET($H$3,0,0,'Données projet'!$E$10+1,1))</f>
        <v>298.68533387773886</v>
      </c>
      <c r="AO193" s="59">
        <f t="shared" si="144"/>
        <v>176.04868734496114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16.346673241992121</v>
      </c>
      <c r="AV193" s="21">
        <f>EXP(-LN(2)/25)*AV192+(1-EXP(-LN(2)/25))/(LN(2)/25)*Calculateur!AQ193*Calculateur!AS193*VLOOKUP('Données projet'!$B$10,Paramètres!$A$1:$I$89,3,0)*0.475*44/12</f>
        <v>0.39800253237205119</v>
      </c>
      <c r="AW193" s="21">
        <f>EXP(-LN(2)/2)*AW192+(1-EXP(-LN(2)/2))/(LN(2)/2)*AQ193*AT193*VLOOKUP('Données projet'!$B$10,Paramètres!$A$1:$I$89,3,0)*0.475*44/12</f>
        <v>3.4935832881469377E-11</v>
      </c>
      <c r="AX193" s="21">
        <f t="shared" si="166"/>
        <v>16.744675774399109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-5.999999999994543E-2</v>
      </c>
      <c r="BE193" s="13">
        <f>BD193*VLOOKUP('Données projet'!$B$11,Paramètres!$A$1:$I$89,3,0)*VLOOKUP('Données projet'!$B$11,Paramètres!$A$1:$I$89,5,0)</f>
        <v>-2.8079999999974462E-2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83.62456509032836</v>
      </c>
      <c r="BJ193" s="59">
        <f t="shared" si="146"/>
        <v>131.53128089847871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5.555574977681597</v>
      </c>
      <c r="BQ193" s="21">
        <f>EXP(-LN(2)/25)*BQ192+(1-EXP(-LN(2)/25))/(LN(2)/25)*Calculateur!BL193*Calculateur!BN193*VLOOKUP('Données projet'!$B$11,Paramètres!$A$1:$I$89,3,0)*0.475*44/12</f>
        <v>0.90255998691403683</v>
      </c>
      <c r="BR193" s="21">
        <f>EXP(-LN(2)/2)*BR192+(1-EXP(-LN(2)/2))/(LN(2)/2)*BL193*BO193*VLOOKUP('Données projet'!$B$11,Paramètres!$A$1:$I$89,3,0)*0.475*44/12</f>
        <v>1.1762193664045382E-18</v>
      </c>
      <c r="BS193" s="22">
        <f t="shared" si="169"/>
        <v>6.4581349645956339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925.00000000000034</v>
      </c>
      <c r="BZ193" s="13">
        <f>BY193*VLOOKUP('Données projet'!$B$12,Paramètres!$A$1:$I$89,3,0)*VLOOKUP('Données projet'!$B$12,Paramètres!$A$1:$I$89,5,0)</f>
        <v>408.85000000000014</v>
      </c>
      <c r="CA193" s="13">
        <f t="shared" si="170"/>
        <v>93.568575358321141</v>
      </c>
      <c r="CB193" s="20">
        <f t="shared" si="171"/>
        <v>875.04568541574281</v>
      </c>
      <c r="CC193" s="59">
        <f t="shared" si="119"/>
        <v>1168.3790187490761</v>
      </c>
      <c r="CD193" s="59">
        <f ca="1">AVERAGE(OFFSET($CC$3,0,0,'Données projet'!$E$12+1,1))-AVERAGE(OFFSET($H$3,0,0,'Données projet'!$E$12+1,1))</f>
        <v>415.83983761562189</v>
      </c>
      <c r="CE193" s="59">
        <f t="shared" si="148"/>
        <v>339.37869344688829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7.7426081771584636</v>
      </c>
      <c r="CL193" s="21">
        <f>EXP(-LN(2)/25)*CL192+(1-EXP(-LN(2)/25))/(LN(2)/25)*Calculateur!CG193*Calculateur!CI193*VLOOKUP('Données projet'!$B$12,Paramètres!$A$1:$I$89,3,0)*0.475*44/12</f>
        <v>1.3890967305782325</v>
      </c>
      <c r="CM193" s="21">
        <f>EXP(-LN(2)/2)*CM192+(1-EXP(-LN(2)/2))/(LN(2)/2)*CG193*CJ193*VLOOKUP('Données projet'!$B$12,Paramètres!$A$1:$I$89,3,0)*0.475*44/12</f>
        <v>6.8075517895242481E-17</v>
      </c>
      <c r="CN193" s="22">
        <f t="shared" si="172"/>
        <v>9.1317049077366956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268.00000000000011</v>
      </c>
      <c r="O194" s="13">
        <f>N194*VLOOKUP('Données projet'!$B$9,Paramètres!$A$1:$I$89,3,0)*VLOOKUP('Données projet'!$B$9,Paramètres!$A$1:$I$89,5,0)</f>
        <v>242.48640000000009</v>
      </c>
      <c r="P194" s="13">
        <f t="shared" si="141"/>
        <v>58.974170235372476</v>
      </c>
      <c r="Q194" s="20">
        <f t="shared" si="162"/>
        <v>525.04382649327385</v>
      </c>
      <c r="R194" s="59">
        <f t="shared" si="109"/>
        <v>818.37715982660711</v>
      </c>
      <c r="S194" s="59">
        <f ca="1">AVERAGE(OFFSET($R$3,0,0,'Données projet'!$E$9+1,1))-AVERAGE(OFFSET($H$3,0,0,'Données projet'!$E$9+1,1))</f>
        <v>258.68215148478868</v>
      </c>
      <c r="T194" s="59">
        <f t="shared" si="142"/>
        <v>153.16792125610209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14.300234570950215</v>
      </c>
      <c r="AA194" s="21">
        <f>EXP(-LN(2)/25)*AA193+(1-EXP(-LN(2)/25))/(LN(2)/25)*Calculateur!V194*Calculateur!X194*VLOOKUP('Données projet'!$B$9,Paramètres!$A$1:$I$89,3,0)*0.475*44/12</f>
        <v>0.34542937949644703</v>
      </c>
      <c r="AB194" s="21">
        <f>EXP(-LN(2)/2)*AB193+(1-EXP(-LN(2)/2))/(LN(2)/2)*V194*Y194*VLOOKUP('Données projet'!$B$9,Paramètres!$A$1:$I$89,3,0)*0.475*44/12</f>
        <v>2.2043002023683713E-11</v>
      </c>
      <c r="AC194" s="22">
        <f t="shared" si="163"/>
        <v>14.645663950468705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268.00000000000011</v>
      </c>
      <c r="AJ194" s="13">
        <f>AI194*VLOOKUP('Données projet'!$B$10,Paramètres!$A$1:$I$89,3,0)*VLOOKUP('Données projet'!$B$10,Paramètres!$A$1:$I$89,5,0)</f>
        <v>271.75200000000012</v>
      </c>
      <c r="AK194" s="13">
        <f t="shared" si="164"/>
        <v>65.220947824724988</v>
      </c>
      <c r="AL194" s="20">
        <f t="shared" si="165"/>
        <v>586.89455079472953</v>
      </c>
      <c r="AM194" s="59">
        <f t="shared" si="113"/>
        <v>880.2278841280629</v>
      </c>
      <c r="AN194" s="59">
        <f ca="1">AVERAGE(OFFSET($AM$3,0,0,'Données projet'!$E$10+1,1))-AVERAGE(OFFSET($H$3,0,0,'Données projet'!$E$10+1,1))</f>
        <v>298.68533387773886</v>
      </c>
      <c r="AO194" s="59">
        <f t="shared" si="144"/>
        <v>176.04868734496114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16.026124950202831</v>
      </c>
      <c r="AV194" s="21">
        <f>EXP(-LN(2)/25)*AV193+(1-EXP(-LN(2)/25))/(LN(2)/25)*Calculateur!AQ194*Calculateur!AS194*VLOOKUP('Données projet'!$B$10,Paramètres!$A$1:$I$89,3,0)*0.475*44/12</f>
        <v>0.38711913219429389</v>
      </c>
      <c r="AW194" s="21">
        <f>EXP(-LN(2)/2)*AW193+(1-EXP(-LN(2)/2))/(LN(2)/2)*AQ194*AT194*VLOOKUP('Données projet'!$B$10,Paramètres!$A$1:$I$89,3,0)*0.475*44/12</f>
        <v>2.4703364336886959E-11</v>
      </c>
      <c r="AX194" s="21">
        <f t="shared" si="166"/>
        <v>16.413244082421826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-5.999999999994543E-2</v>
      </c>
      <c r="BE194" s="13">
        <f>BD194*VLOOKUP('Données projet'!$B$11,Paramètres!$A$1:$I$89,3,0)*VLOOKUP('Données projet'!$B$11,Paramètres!$A$1:$I$89,5,0)</f>
        <v>-2.8079999999974462E-2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83.62456509032836</v>
      </c>
      <c r="BJ194" s="59">
        <f t="shared" si="146"/>
        <v>131.53128089847871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5.4466335409354043</v>
      </c>
      <c r="BQ194" s="21">
        <f>EXP(-LN(2)/25)*BQ193+(1-EXP(-LN(2)/25))/(LN(2)/25)*Calculateur!BL194*Calculateur!BN194*VLOOKUP('Données projet'!$B$11,Paramètres!$A$1:$I$89,3,0)*0.475*44/12</f>
        <v>0.87787943660830559</v>
      </c>
      <c r="BR194" s="21">
        <f>EXP(-LN(2)/2)*BR193+(1-EXP(-LN(2)/2))/(LN(2)/2)*BL194*BO194*VLOOKUP('Données projet'!$B$11,Paramètres!$A$1:$I$89,3,0)*0.475*44/12</f>
        <v>8.3171269014759336E-19</v>
      </c>
      <c r="BS194" s="22">
        <f t="shared" si="169"/>
        <v>6.3245129775437103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925.00000000000034</v>
      </c>
      <c r="BZ194" s="13">
        <f>BY194*VLOOKUP('Données projet'!$B$12,Paramètres!$A$1:$I$89,3,0)*VLOOKUP('Données projet'!$B$12,Paramètres!$A$1:$I$89,5,0)</f>
        <v>408.85000000000014</v>
      </c>
      <c r="CA194" s="13">
        <f t="shared" si="170"/>
        <v>93.568575358321141</v>
      </c>
      <c r="CB194" s="20">
        <f t="shared" si="171"/>
        <v>875.04568541574281</v>
      </c>
      <c r="CC194" s="59">
        <f t="shared" si="119"/>
        <v>1168.3790187490761</v>
      </c>
      <c r="CD194" s="59">
        <f ca="1">AVERAGE(OFFSET($CC$3,0,0,'Données projet'!$E$12+1,1))-AVERAGE(OFFSET($H$3,0,0,'Données projet'!$E$12+1,1))</f>
        <v>415.83983761562189</v>
      </c>
      <c r="CE194" s="59">
        <f t="shared" si="148"/>
        <v>339.37869344688829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7.5907803533290634</v>
      </c>
      <c r="CL194" s="21">
        <f>EXP(-LN(2)/25)*CL193+(1-EXP(-LN(2)/25))/(LN(2)/25)*Calculateur!CG194*Calculateur!CI194*VLOOKUP('Données projet'!$B$12,Paramètres!$A$1:$I$89,3,0)*0.475*44/12</f>
        <v>1.3511118074311486</v>
      </c>
      <c r="CM194" s="21">
        <f>EXP(-LN(2)/2)*CM193+(1-EXP(-LN(2)/2))/(LN(2)/2)*CG194*CJ194*VLOOKUP('Données projet'!$B$12,Paramètres!$A$1:$I$89,3,0)*0.475*44/12</f>
        <v>4.8136660336512126E-17</v>
      </c>
      <c r="CN194" s="22">
        <f t="shared" si="172"/>
        <v>8.9418921607602115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268.00000000000011</v>
      </c>
      <c r="O195" s="13">
        <f>N195*VLOOKUP('Données projet'!$B$9,Paramètres!$A$1:$I$89,3,0)*VLOOKUP('Données projet'!$B$9,Paramètres!$A$1:$I$89,5,0)</f>
        <v>242.48640000000009</v>
      </c>
      <c r="P195" s="13">
        <f t="shared" si="141"/>
        <v>58.974170235372476</v>
      </c>
      <c r="Q195" s="20">
        <f t="shared" si="162"/>
        <v>525.04382649327385</v>
      </c>
      <c r="R195" s="59">
        <f t="shared" ref="R195:R203" si="191">Q195+(I195+J195)*44/12</f>
        <v>818.37715982660711</v>
      </c>
      <c r="S195" s="59">
        <f ca="1">AVERAGE(OFFSET($R$3,0,0,'Données projet'!$E$9+1,1))-AVERAGE(OFFSET($H$3,0,0,'Données projet'!$E$9+1,1))</f>
        <v>258.68215148478868</v>
      </c>
      <c r="T195" s="59">
        <f t="shared" si="142"/>
        <v>153.16792125610209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14.019815693295715</v>
      </c>
      <c r="AA195" s="21">
        <f>EXP(-LN(2)/25)*AA194+(1-EXP(-LN(2)/25))/(LN(2)/25)*Calculateur!V195*Calculateur!X195*VLOOKUP('Données projet'!$B$9,Paramètres!$A$1:$I$89,3,0)*0.475*44/12</f>
        <v>0.33598359494877511</v>
      </c>
      <c r="AB195" s="21">
        <f>EXP(-LN(2)/2)*AB194+(1-EXP(-LN(2)/2))/(LN(2)/2)*V195*Y195*VLOOKUP('Données projet'!$B$9,Paramètres!$A$1:$I$89,3,0)*0.475*44/12</f>
        <v>1.5586756208655543E-11</v>
      </c>
      <c r="AC195" s="22">
        <f t="shared" si="163"/>
        <v>14.355799288260078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268.00000000000011</v>
      </c>
      <c r="AJ195" s="13">
        <f>AI195*VLOOKUP('Données projet'!$B$10,Paramètres!$A$1:$I$89,3,0)*VLOOKUP('Données projet'!$B$10,Paramètres!$A$1:$I$89,5,0)</f>
        <v>271.75200000000012</v>
      </c>
      <c r="AK195" s="13">
        <f t="shared" si="164"/>
        <v>65.220947824724988</v>
      </c>
      <c r="AL195" s="20">
        <f t="shared" si="165"/>
        <v>586.89455079472953</v>
      </c>
      <c r="AM195" s="59">
        <f t="shared" si="113"/>
        <v>880.2278841280629</v>
      </c>
      <c r="AN195" s="59">
        <f ca="1">AVERAGE(OFFSET($AM$3,0,0,'Données projet'!$E$10+1,1))-AVERAGE(OFFSET($H$3,0,0,'Données projet'!$E$10+1,1))</f>
        <v>298.68533387773886</v>
      </c>
      <c r="AO195" s="59">
        <f t="shared" si="144"/>
        <v>176.04868734496114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15.711862414900375</v>
      </c>
      <c r="AV195" s="21">
        <f>EXP(-LN(2)/25)*AV194+(1-EXP(-LN(2)/25))/(LN(2)/25)*Calculateur!AQ195*Calculateur!AS195*VLOOKUP('Données projet'!$B$10,Paramètres!$A$1:$I$89,3,0)*0.475*44/12</f>
        <v>0.37653333916673054</v>
      </c>
      <c r="AW195" s="21">
        <f>EXP(-LN(2)/2)*AW194+(1-EXP(-LN(2)/2))/(LN(2)/2)*AQ195*AT195*VLOOKUP('Données projet'!$B$10,Paramètres!$A$1:$I$89,3,0)*0.475*44/12</f>
        <v>1.7467916440734688E-11</v>
      </c>
      <c r="AX195" s="21">
        <f t="shared" si="166"/>
        <v>16.088395754084576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-5.999999999994543E-2</v>
      </c>
      <c r="BE195" s="13">
        <f>BD195*VLOOKUP('Données projet'!$B$11,Paramètres!$A$1:$I$89,3,0)*VLOOKUP('Données projet'!$B$11,Paramètres!$A$1:$I$89,5,0)</f>
        <v>-2.8079999999974462E-2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83.62456509032836</v>
      </c>
      <c r="BJ195" s="59">
        <f t="shared" si="146"/>
        <v>131.53128089847871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5.3398283793160894</v>
      </c>
      <c r="BQ195" s="21">
        <f>EXP(-LN(2)/25)*BQ194+(1-EXP(-LN(2)/25))/(LN(2)/25)*Calculateur!BL195*Calculateur!BN195*VLOOKUP('Données projet'!$B$11,Paramètres!$A$1:$I$89,3,0)*0.475*44/12</f>
        <v>0.85387377724857827</v>
      </c>
      <c r="BR195" s="21">
        <f>EXP(-LN(2)/2)*BR194+(1-EXP(-LN(2)/2))/(LN(2)/2)*BL195*BO195*VLOOKUP('Données projet'!$B$11,Paramètres!$A$1:$I$89,3,0)*0.475*44/12</f>
        <v>5.8810968320226909E-19</v>
      </c>
      <c r="BS195" s="22">
        <f t="shared" si="169"/>
        <v>6.1937021565646679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925.00000000000034</v>
      </c>
      <c r="BZ195" s="13">
        <f>BY195*VLOOKUP('Données projet'!$B$12,Paramètres!$A$1:$I$89,3,0)*VLOOKUP('Données projet'!$B$12,Paramètres!$A$1:$I$89,5,0)</f>
        <v>408.85000000000014</v>
      </c>
      <c r="CA195" s="13">
        <f t="shared" si="170"/>
        <v>93.568575358321141</v>
      </c>
      <c r="CB195" s="20">
        <f t="shared" si="171"/>
        <v>875.04568541574281</v>
      </c>
      <c r="CC195" s="59">
        <f t="shared" si="119"/>
        <v>1168.3790187490761</v>
      </c>
      <c r="CD195" s="59">
        <f ca="1">AVERAGE(OFFSET($CC$3,0,0,'Données projet'!$E$12+1,1))-AVERAGE(OFFSET($H$3,0,0,'Données projet'!$E$12+1,1))</f>
        <v>415.83983761562189</v>
      </c>
      <c r="CE195" s="59">
        <f t="shared" si="148"/>
        <v>339.37869344688829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7.4419297805191293</v>
      </c>
      <c r="CL195" s="21">
        <f>EXP(-LN(2)/25)*CL194+(1-EXP(-LN(2)/25))/(LN(2)/25)*Calculateur!CG195*Calculateur!CI195*VLOOKUP('Données projet'!$B$12,Paramètres!$A$1:$I$89,3,0)*0.475*44/12</f>
        <v>1.3141655840050619</v>
      </c>
      <c r="CM195" s="21">
        <f>EXP(-LN(2)/2)*CM194+(1-EXP(-LN(2)/2))/(LN(2)/2)*CG195*CJ195*VLOOKUP('Données projet'!$B$12,Paramètres!$A$1:$I$89,3,0)*0.475*44/12</f>
        <v>3.4037758947621241E-17</v>
      </c>
      <c r="CN195" s="22">
        <f t="shared" si="172"/>
        <v>8.7560953645241906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268.00000000000011</v>
      </c>
      <c r="O196" s="13">
        <f>N196*VLOOKUP('Données projet'!$B$9,Paramètres!$A$1:$I$89,3,0)*VLOOKUP('Données projet'!$B$9,Paramètres!$A$1:$I$89,5,0)</f>
        <v>242.48640000000009</v>
      </c>
      <c r="P196" s="13">
        <f t="shared" si="141"/>
        <v>58.974170235372476</v>
      </c>
      <c r="Q196" s="20">
        <f t="shared" si="162"/>
        <v>525.04382649327385</v>
      </c>
      <c r="R196" s="59">
        <f t="shared" si="191"/>
        <v>818.37715982660711</v>
      </c>
      <c r="S196" s="59">
        <f ca="1">AVERAGE(OFFSET($R$3,0,0,'Données projet'!$E$9+1,1))-AVERAGE(OFFSET($H$3,0,0,'Données projet'!$E$9+1,1))</f>
        <v>258.68215148478868</v>
      </c>
      <c r="T196" s="59">
        <f t="shared" si="142"/>
        <v>153.16792125610209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13.744895658793395</v>
      </c>
      <c r="AA196" s="21">
        <f>EXP(-LN(2)/25)*AA195+(1-EXP(-LN(2)/25))/(LN(2)/25)*Calculateur!V196*Calculateur!X196*VLOOKUP('Données projet'!$B$9,Paramètres!$A$1:$I$89,3,0)*0.475*44/12</f>
        <v>0.32679610587629149</v>
      </c>
      <c r="AB196" s="21">
        <f>EXP(-LN(2)/2)*AB195+(1-EXP(-LN(2)/2))/(LN(2)/2)*V196*Y196*VLOOKUP('Données projet'!$B$9,Paramètres!$A$1:$I$89,3,0)*0.475*44/12</f>
        <v>1.1021501011841856E-11</v>
      </c>
      <c r="AC196" s="22">
        <f t="shared" si="163"/>
        <v>14.071691764680708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268.00000000000011</v>
      </c>
      <c r="AJ196" s="13">
        <f>AI196*VLOOKUP('Données projet'!$B$10,Paramètres!$A$1:$I$89,3,0)*VLOOKUP('Données projet'!$B$10,Paramètres!$A$1:$I$89,5,0)</f>
        <v>271.75200000000012</v>
      </c>
      <c r="AK196" s="13">
        <f t="shared" si="164"/>
        <v>65.220947824724988</v>
      </c>
      <c r="AL196" s="20">
        <f t="shared" si="165"/>
        <v>586.89455079472953</v>
      </c>
      <c r="AM196" s="59">
        <f t="shared" ref="AM196:AM203" si="193">AL196+(AD196+AE196)*44/12</f>
        <v>880.2278841280629</v>
      </c>
      <c r="AN196" s="59">
        <f ca="1">AVERAGE(OFFSET($AM$3,0,0,'Données projet'!$E$10+1,1))-AVERAGE(OFFSET($H$3,0,0,'Données projet'!$E$10+1,1))</f>
        <v>298.68533387773886</v>
      </c>
      <c r="AO196" s="59">
        <f t="shared" si="144"/>
        <v>176.04868734496114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15.403762376233981</v>
      </c>
      <c r="AV196" s="21">
        <f>EXP(-LN(2)/25)*AV195+(1-EXP(-LN(2)/25))/(LN(2)/25)*Calculateur!AQ196*Calculateur!AS196*VLOOKUP('Données projet'!$B$10,Paramètres!$A$1:$I$89,3,0)*0.475*44/12</f>
        <v>0.36623701520618857</v>
      </c>
      <c r="AW196" s="21">
        <f>EXP(-LN(2)/2)*AW195+(1-EXP(-LN(2)/2))/(LN(2)/2)*AQ196*AT196*VLOOKUP('Données projet'!$B$10,Paramètres!$A$1:$I$89,3,0)*0.475*44/12</f>
        <v>1.2351682168443479E-11</v>
      </c>
      <c r="AX196" s="21">
        <f t="shared" si="166"/>
        <v>15.76999939145252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-5.999999999994543E-2</v>
      </c>
      <c r="BE196" s="13">
        <f>BD196*VLOOKUP('Données projet'!$B$11,Paramètres!$A$1:$I$89,3,0)*VLOOKUP('Données projet'!$B$11,Paramètres!$A$1:$I$89,5,0)</f>
        <v>-2.8079999999974462E-2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83.62456509032836</v>
      </c>
      <c r="BJ196" s="59">
        <f t="shared" si="146"/>
        <v>131.53128089847871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5.2351176017714129</v>
      </c>
      <c r="BQ196" s="21">
        <f>EXP(-LN(2)/25)*BQ195+(1-EXP(-LN(2)/25))/(LN(2)/25)*Calculateur!BL196*Calculateur!BN196*VLOOKUP('Données projet'!$B$11,Paramètres!$A$1:$I$89,3,0)*0.475*44/12</f>
        <v>0.83052455390644553</v>
      </c>
      <c r="BR196" s="21">
        <f>EXP(-LN(2)/2)*BR195+(1-EXP(-LN(2)/2))/(LN(2)/2)*BL196*BO196*VLOOKUP('Données projet'!$B$11,Paramètres!$A$1:$I$89,3,0)*0.475*44/12</f>
        <v>4.1585634507379668E-19</v>
      </c>
      <c r="BS196" s="22">
        <f t="shared" si="169"/>
        <v>6.0656421556778586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925.00000000000034</v>
      </c>
      <c r="BZ196" s="13">
        <f>BY196*VLOOKUP('Données projet'!$B$12,Paramètres!$A$1:$I$89,3,0)*VLOOKUP('Données projet'!$B$12,Paramètres!$A$1:$I$89,5,0)</f>
        <v>408.85000000000014</v>
      </c>
      <c r="CA196" s="13">
        <f t="shared" si="170"/>
        <v>93.568575358321141</v>
      </c>
      <c r="CB196" s="20">
        <f t="shared" si="171"/>
        <v>875.04568541574281</v>
      </c>
      <c r="CC196" s="59">
        <f t="shared" ref="CC196:CC203" si="195">CB196+(BT196+BU196)*44/12</f>
        <v>1168.3790187490761</v>
      </c>
      <c r="CD196" s="59">
        <f ca="1">AVERAGE(OFFSET($CC$3,0,0,'Données projet'!$E$12+1,1))-AVERAGE(OFFSET($H$3,0,0,'Données projet'!$E$12+1,1))</f>
        <v>415.83983761562189</v>
      </c>
      <c r="CE196" s="59">
        <f t="shared" si="148"/>
        <v>339.37869344688829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7.295998076652114</v>
      </c>
      <c r="CL196" s="21">
        <f>EXP(-LN(2)/25)*CL195+(1-EXP(-LN(2)/25))/(LN(2)/25)*Calculateur!CG196*Calculateur!CI196*VLOOKUP('Données projet'!$B$12,Paramètres!$A$1:$I$89,3,0)*0.475*44/12</f>
        <v>1.2782296570014791</v>
      </c>
      <c r="CM196" s="21">
        <f>EXP(-LN(2)/2)*CM195+(1-EXP(-LN(2)/2))/(LN(2)/2)*CG196*CJ196*VLOOKUP('Données projet'!$B$12,Paramètres!$A$1:$I$89,3,0)*0.475*44/12</f>
        <v>2.4068330168256063E-17</v>
      </c>
      <c r="CN196" s="22">
        <f t="shared" si="172"/>
        <v>8.5742277336535935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268.00000000000011</v>
      </c>
      <c r="O197" s="13">
        <f>N197*VLOOKUP('Données projet'!$B$9,Paramètres!$A$1:$I$89,3,0)*VLOOKUP('Données projet'!$B$9,Paramètres!$A$1:$I$89,5,0)</f>
        <v>242.48640000000009</v>
      </c>
      <c r="P197" s="13">
        <f t="shared" ref="P197:P203" si="203">EXP(-1.0587+0.8836*LN(O197)+0.284)</f>
        <v>58.974170235372476</v>
      </c>
      <c r="Q197" s="20">
        <f t="shared" si="162"/>
        <v>525.04382649327385</v>
      </c>
      <c r="R197" s="59">
        <f t="shared" si="191"/>
        <v>818.37715982660711</v>
      </c>
      <c r="S197" s="59">
        <f ca="1">AVERAGE(OFFSET($R$3,0,0,'Données projet'!$E$9+1,1))-AVERAGE(OFFSET($H$3,0,0,'Données projet'!$E$9+1,1))</f>
        <v>258.68215148478868</v>
      </c>
      <c r="T197" s="59">
        <f t="shared" ref="T197:T203" si="204">$T$3</f>
        <v>153.16792125610209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13.475366638483001</v>
      </c>
      <c r="AA197" s="21">
        <f>EXP(-LN(2)/25)*AA196+(1-EXP(-LN(2)/25))/(LN(2)/25)*Calculateur!V197*Calculateur!X197*VLOOKUP('Données projet'!$B$9,Paramètres!$A$1:$I$89,3,0)*0.475*44/12</f>
        <v>0.31785984917564397</v>
      </c>
      <c r="AB197" s="21">
        <f>EXP(-LN(2)/2)*AB196+(1-EXP(-LN(2)/2))/(LN(2)/2)*V197*Y197*VLOOKUP('Données projet'!$B$9,Paramètres!$A$1:$I$89,3,0)*0.475*44/12</f>
        <v>7.7933781043277716E-12</v>
      </c>
      <c r="AC197" s="22">
        <f t="shared" si="163"/>
        <v>13.793226487666438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268.00000000000011</v>
      </c>
      <c r="AJ197" s="13">
        <f>AI197*VLOOKUP('Données projet'!$B$10,Paramètres!$A$1:$I$89,3,0)*VLOOKUP('Données projet'!$B$10,Paramètres!$A$1:$I$89,5,0)</f>
        <v>271.75200000000012</v>
      </c>
      <c r="AK197" s="13">
        <f t="shared" si="164"/>
        <v>65.220947824724988</v>
      </c>
      <c r="AL197" s="20">
        <f t="shared" si="165"/>
        <v>586.89455079472953</v>
      </c>
      <c r="AM197" s="59">
        <f t="shared" si="193"/>
        <v>880.2278841280629</v>
      </c>
      <c r="AN197" s="59">
        <f ca="1">AVERAGE(OFFSET($AM$3,0,0,'Données projet'!$E$10+1,1))-AVERAGE(OFFSET($H$3,0,0,'Données projet'!$E$10+1,1))</f>
        <v>298.68533387773886</v>
      </c>
      <c r="AO197" s="59">
        <f t="shared" ref="AO197:AO203" si="205">$AO$3</f>
        <v>176.04868734496114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15.101703991403367</v>
      </c>
      <c r="AV197" s="21">
        <f>EXP(-LN(2)/25)*AV196+(1-EXP(-LN(2)/25))/(LN(2)/25)*Calculateur!AQ197*Calculateur!AS197*VLOOKUP('Données projet'!$B$10,Paramètres!$A$1:$I$89,3,0)*0.475*44/12</f>
        <v>0.35622224476580777</v>
      </c>
      <c r="AW197" s="21">
        <f>EXP(-LN(2)/2)*AW196+(1-EXP(-LN(2)/2))/(LN(2)/2)*AQ197*AT197*VLOOKUP('Données projet'!$B$10,Paramètres!$A$1:$I$89,3,0)*0.475*44/12</f>
        <v>8.7339582203673441E-12</v>
      </c>
      <c r="AX197" s="21">
        <f t="shared" si="166"/>
        <v>15.45792623617791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-5.999999999994543E-2</v>
      </c>
      <c r="BE197" s="13">
        <f>BD197*VLOOKUP('Données projet'!$B$11,Paramètres!$A$1:$I$89,3,0)*VLOOKUP('Données projet'!$B$11,Paramètres!$A$1:$I$89,5,0)</f>
        <v>-2.8079999999974462E-2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83.62456509032836</v>
      </c>
      <c r="BJ197" s="59">
        <f t="shared" ref="BJ197:BJ203" si="206">$BJ$3</f>
        <v>131.53128089847871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5.1324601387071196</v>
      </c>
      <c r="BQ197" s="21">
        <f>EXP(-LN(2)/25)*BQ196+(1-EXP(-LN(2)/25))/(LN(2)/25)*Calculateur!BL197*Calculateur!BN197*VLOOKUP('Données projet'!$B$11,Paramètres!$A$1:$I$89,3,0)*0.475*44/12</f>
        <v>0.80781381630448568</v>
      </c>
      <c r="BR197" s="21">
        <f>EXP(-LN(2)/2)*BR196+(1-EXP(-LN(2)/2))/(LN(2)/2)*BL197*BO197*VLOOKUP('Données projet'!$B$11,Paramètres!$A$1:$I$89,3,0)*0.475*44/12</f>
        <v>2.9405484160113455E-19</v>
      </c>
      <c r="BS197" s="22">
        <f t="shared" si="169"/>
        <v>5.9402739550116053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925.00000000000034</v>
      </c>
      <c r="BZ197" s="13">
        <f>BY197*VLOOKUP('Données projet'!$B$12,Paramètres!$A$1:$I$89,3,0)*VLOOKUP('Données projet'!$B$12,Paramètres!$A$1:$I$89,5,0)</f>
        <v>408.85000000000014</v>
      </c>
      <c r="CA197" s="13">
        <f t="shared" si="170"/>
        <v>93.568575358321141</v>
      </c>
      <c r="CB197" s="20">
        <f t="shared" si="171"/>
        <v>875.04568541574281</v>
      </c>
      <c r="CC197" s="59">
        <f t="shared" si="195"/>
        <v>1168.3790187490761</v>
      </c>
      <c r="CD197" s="59">
        <f ca="1">AVERAGE(OFFSET($CC$3,0,0,'Données projet'!$E$12+1,1))-AVERAGE(OFFSET($H$3,0,0,'Données projet'!$E$12+1,1))</f>
        <v>415.83983761562189</v>
      </c>
      <c r="CE197" s="59">
        <f t="shared" ref="CE197:CE203" si="207">$CE$3</f>
        <v>339.37869344688829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7.1529280044883796</v>
      </c>
      <c r="CL197" s="21">
        <f>EXP(-LN(2)/25)*CL196+(1-EXP(-LN(2)/25))/(LN(2)/25)*Calculateur!CG197*Calculateur!CI197*VLOOKUP('Données projet'!$B$12,Paramètres!$A$1:$I$89,3,0)*0.475*44/12</f>
        <v>1.2432763998115974</v>
      </c>
      <c r="CM197" s="21">
        <f>EXP(-LN(2)/2)*CM196+(1-EXP(-LN(2)/2))/(LN(2)/2)*CG197*CJ197*VLOOKUP('Données projet'!$B$12,Paramètres!$A$1:$I$89,3,0)*0.475*44/12</f>
        <v>1.701887947381062E-17</v>
      </c>
      <c r="CN197" s="22">
        <f t="shared" si="172"/>
        <v>8.3962044042999775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268.00000000000011</v>
      </c>
      <c r="O198" s="13">
        <f>N198*VLOOKUP('Données projet'!$B$9,Paramètres!$A$1:$I$89,3,0)*VLOOKUP('Données projet'!$B$9,Paramètres!$A$1:$I$89,5,0)</f>
        <v>242.48640000000009</v>
      </c>
      <c r="P198" s="13">
        <f t="shared" si="203"/>
        <v>58.974170235372476</v>
      </c>
      <c r="Q198" s="20">
        <f t="shared" si="162"/>
        <v>525.04382649327385</v>
      </c>
      <c r="R198" s="59">
        <f t="shared" si="191"/>
        <v>818.37715982660711</v>
      </c>
      <c r="S198" s="59">
        <f ca="1">AVERAGE(OFFSET($R$3,0,0,'Données projet'!$E$9+1,1))-AVERAGE(OFFSET($H$3,0,0,'Données projet'!$E$9+1,1))</f>
        <v>258.68215148478868</v>
      </c>
      <c r="T198" s="59">
        <f t="shared" si="204"/>
        <v>153.16792125610209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13.211122917864424</v>
      </c>
      <c r="AA198" s="21">
        <f>EXP(-LN(2)/25)*AA197+(1-EXP(-LN(2)/25))/(LN(2)/25)*Calculateur!V198*Calculateur!X198*VLOOKUP('Données projet'!$B$9,Paramètres!$A$1:$I$89,3,0)*0.475*44/12</f>
        <v>0.30916795488441301</v>
      </c>
      <c r="AB198" s="21">
        <f>EXP(-LN(2)/2)*AB197+(1-EXP(-LN(2)/2))/(LN(2)/2)*V198*Y198*VLOOKUP('Données projet'!$B$9,Paramètres!$A$1:$I$89,3,0)*0.475*44/12</f>
        <v>5.5107505059209281E-12</v>
      </c>
      <c r="AC198" s="22">
        <f t="shared" si="163"/>
        <v>13.520290872754348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268.00000000000011</v>
      </c>
      <c r="AJ198" s="13">
        <f>AI198*VLOOKUP('Données projet'!$B$10,Paramètres!$A$1:$I$89,3,0)*VLOOKUP('Données projet'!$B$10,Paramètres!$A$1:$I$89,5,0)</f>
        <v>271.75200000000012</v>
      </c>
      <c r="AK198" s="13">
        <f t="shared" si="164"/>
        <v>65.220947824724988</v>
      </c>
      <c r="AL198" s="20">
        <f t="shared" si="165"/>
        <v>586.89455079472953</v>
      </c>
      <c r="AM198" s="59">
        <f t="shared" si="193"/>
        <v>880.2278841280629</v>
      </c>
      <c r="AN198" s="59">
        <f ca="1">AVERAGE(OFFSET($AM$3,0,0,'Données projet'!$E$10+1,1))-AVERAGE(OFFSET($H$3,0,0,'Données projet'!$E$10+1,1))</f>
        <v>298.68533387773886</v>
      </c>
      <c r="AO198" s="59">
        <f t="shared" si="205"/>
        <v>176.04868734496114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14.805568787261858</v>
      </c>
      <c r="AV198" s="21">
        <f>EXP(-LN(2)/25)*AV197+(1-EXP(-LN(2)/25))/(LN(2)/25)*Calculateur!AQ198*Calculateur!AS198*VLOOKUP('Données projet'!$B$10,Paramètres!$A$1:$I$89,3,0)*0.475*44/12</f>
        <v>0.34648132874977305</v>
      </c>
      <c r="AW198" s="21">
        <f>EXP(-LN(2)/2)*AW197+(1-EXP(-LN(2)/2))/(LN(2)/2)*AQ198*AT198*VLOOKUP('Données projet'!$B$10,Paramètres!$A$1:$I$89,3,0)*0.475*44/12</f>
        <v>6.1758410842217397E-12</v>
      </c>
      <c r="AX198" s="21">
        <f t="shared" si="166"/>
        <v>15.152050116017808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-5.999999999994543E-2</v>
      </c>
      <c r="BE198" s="13">
        <f>BD198*VLOOKUP('Données projet'!$B$11,Paramètres!$A$1:$I$89,3,0)*VLOOKUP('Données projet'!$B$11,Paramètres!$A$1:$I$89,5,0)</f>
        <v>-2.8079999999974462E-2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83.62456509032836</v>
      </c>
      <c r="BJ198" s="59">
        <f t="shared" si="206"/>
        <v>131.53128089847871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5.0318157258786469</v>
      </c>
      <c r="BQ198" s="21">
        <f>EXP(-LN(2)/25)*BQ197+(1-EXP(-LN(2)/25))/(LN(2)/25)*Calculateur!BL198*Calculateur!BN198*VLOOKUP('Données projet'!$B$11,Paramètres!$A$1:$I$89,3,0)*0.475*44/12</f>
        <v>0.78572410501655721</v>
      </c>
      <c r="BR198" s="21">
        <f>EXP(-LN(2)/2)*BR197+(1-EXP(-LN(2)/2))/(LN(2)/2)*BL198*BO198*VLOOKUP('Données projet'!$B$11,Paramètres!$A$1:$I$89,3,0)*0.475*44/12</f>
        <v>2.0792817253689834E-19</v>
      </c>
      <c r="BS198" s="22">
        <f t="shared" si="169"/>
        <v>5.8175398308952042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925.00000000000034</v>
      </c>
      <c r="BZ198" s="13">
        <f>BY198*VLOOKUP('Données projet'!$B$12,Paramètres!$A$1:$I$89,3,0)*VLOOKUP('Données projet'!$B$12,Paramètres!$A$1:$I$89,5,0)</f>
        <v>408.85000000000014</v>
      </c>
      <c r="CA198" s="13">
        <f t="shared" si="170"/>
        <v>93.568575358321141</v>
      </c>
      <c r="CB198" s="20">
        <f t="shared" si="171"/>
        <v>875.04568541574281</v>
      </c>
      <c r="CC198" s="59">
        <f t="shared" si="195"/>
        <v>1168.3790187490761</v>
      </c>
      <c r="CD198" s="59">
        <f ca="1">AVERAGE(OFFSET($CC$3,0,0,'Données projet'!$E$12+1,1))-AVERAGE(OFFSET($H$3,0,0,'Données projet'!$E$12+1,1))</f>
        <v>415.83983761562189</v>
      </c>
      <c r="CE198" s="59">
        <f t="shared" si="207"/>
        <v>339.37869344688829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7.0126634491756494</v>
      </c>
      <c r="CL198" s="21">
        <f>EXP(-LN(2)/25)*CL197+(1-EXP(-LN(2)/25))/(LN(2)/25)*Calculateur!CG198*Calculateur!CI198*VLOOKUP('Données projet'!$B$12,Paramètres!$A$1:$I$89,3,0)*0.475*44/12</f>
        <v>1.209278941277685</v>
      </c>
      <c r="CM198" s="21">
        <f>EXP(-LN(2)/2)*CM197+(1-EXP(-LN(2)/2))/(LN(2)/2)*CG198*CJ198*VLOOKUP('Données projet'!$B$12,Paramètres!$A$1:$I$89,3,0)*0.475*44/12</f>
        <v>1.2034165084128032E-17</v>
      </c>
      <c r="CN198" s="22">
        <f t="shared" si="172"/>
        <v>8.221942390453334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268.00000000000011</v>
      </c>
      <c r="O199" s="13">
        <f>N199*VLOOKUP('Données projet'!$B$9,Paramètres!$A$1:$I$89,3,0)*VLOOKUP('Données projet'!$B$9,Paramètres!$A$1:$I$89,5,0)</f>
        <v>242.48640000000009</v>
      </c>
      <c r="P199" s="13">
        <f t="shared" si="203"/>
        <v>58.974170235372476</v>
      </c>
      <c r="Q199" s="20">
        <f t="shared" si="162"/>
        <v>525.04382649327385</v>
      </c>
      <c r="R199" s="59">
        <f t="shared" si="191"/>
        <v>818.37715982660711</v>
      </c>
      <c r="S199" s="59">
        <f ca="1">AVERAGE(OFFSET($R$3,0,0,'Données projet'!$E$9+1,1))-AVERAGE(OFFSET($H$3,0,0,'Données projet'!$E$9+1,1))</f>
        <v>258.68215148478868</v>
      </c>
      <c r="T199" s="59">
        <f t="shared" si="204"/>
        <v>153.16792125610209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12.952060855434421</v>
      </c>
      <c r="AA199" s="21">
        <f>EXP(-LN(2)/25)*AA198+(1-EXP(-LN(2)/25))/(LN(2)/25)*Calculateur!V199*Calculateur!X199*VLOOKUP('Données projet'!$B$9,Paramètres!$A$1:$I$89,3,0)*0.475*44/12</f>
        <v>0.30071374089966263</v>
      </c>
      <c r="AB199" s="21">
        <f>EXP(-LN(2)/2)*AB198+(1-EXP(-LN(2)/2))/(LN(2)/2)*V199*Y199*VLOOKUP('Données projet'!$B$9,Paramètres!$A$1:$I$89,3,0)*0.475*44/12</f>
        <v>3.8966890521638858E-12</v>
      </c>
      <c r="AC199" s="22">
        <f t="shared" si="163"/>
        <v>13.252774596337982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268.00000000000011</v>
      </c>
      <c r="AJ199" s="13">
        <f>AI199*VLOOKUP('Données projet'!$B$10,Paramètres!$A$1:$I$89,3,0)*VLOOKUP('Données projet'!$B$10,Paramètres!$A$1:$I$89,5,0)</f>
        <v>271.75200000000012</v>
      </c>
      <c r="AK199" s="13">
        <f t="shared" si="164"/>
        <v>65.220947824724988</v>
      </c>
      <c r="AL199" s="20">
        <f t="shared" si="165"/>
        <v>586.89455079472953</v>
      </c>
      <c r="AM199" s="59">
        <f t="shared" si="193"/>
        <v>880.2278841280629</v>
      </c>
      <c r="AN199" s="59">
        <f ca="1">AVERAGE(OFFSET($AM$3,0,0,'Données projet'!$E$10+1,1))-AVERAGE(OFFSET($H$3,0,0,'Données projet'!$E$10+1,1))</f>
        <v>298.68533387773886</v>
      </c>
      <c r="AO199" s="59">
        <f t="shared" si="205"/>
        <v>176.04868734496114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14.515240613848926</v>
      </c>
      <c r="AV199" s="21">
        <f>EXP(-LN(2)/25)*AV198+(1-EXP(-LN(2)/25))/(LN(2)/25)*Calculateur!AQ199*Calculateur!AS199*VLOOKUP('Données projet'!$B$10,Paramètres!$A$1:$I$89,3,0)*0.475*44/12</f>
        <v>0.33700677859444933</v>
      </c>
      <c r="AW199" s="21">
        <f>EXP(-LN(2)/2)*AW198+(1-EXP(-LN(2)/2))/(LN(2)/2)*AQ199*AT199*VLOOKUP('Données projet'!$B$10,Paramètres!$A$1:$I$89,3,0)*0.475*44/12</f>
        <v>4.3669791101836721E-12</v>
      </c>
      <c r="AX199" s="21">
        <f t="shared" si="166"/>
        <v>14.852247392447742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-5.999999999994543E-2</v>
      </c>
      <c r="BE199" s="13">
        <f>BD199*VLOOKUP('Données projet'!$B$11,Paramètres!$A$1:$I$89,3,0)*VLOOKUP('Données projet'!$B$11,Paramètres!$A$1:$I$89,5,0)</f>
        <v>-2.8079999999974462E-2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83.62456509032836</v>
      </c>
      <c r="BJ199" s="59">
        <f t="shared" si="206"/>
        <v>131.53128089847871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4.9331448885987106</v>
      </c>
      <c r="BQ199" s="21">
        <f>EXP(-LN(2)/25)*BQ198+(1-EXP(-LN(2)/25))/(LN(2)/25)*Calculateur!BL199*Calculateur!BN199*VLOOKUP('Données projet'!$B$11,Paramètres!$A$1:$I$89,3,0)*0.475*44/12</f>
        <v>0.76423843804544456</v>
      </c>
      <c r="BR199" s="21">
        <f>EXP(-LN(2)/2)*BR198+(1-EXP(-LN(2)/2))/(LN(2)/2)*BL199*BO199*VLOOKUP('Données projet'!$B$11,Paramètres!$A$1:$I$89,3,0)*0.475*44/12</f>
        <v>1.4702742080056727E-19</v>
      </c>
      <c r="BS199" s="22">
        <f t="shared" si="169"/>
        <v>5.6973833266441556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925.00000000000034</v>
      </c>
      <c r="BZ199" s="13">
        <f>BY199*VLOOKUP('Données projet'!$B$12,Paramètres!$A$1:$I$89,3,0)*VLOOKUP('Données projet'!$B$12,Paramètres!$A$1:$I$89,5,0)</f>
        <v>408.85000000000014</v>
      </c>
      <c r="CA199" s="13">
        <f t="shared" si="170"/>
        <v>93.568575358321141</v>
      </c>
      <c r="CB199" s="20">
        <f t="shared" si="171"/>
        <v>875.04568541574281</v>
      </c>
      <c r="CC199" s="59">
        <f t="shared" si="195"/>
        <v>1168.3790187490761</v>
      </c>
      <c r="CD199" s="59">
        <f ca="1">AVERAGE(OFFSET($CC$3,0,0,'Données projet'!$E$12+1,1))-AVERAGE(OFFSET($H$3,0,0,'Données projet'!$E$12+1,1))</f>
        <v>415.83983761562189</v>
      </c>
      <c r="CE199" s="59">
        <f t="shared" si="207"/>
        <v>339.37869344688829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6.8751493962396708</v>
      </c>
      <c r="CL199" s="21">
        <f>EXP(-LN(2)/25)*CL198+(1-EXP(-LN(2)/25))/(LN(2)/25)*Calculateur!CG199*Calculateur!CI199*VLOOKUP('Données projet'!$B$12,Paramètres!$A$1:$I$89,3,0)*0.475*44/12</f>
        <v>1.1762111450352311</v>
      </c>
      <c r="CM199" s="21">
        <f>EXP(-LN(2)/2)*CM198+(1-EXP(-LN(2)/2))/(LN(2)/2)*CG199*CJ199*VLOOKUP('Données projet'!$B$12,Paramètres!$A$1:$I$89,3,0)*0.475*44/12</f>
        <v>8.5094397369053101E-18</v>
      </c>
      <c r="CN199" s="22">
        <f t="shared" si="172"/>
        <v>8.0513605412749012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268.00000000000011</v>
      </c>
      <c r="O200" s="13">
        <f>N200*VLOOKUP('Données projet'!$B$9,Paramètres!$A$1:$I$89,3,0)*VLOOKUP('Données projet'!$B$9,Paramètres!$A$1:$I$89,5,0)</f>
        <v>242.48640000000009</v>
      </c>
      <c r="P200" s="13">
        <f t="shared" si="203"/>
        <v>58.974170235372476</v>
      </c>
      <c r="Q200" s="20">
        <f t="shared" si="162"/>
        <v>525.04382649327385</v>
      </c>
      <c r="R200" s="59">
        <f t="shared" si="191"/>
        <v>818.37715982660711</v>
      </c>
      <c r="S200" s="59">
        <f ca="1">AVERAGE(OFFSET($R$3,0,0,'Données projet'!$E$9+1,1))-AVERAGE(OFFSET($H$3,0,0,'Données projet'!$E$9+1,1))</f>
        <v>258.68215148478868</v>
      </c>
      <c r="T200" s="59">
        <f t="shared" si="204"/>
        <v>153.16792125610209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12.698078842036416</v>
      </c>
      <c r="AA200" s="21">
        <f>EXP(-LN(2)/25)*AA199+(1-EXP(-LN(2)/25))/(LN(2)/25)*Calculateur!V200*Calculateur!X200*VLOOKUP('Données projet'!$B$9,Paramètres!$A$1:$I$89,3,0)*0.475*44/12</f>
        <v>0.29249070784091302</v>
      </c>
      <c r="AB200" s="21">
        <f>EXP(-LN(2)/2)*AB199+(1-EXP(-LN(2)/2))/(LN(2)/2)*V200*Y200*VLOOKUP('Données projet'!$B$9,Paramètres!$A$1:$I$89,3,0)*0.475*44/12</f>
        <v>2.7553752529604641E-12</v>
      </c>
      <c r="AC200" s="22">
        <f t="shared" si="163"/>
        <v>12.990569549880085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268.00000000000011</v>
      </c>
      <c r="AJ200" s="13">
        <f>AI200*VLOOKUP('Données projet'!$B$10,Paramètres!$A$1:$I$89,3,0)*VLOOKUP('Données projet'!$B$10,Paramètres!$A$1:$I$89,5,0)</f>
        <v>271.75200000000012</v>
      </c>
      <c r="AK200" s="13">
        <f t="shared" si="164"/>
        <v>65.220947824724988</v>
      </c>
      <c r="AL200" s="20">
        <f t="shared" si="165"/>
        <v>586.89455079472953</v>
      </c>
      <c r="AM200" s="59">
        <f t="shared" si="193"/>
        <v>880.2278841280629</v>
      </c>
      <c r="AN200" s="59">
        <f ca="1">AVERAGE(OFFSET($AM$3,0,0,'Données projet'!$E$10+1,1))-AVERAGE(OFFSET($H$3,0,0,'Données projet'!$E$10+1,1))</f>
        <v>298.68533387773886</v>
      </c>
      <c r="AO200" s="59">
        <f t="shared" si="205"/>
        <v>176.04868734496114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14.23060559883392</v>
      </c>
      <c r="AV200" s="21">
        <f>EXP(-LN(2)/25)*AV199+(1-EXP(-LN(2)/25))/(LN(2)/25)*Calculateur!AQ200*Calculateur!AS200*VLOOKUP('Données projet'!$B$10,Paramètres!$A$1:$I$89,3,0)*0.475*44/12</f>
        <v>0.32779131051136784</v>
      </c>
      <c r="AW200" s="21">
        <f>EXP(-LN(2)/2)*AW199+(1-EXP(-LN(2)/2))/(LN(2)/2)*AQ200*AT200*VLOOKUP('Données projet'!$B$10,Paramètres!$A$1:$I$89,3,0)*0.475*44/12</f>
        <v>3.0879205421108699E-12</v>
      </c>
      <c r="AX200" s="21">
        <f t="shared" si="166"/>
        <v>14.558396909348374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-5.999999999994543E-2</v>
      </c>
      <c r="BE200" s="13">
        <f>BD200*VLOOKUP('Données projet'!$B$11,Paramètres!$A$1:$I$89,3,0)*VLOOKUP('Données projet'!$B$11,Paramètres!$A$1:$I$89,5,0)</f>
        <v>-2.8079999999974462E-2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83.62456509032836</v>
      </c>
      <c r="BJ200" s="59">
        <f t="shared" si="206"/>
        <v>131.53128089847871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4.836408926254566</v>
      </c>
      <c r="BQ200" s="21">
        <f>EXP(-LN(2)/25)*BQ199+(1-EXP(-LN(2)/25))/(LN(2)/25)*Calculateur!BL200*Calculateur!BN200*VLOOKUP('Données projet'!$B$11,Paramètres!$A$1:$I$89,3,0)*0.475*44/12</f>
        <v>0.74334029776753907</v>
      </c>
      <c r="BR200" s="21">
        <f>EXP(-LN(2)/2)*BR199+(1-EXP(-LN(2)/2))/(LN(2)/2)*BL200*BO200*VLOOKUP('Données projet'!$B$11,Paramètres!$A$1:$I$89,3,0)*0.475*44/12</f>
        <v>1.0396408626844917E-19</v>
      </c>
      <c r="BS200" s="22">
        <f t="shared" si="169"/>
        <v>5.5797492240221054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925.00000000000034</v>
      </c>
      <c r="BZ200" s="13">
        <f>BY200*VLOOKUP('Données projet'!$B$12,Paramètres!$A$1:$I$89,3,0)*VLOOKUP('Données projet'!$B$12,Paramètres!$A$1:$I$89,5,0)</f>
        <v>408.85000000000014</v>
      </c>
      <c r="CA200" s="13">
        <f t="shared" si="170"/>
        <v>93.568575358321141</v>
      </c>
      <c r="CB200" s="20">
        <f t="shared" si="171"/>
        <v>875.04568541574281</v>
      </c>
      <c r="CC200" s="59">
        <f t="shared" si="195"/>
        <v>1168.3790187490761</v>
      </c>
      <c r="CD200" s="59">
        <f ca="1">AVERAGE(OFFSET($CC$3,0,0,'Données projet'!$E$12+1,1))-AVERAGE(OFFSET($H$3,0,0,'Données projet'!$E$12+1,1))</f>
        <v>415.83983761562189</v>
      </c>
      <c r="CE200" s="59">
        <f t="shared" si="207"/>
        <v>339.37869344688829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6.7403319100064758</v>
      </c>
      <c r="CL200" s="21">
        <f>EXP(-LN(2)/25)*CL199+(1-EXP(-LN(2)/25))/(LN(2)/25)*Calculateur!CG200*Calculateur!CI200*VLOOKUP('Données projet'!$B$12,Paramètres!$A$1:$I$89,3,0)*0.475*44/12</f>
        <v>1.1440475894199869</v>
      </c>
      <c r="CM200" s="21">
        <f>EXP(-LN(2)/2)*CM199+(1-EXP(-LN(2)/2))/(LN(2)/2)*CG200*CJ200*VLOOKUP('Données projet'!$B$12,Paramètres!$A$1:$I$89,3,0)*0.475*44/12</f>
        <v>6.0170825420640158E-18</v>
      </c>
      <c r="CN200" s="22">
        <f t="shared" si="172"/>
        <v>7.8843794994264629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268.00000000000011</v>
      </c>
      <c r="O201" s="13">
        <f>N201*VLOOKUP('Données projet'!$B$9,Paramètres!$A$1:$I$89,3,0)*VLOOKUP('Données projet'!$B$9,Paramètres!$A$1:$I$89,5,0)</f>
        <v>242.48640000000009</v>
      </c>
      <c r="P201" s="13">
        <f t="shared" si="203"/>
        <v>58.974170235372476</v>
      </c>
      <c r="Q201" s="20">
        <f t="shared" si="162"/>
        <v>525.04382649327385</v>
      </c>
      <c r="R201" s="59">
        <f t="shared" si="191"/>
        <v>818.37715982660711</v>
      </c>
      <c r="S201" s="59">
        <f ca="1">AVERAGE(OFFSET($R$3,0,0,'Données projet'!$E$9+1,1))-AVERAGE(OFFSET($H$3,0,0,'Données projet'!$E$9+1,1))</f>
        <v>258.68215148478868</v>
      </c>
      <c r="T201" s="59">
        <f t="shared" si="204"/>
        <v>153.16792125610209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12.449077261007414</v>
      </c>
      <c r="AA201" s="21">
        <f>EXP(-LN(2)/25)*AA200+(1-EXP(-LN(2)/25))/(LN(2)/25)*Calculateur!V201*Calculateur!X201*VLOOKUP('Données projet'!$B$9,Paramètres!$A$1:$I$89,3,0)*0.475*44/12</f>
        <v>0.28449253405358543</v>
      </c>
      <c r="AB201" s="21">
        <f>EXP(-LN(2)/2)*AB200+(1-EXP(-LN(2)/2))/(LN(2)/2)*V201*Y201*VLOOKUP('Données projet'!$B$9,Paramètres!$A$1:$I$89,3,0)*0.475*44/12</f>
        <v>1.9483445260819429E-12</v>
      </c>
      <c r="AC201" s="22">
        <f t="shared" si="163"/>
        <v>12.733569795062948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268.00000000000011</v>
      </c>
      <c r="AJ201" s="13">
        <f>AI201*VLOOKUP('Données projet'!$B$10,Paramètres!$A$1:$I$89,3,0)*VLOOKUP('Données projet'!$B$10,Paramètres!$A$1:$I$89,5,0)</f>
        <v>271.75200000000012</v>
      </c>
      <c r="AK201" s="13">
        <f t="shared" si="164"/>
        <v>65.220947824724988</v>
      </c>
      <c r="AL201" s="20">
        <f t="shared" si="165"/>
        <v>586.89455079472953</v>
      </c>
      <c r="AM201" s="59">
        <f t="shared" si="193"/>
        <v>880.2278841280629</v>
      </c>
      <c r="AN201" s="59">
        <f ca="1">AVERAGE(OFFSET($AM$3,0,0,'Données projet'!$E$10+1,1))-AVERAGE(OFFSET($H$3,0,0,'Données projet'!$E$10+1,1))</f>
        <v>298.68533387773886</v>
      </c>
      <c r="AO201" s="59">
        <f t="shared" si="205"/>
        <v>176.04868734496114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13.951552102853142</v>
      </c>
      <c r="AV201" s="21">
        <f>EXP(-LN(2)/25)*AV200+(1-EXP(-LN(2)/25))/(LN(2)/25)*Calculateur!AQ201*Calculateur!AS201*VLOOKUP('Données projet'!$B$10,Paramètres!$A$1:$I$89,3,0)*0.475*44/12</f>
        <v>0.31882783988763863</v>
      </c>
      <c r="AW201" s="21">
        <f>EXP(-LN(2)/2)*AW200+(1-EXP(-LN(2)/2))/(LN(2)/2)*AQ201*AT201*VLOOKUP('Données projet'!$B$10,Paramètres!$A$1:$I$89,3,0)*0.475*44/12</f>
        <v>2.183489555091836E-12</v>
      </c>
      <c r="AX201" s="21">
        <f t="shared" si="166"/>
        <v>14.270379942742965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-5.999999999994543E-2</v>
      </c>
      <c r="BE201" s="13">
        <f>BD201*VLOOKUP('Données projet'!$B$11,Paramètres!$A$1:$I$89,3,0)*VLOOKUP('Données projet'!$B$11,Paramètres!$A$1:$I$89,5,0)</f>
        <v>-2.8079999999974462E-2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83.62456509032836</v>
      </c>
      <c r="BJ201" s="59">
        <f t="shared" si="206"/>
        <v>131.53128089847871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4.7415698971288789</v>
      </c>
      <c r="BQ201" s="21">
        <f>EXP(-LN(2)/25)*BQ200+(1-EXP(-LN(2)/25))/(LN(2)/25)*Calculateur!BL201*Calculateur!BN201*VLOOKUP('Données projet'!$B$11,Paramètres!$A$1:$I$89,3,0)*0.475*44/12</f>
        <v>0.72301361823451837</v>
      </c>
      <c r="BR201" s="21">
        <f>EXP(-LN(2)/2)*BR200+(1-EXP(-LN(2)/2))/(LN(2)/2)*BL201*BO201*VLOOKUP('Données projet'!$B$11,Paramètres!$A$1:$I$89,3,0)*0.475*44/12</f>
        <v>7.3513710400283637E-20</v>
      </c>
      <c r="BS201" s="22">
        <f t="shared" si="169"/>
        <v>5.4645835153633975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925.00000000000034</v>
      </c>
      <c r="BZ201" s="13">
        <f>BY201*VLOOKUP('Données projet'!$B$12,Paramètres!$A$1:$I$89,3,0)*VLOOKUP('Données projet'!$B$12,Paramètres!$A$1:$I$89,5,0)</f>
        <v>408.85000000000014</v>
      </c>
      <c r="CA201" s="13">
        <f t="shared" si="170"/>
        <v>93.568575358321141</v>
      </c>
      <c r="CB201" s="20">
        <f t="shared" si="171"/>
        <v>875.04568541574281</v>
      </c>
      <c r="CC201" s="59">
        <f t="shared" si="195"/>
        <v>1168.3790187490761</v>
      </c>
      <c r="CD201" s="59">
        <f ca="1">AVERAGE(OFFSET($CC$3,0,0,'Données projet'!$E$12+1,1))-AVERAGE(OFFSET($H$3,0,0,'Données projet'!$E$12+1,1))</f>
        <v>415.83983761562189</v>
      </c>
      <c r="CE201" s="59">
        <f t="shared" si="207"/>
        <v>339.37869344688829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6.6081581124477671</v>
      </c>
      <c r="CL201" s="21">
        <f>EXP(-LN(2)/25)*CL200+(1-EXP(-LN(2)/25))/(LN(2)/25)*Calculateur!CG201*Calculateur!CI201*VLOOKUP('Données projet'!$B$12,Paramètres!$A$1:$I$89,3,0)*0.475*44/12</f>
        <v>1.1127635479244493</v>
      </c>
      <c r="CM201" s="21">
        <f>EXP(-LN(2)/2)*CM200+(1-EXP(-LN(2)/2))/(LN(2)/2)*CG201*CJ201*VLOOKUP('Données projet'!$B$12,Paramètres!$A$1:$I$89,3,0)*0.475*44/12</f>
        <v>4.2547198684526551E-18</v>
      </c>
      <c r="CN201" s="22">
        <f t="shared" si="172"/>
        <v>7.7209216603722162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268.00000000000011</v>
      </c>
      <c r="O202" s="13">
        <f>N202*VLOOKUP('Données projet'!$B$9,Paramètres!$A$1:$I$89,3,0)*VLOOKUP('Données projet'!$B$9,Paramètres!$A$1:$I$89,5,0)</f>
        <v>242.48640000000009</v>
      </c>
      <c r="P202" s="13">
        <f t="shared" si="203"/>
        <v>58.974170235372476</v>
      </c>
      <c r="Q202" s="20">
        <f t="shared" si="162"/>
        <v>525.04382649327385</v>
      </c>
      <c r="R202" s="59">
        <f t="shared" si="191"/>
        <v>818.37715982660711</v>
      </c>
      <c r="S202" s="59">
        <f ca="1">AVERAGE(OFFSET($R$3,0,0,'Données projet'!$E$9+1,1))-AVERAGE(OFFSET($H$3,0,0,'Données projet'!$E$9+1,1))</f>
        <v>258.68215148478868</v>
      </c>
      <c r="T202" s="59">
        <f t="shared" si="204"/>
        <v>153.16792125610209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12.204958449106423</v>
      </c>
      <c r="AA202" s="21">
        <f>EXP(-LN(2)/25)*AA201+(1-EXP(-LN(2)/25))/(LN(2)/25)*Calculateur!V202*Calculateur!X202*VLOOKUP('Données projet'!$B$9,Paramètres!$A$1:$I$89,3,0)*0.475*44/12</f>
        <v>0.27671307074907797</v>
      </c>
      <c r="AB202" s="21">
        <f>EXP(-LN(2)/2)*AB201+(1-EXP(-LN(2)/2))/(LN(2)/2)*V202*Y202*VLOOKUP('Données projet'!$B$9,Paramètres!$A$1:$I$89,3,0)*0.475*44/12</f>
        <v>1.377687626480232E-12</v>
      </c>
      <c r="AC202" s="22">
        <f t="shared" si="163"/>
        <v>12.48167151985688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268.00000000000011</v>
      </c>
      <c r="AJ202" s="13">
        <f>AI202*VLOOKUP('Données projet'!$B$10,Paramètres!$A$1:$I$89,3,0)*VLOOKUP('Données projet'!$B$10,Paramètres!$A$1:$I$89,5,0)</f>
        <v>271.75200000000012</v>
      </c>
      <c r="AK202" s="13">
        <f t="shared" si="164"/>
        <v>65.220947824724988</v>
      </c>
      <c r="AL202" s="20">
        <f t="shared" si="165"/>
        <v>586.89455079472953</v>
      </c>
      <c r="AM202" s="59">
        <f t="shared" si="193"/>
        <v>880.2278841280629</v>
      </c>
      <c r="AN202" s="59">
        <f ca="1">AVERAGE(OFFSET($AM$3,0,0,'Données projet'!$E$10+1,1))-AVERAGE(OFFSET($H$3,0,0,'Données projet'!$E$10+1,1))</f>
        <v>298.68533387773886</v>
      </c>
      <c r="AO202" s="59">
        <f t="shared" si="205"/>
        <v>176.04868734496114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13.677970675722721</v>
      </c>
      <c r="AV202" s="21">
        <f>EXP(-LN(2)/25)*AV201+(1-EXP(-LN(2)/25))/(LN(2)/25)*Calculateur!AQ202*Calculateur!AS202*VLOOKUP('Données projet'!$B$10,Paramètres!$A$1:$I$89,3,0)*0.475*44/12</f>
        <v>0.31010947583948373</v>
      </c>
      <c r="AW202" s="21">
        <f>EXP(-LN(2)/2)*AW201+(1-EXP(-LN(2)/2))/(LN(2)/2)*AQ202*AT202*VLOOKUP('Données projet'!$B$10,Paramètres!$A$1:$I$89,3,0)*0.475*44/12</f>
        <v>1.5439602710554349E-12</v>
      </c>
      <c r="AX202" s="21">
        <f t="shared" si="166"/>
        <v>13.988080151563748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-5.999999999994543E-2</v>
      </c>
      <c r="BE202" s="13">
        <f>BD202*VLOOKUP('Données projet'!$B$11,Paramètres!$A$1:$I$89,3,0)*VLOOKUP('Données projet'!$B$11,Paramètres!$A$1:$I$89,5,0)</f>
        <v>-2.8079999999974462E-2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83.62456509032836</v>
      </c>
      <c r="BJ202" s="59">
        <f t="shared" si="206"/>
        <v>131.53128089847871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4.64859060351825</v>
      </c>
      <c r="BQ202" s="21">
        <f>EXP(-LN(2)/25)*BQ201+(1-EXP(-LN(2)/25))/(LN(2)/25)*Calculateur!BL202*Calculateur!BN202*VLOOKUP('Données projet'!$B$11,Paramètres!$A$1:$I$89,3,0)*0.475*44/12</f>
        <v>0.70324277282226177</v>
      </c>
      <c r="BR202" s="21">
        <f>EXP(-LN(2)/2)*BR201+(1-EXP(-LN(2)/2))/(LN(2)/2)*BL202*BO202*VLOOKUP('Données projet'!$B$11,Paramètres!$A$1:$I$89,3,0)*0.475*44/12</f>
        <v>5.1982043134224585E-20</v>
      </c>
      <c r="BS202" s="22">
        <f t="shared" si="169"/>
        <v>5.3518333763405117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925.00000000000034</v>
      </c>
      <c r="BZ202" s="13">
        <f>BY202*VLOOKUP('Données projet'!$B$12,Paramètres!$A$1:$I$89,3,0)*VLOOKUP('Données projet'!$B$12,Paramètres!$A$1:$I$89,5,0)</f>
        <v>408.85000000000014</v>
      </c>
      <c r="CA202" s="13">
        <f t="shared" si="170"/>
        <v>93.568575358321141</v>
      </c>
      <c r="CB202" s="20">
        <f t="shared" si="171"/>
        <v>875.04568541574281</v>
      </c>
      <c r="CC202" s="59">
        <f t="shared" si="195"/>
        <v>1168.3790187490761</v>
      </c>
      <c r="CD202" s="59">
        <f ca="1">AVERAGE(OFFSET($CC$3,0,0,'Données projet'!$E$12+1,1))-AVERAGE(OFFSET($H$3,0,0,'Données projet'!$E$12+1,1))</f>
        <v>415.83983761562189</v>
      </c>
      <c r="CE202" s="59">
        <f t="shared" si="207"/>
        <v>339.37869344688829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6.4785761624411284</v>
      </c>
      <c r="CL202" s="21">
        <f>EXP(-LN(2)/25)*CL201+(1-EXP(-LN(2)/25))/(LN(2)/25)*Calculateur!CG202*Calculateur!CI202*VLOOKUP('Données projet'!$B$12,Paramètres!$A$1:$I$89,3,0)*0.475*44/12</f>
        <v>1.0823349701887635</v>
      </c>
      <c r="CM202" s="21">
        <f>EXP(-LN(2)/2)*CM201+(1-EXP(-LN(2)/2))/(LN(2)/2)*CG202*CJ202*VLOOKUP('Données projet'!$B$12,Paramètres!$A$1:$I$89,3,0)*0.475*44/12</f>
        <v>3.0085412710320079E-18</v>
      </c>
      <c r="CN202" s="22">
        <f t="shared" si="172"/>
        <v>7.5609111326298919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268.00000000000011</v>
      </c>
      <c r="O203" s="13">
        <f>N203*VLOOKUP('Données projet'!$B$9,Paramètres!$A$1:$I$89,3,0)*VLOOKUP('Données projet'!$B$9,Paramètres!$A$1:$I$89,5,0)</f>
        <v>242.48640000000009</v>
      </c>
      <c r="P203" s="13">
        <f t="shared" si="203"/>
        <v>58.974170235372476</v>
      </c>
      <c r="Q203" s="20">
        <f t="shared" si="162"/>
        <v>525.04382649327385</v>
      </c>
      <c r="R203" s="59">
        <f t="shared" si="191"/>
        <v>818.37715982660711</v>
      </c>
      <c r="S203" s="59">
        <f ca="1">AVERAGE(OFFSET($R$3,0,0,'Données projet'!$E$9+1,1))-AVERAGE(OFFSET($H$3,0,0,'Données projet'!$E$9+1,1))</f>
        <v>258.68215148478868</v>
      </c>
      <c r="T203" s="59">
        <f t="shared" si="204"/>
        <v>153.16792125610209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11.965626658209038</v>
      </c>
      <c r="AA203" s="21">
        <f>EXP(-LN(2)/25)*AA202+(1-EXP(-LN(2)/25))/(LN(2)/25)*Calculateur!V203*Calculateur!X203*VLOOKUP('Données projet'!$B$9,Paramètres!$A$1:$I$89,3,0)*0.475*44/12</f>
        <v>0.26914633727773646</v>
      </c>
      <c r="AB203" s="21">
        <f>EXP(-LN(2)/2)*AB202+(1-EXP(-LN(2)/2))/(LN(2)/2)*V203*Y203*VLOOKUP('Données projet'!$B$9,Paramètres!$A$1:$I$89,3,0)*0.475*44/12</f>
        <v>9.7417226304097145E-13</v>
      </c>
      <c r="AC203" s="22">
        <f t="shared" si="163"/>
        <v>12.234772995487747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268.00000000000011</v>
      </c>
      <c r="AJ203" s="13">
        <f>AI203*VLOOKUP('Données projet'!$B$10,Paramètres!$A$1:$I$89,3,0)*VLOOKUP('Données projet'!$B$10,Paramètres!$A$1:$I$89,5,0)</f>
        <v>271.75200000000012</v>
      </c>
      <c r="AK203" s="13">
        <f t="shared" si="164"/>
        <v>65.220947824724988</v>
      </c>
      <c r="AL203" s="20">
        <f t="shared" si="165"/>
        <v>586.89455079472953</v>
      </c>
      <c r="AM203" s="59">
        <f t="shared" si="193"/>
        <v>880.2278841280629</v>
      </c>
      <c r="AN203" s="59">
        <f ca="1">AVERAGE(OFFSET($AM$3,0,0,'Données projet'!$E$10+1,1))-AVERAGE(OFFSET($H$3,0,0,'Données projet'!$E$10+1,1))</f>
        <v>298.68533387773886</v>
      </c>
      <c r="AO203" s="59">
        <f t="shared" si="205"/>
        <v>176.04868734496114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13.409754013510133</v>
      </c>
      <c r="AV203" s="21">
        <f>EXP(-LN(2)/25)*AV202+(1-EXP(-LN(2)/25))/(LN(2)/25)*Calculateur!AQ203*Calculateur!AS203*VLOOKUP('Données projet'!$B$10,Paramètres!$A$1:$I$89,3,0)*0.475*44/12</f>
        <v>0.30162951591470449</v>
      </c>
      <c r="AW203" s="21">
        <f>EXP(-LN(2)/2)*AW202+(1-EXP(-LN(2)/2))/(LN(2)/2)*AQ203*AT203*VLOOKUP('Données projet'!$B$10,Paramètres!$A$1:$I$89,3,0)*0.475*44/12</f>
        <v>1.091744777545918E-12</v>
      </c>
      <c r="AX203" s="21">
        <f t="shared" si="166"/>
        <v>13.71138352942593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-5.999999999994543E-2</v>
      </c>
      <c r="BE203" s="13">
        <f>BD203*VLOOKUP('Données projet'!$B$11,Paramètres!$A$1:$I$89,3,0)*VLOOKUP('Données projet'!$B$11,Paramètres!$A$1:$I$89,5,0)</f>
        <v>-2.8079999999974462E-2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83.62456509032836</v>
      </c>
      <c r="BJ203" s="59">
        <f t="shared" si="206"/>
        <v>131.53128089847871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4.5574345771435567</v>
      </c>
      <c r="BQ203" s="21">
        <f>EXP(-LN(2)/25)*BQ202+(1-EXP(-LN(2)/25))/(LN(2)/25)*Calculateur!BL203*Calculateur!BN203*VLOOKUP('Données projet'!$B$11,Paramètres!$A$1:$I$89,3,0)*0.475*44/12</f>
        <v>0.68401256221750684</v>
      </c>
      <c r="BR203" s="21">
        <f>EXP(-LN(2)/2)*BR202+(1-EXP(-LN(2)/2))/(LN(2)/2)*BL203*BO203*VLOOKUP('Données projet'!$B$11,Paramètres!$A$1:$I$89,3,0)*0.475*44/12</f>
        <v>3.6756855200141818E-20</v>
      </c>
      <c r="BS203" s="22">
        <f t="shared" si="169"/>
        <v>5.241447139361064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925.00000000000034</v>
      </c>
      <c r="BZ203" s="13">
        <f>BY203*VLOOKUP('Données projet'!$B$12,Paramètres!$A$1:$I$89,3,0)*VLOOKUP('Données projet'!$B$12,Paramètres!$A$1:$I$89,5,0)</f>
        <v>408.85000000000014</v>
      </c>
      <c r="CA203" s="13">
        <f t="shared" si="170"/>
        <v>93.568575358321141</v>
      </c>
      <c r="CB203" s="20">
        <f t="shared" si="171"/>
        <v>875.04568541574281</v>
      </c>
      <c r="CC203" s="59">
        <f t="shared" si="195"/>
        <v>1168.3790187490761</v>
      </c>
      <c r="CD203" s="59">
        <f ca="1">AVERAGE(OFFSET($CC$3,0,0,'Données projet'!$E$12+1,1))-AVERAGE(OFFSET($H$3,0,0,'Données projet'!$E$12+1,1))</f>
        <v>415.83983761562189</v>
      </c>
      <c r="CE203" s="59">
        <f t="shared" si="207"/>
        <v>339.37869344688829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6.351535235436935</v>
      </c>
      <c r="CL203" s="21">
        <f>EXP(-LN(2)/25)*CL202+(1-EXP(-LN(2)/25))/(LN(2)/25)*Calculateur!CG203*Calculateur!CI203*VLOOKUP('Données projet'!$B$12,Paramètres!$A$1:$I$89,3,0)*0.475*44/12</f>
        <v>1.0527384635114294</v>
      </c>
      <c r="CM203" s="21">
        <f>EXP(-LN(2)/2)*CM202+(1-EXP(-LN(2)/2))/(LN(2)/2)*CG203*CJ203*VLOOKUP('Données projet'!$B$12,Paramètres!$A$1:$I$89,3,0)*0.475*44/12</f>
        <v>2.1273599342263275E-18</v>
      </c>
      <c r="CN203" s="22">
        <f t="shared" si="172"/>
        <v>7.404273698948364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1.2211012640520602</v>
      </c>
      <c r="BV205" s="82">
        <f>EXP(LN('Données projet'!B114)/'Données projet'!A114)</f>
        <v>1.3020054543174677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Q1" sqref="Q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3.4619999999999997</v>
      </c>
      <c r="C6" s="147">
        <f ca="1">IF(OR('Données projet'!B9="",'Données projet'!C9="",'Données projet'!C9=0%),0,Calculateur!S3)</f>
        <v>258.68215148478868</v>
      </c>
      <c r="D6" s="147">
        <f>IF(OR('Données projet'!B9="",'Données projet'!C9="",'Données projet'!C9=0%),0,Calculateur!T3)</f>
        <v>153.16792125610209</v>
      </c>
      <c r="E6" s="147">
        <f ca="1">MIN(C6,D6)</f>
        <v>153.16792125610209</v>
      </c>
      <c r="F6" s="147">
        <f ca="1">E6*B6</f>
        <v>530.26734338862536</v>
      </c>
      <c r="G6" s="147">
        <f ca="1">F6*(100%-'Données projet'!$C$24)*(100%-'Données projet'!$C$25)*(100%-'Données projet'!$C$26)*(100%-'Données projet'!$C$27)</f>
        <v>429.51654814478655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25.099499999999999</v>
      </c>
      <c r="K6" s="151">
        <f>J6*(100%-'Données projet'!$C$24)*(100%-'Données projet'!$C$25)*(100%-'Données projet'!$C$26)*(100%-'Données projet'!$C$27)</f>
        <v>20.330594999999999</v>
      </c>
      <c r="L6" s="152">
        <f ca="1">G6+I6+K6</f>
        <v>449.84714314478657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1.9040999999999999</v>
      </c>
      <c r="C7" s="147">
        <f ca="1">IF(OR('Données projet'!B10="",'Données projet'!C10="",'Données projet'!C10=0%),0,Calculateur!AN3)</f>
        <v>298.68533387773886</v>
      </c>
      <c r="D7" s="147">
        <f>IF(OR('Données projet'!B10="",'Données projet'!C10="",'Données projet'!C10=0%),0,Calculateur!AO3)</f>
        <v>176.04868734496114</v>
      </c>
      <c r="E7" s="147">
        <f t="shared" ref="E7:E15" ca="1" si="0">MIN(C7,D7)</f>
        <v>176.04868734496114</v>
      </c>
      <c r="F7" s="147">
        <f t="shared" ref="F7:F15" ca="1" si="1">E7*B7</f>
        <v>335.21430557354051</v>
      </c>
      <c r="G7" s="147">
        <f ca="1">F7*(100%-'Données projet'!$C$24)*(100%-'Données projet'!$C$25)*(100%-'Données projet'!$C$26)*(100%-'Données projet'!$C$27)</f>
        <v>271.52358751456785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13.804724999999999</v>
      </c>
      <c r="K7" s="151">
        <f>J7*(100%-'Données projet'!$C$24)*(100%-'Données projet'!$C$25)*(100%-'Données projet'!$C$26)*(100%-'Données projet'!$C$27)</f>
        <v>11.18182725</v>
      </c>
      <c r="L7" s="152">
        <f t="shared" ref="L7:L15" ca="1" si="2">G7+I7+K7</f>
        <v>282.70541476456788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0.23079999999999998</v>
      </c>
      <c r="C8" s="147">
        <f ca="1">IF(OR('Données projet'!B11="",'Données projet'!C11="",'Données projet'!C11=0%),0,Calculateur!BI3)</f>
        <v>83.62456509032836</v>
      </c>
      <c r="D8" s="147">
        <f>IF(OR('Données projet'!B11="",'Données projet'!C11="",'Données projet'!C11=0%),0,Calculateur!BJ3)</f>
        <v>131.53128089847871</v>
      </c>
      <c r="E8" s="147">
        <f t="shared" ca="1" si="0"/>
        <v>83.62456509032836</v>
      </c>
      <c r="F8" s="147">
        <f t="shared" ca="1" si="1"/>
        <v>19.300549622847782</v>
      </c>
      <c r="G8" s="147">
        <f ca="1">F8*(100%-'Données projet'!$C$24)*(100%-'Données projet'!$C$25)*(100%-'Données projet'!$C$26)*(100%-'Données projet'!$C$27)</f>
        <v>15.633445194506704</v>
      </c>
      <c r="H8" s="155">
        <f>IF(OR('Données projet'!B11="",'Données projet'!C11="",'Données projet'!C11=0%),0,AVERAGE(Calculateur!$BS$3:$BS$33)*B8)</f>
        <v>0.18803385998632061</v>
      </c>
      <c r="I8" s="149">
        <f>H8*(100%-'Données projet'!$C$24)*(100%-'Données projet'!$C$25)*(100%-'Données projet'!$C$26)*(100%-'Données projet'!$C$27)</f>
        <v>0.15230742658891971</v>
      </c>
      <c r="J8" s="150">
        <f>IF(OR('Données projet'!B11="",'Données projet'!C11="",'Données projet'!C11=0%),0,SUM(Calculateur!$BL$3:$BL$33)*VLOOKUP('Données projet'!$B$11,Paramètres!$A$1:$I$89,9,0)*B8)</f>
        <v>1.463849</v>
      </c>
      <c r="K8" s="151">
        <f>J8*(100%-'Données projet'!$C$24)*(100%-'Données projet'!$C$25)*(100%-'Données projet'!$C$26)*(100%-'Données projet'!$C$27)</f>
        <v>1.1857176900000002</v>
      </c>
      <c r="L8" s="152">
        <f t="shared" ca="1" si="2"/>
        <v>16.971470311095622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Séquoia toujours vert</v>
      </c>
      <c r="B9" s="154">
        <f>'Données projet'!D12</f>
        <v>0.17309999999999998</v>
      </c>
      <c r="C9" s="147">
        <f ca="1">IF(OR('Données projet'!B12="",'Données projet'!C12="",'Données projet'!C12=0%),0,Calculateur!CD3)</f>
        <v>415.83983761562189</v>
      </c>
      <c r="D9" s="147">
        <f>IF(OR('Données projet'!B12="",'Données projet'!C12="",'Données projet'!C12=0%),0,Calculateur!CE3)</f>
        <v>339.37869344688829</v>
      </c>
      <c r="E9" s="147">
        <f t="shared" ca="1" si="0"/>
        <v>339.37869344688829</v>
      </c>
      <c r="F9" s="147">
        <f t="shared" ca="1" si="1"/>
        <v>58.746451835656359</v>
      </c>
      <c r="G9" s="147">
        <f ca="1">F9*(100%-'Données projet'!$C$24)*(100%-'Données projet'!$C$25)*(100%-'Données projet'!$C$26)*(100%-'Données projet'!$C$27)</f>
        <v>47.584625986881655</v>
      </c>
      <c r="H9" s="155">
        <f>IF(OR('Données projet'!B12="",'Données projet'!C12="",'Données projet'!C12=0%),0,AVERAGE(Calculateur!$CN$3:$CN$33)*B9)</f>
        <v>2.0197575216887076</v>
      </c>
      <c r="I9" s="149">
        <f>H9*(100%-'Données projet'!$C$24)*(100%-'Données projet'!$C$25)*(100%-'Données projet'!$C$26)*(100%-'Données projet'!$C$27)</f>
        <v>1.6360035925678531</v>
      </c>
      <c r="J9" s="150">
        <f>IF(OR('Données projet'!B12="",'Données projet'!C12="",'Données projet'!C12=0%),0,SUM(Calculateur!$CG$3:$CG$33)*VLOOKUP('Données projet'!$B$12,Paramètres!$A$1:$I$89,9,0)*B9)</f>
        <v>18.012785999999998</v>
      </c>
      <c r="K9" s="151">
        <f>J9*(100%-'Données projet'!$C$24)*(100%-'Données projet'!$C$25)*(100%-'Données projet'!$C$26)*(100%-'Données projet'!$C$27)</f>
        <v>14.590356659999999</v>
      </c>
      <c r="L9" s="152">
        <f t="shared" ca="1" si="2"/>
        <v>63.810986239449505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943.52865042067003</v>
      </c>
      <c r="G16" s="166">
        <f t="shared" ca="1" si="3"/>
        <v>764.25820684074279</v>
      </c>
      <c r="H16" s="167">
        <f t="shared" si="3"/>
        <v>2.2077913816750283</v>
      </c>
      <c r="I16" s="167">
        <f t="shared" si="3"/>
        <v>1.7883110191567728</v>
      </c>
      <c r="J16" s="168">
        <f t="shared" si="3"/>
        <v>58.380859999999998</v>
      </c>
      <c r="K16" s="168">
        <f t="shared" si="3"/>
        <v>47.288496599999995</v>
      </c>
      <c r="L16" s="169">
        <f t="shared" ca="1" si="3"/>
        <v>813.33501445989941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6" zoomScale="80" zoomScaleNormal="80" workbookViewId="0">
      <selection activeCell="G23" sqref="G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1443.8857048195669</v>
      </c>
      <c r="U10" s="178">
        <f>'Données projet'!D9</f>
        <v>3.4619999999999997</v>
      </c>
      <c r="V10" s="177">
        <f>U10*T10</f>
        <v>4998.73231008534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1340.5566988183566</v>
      </c>
      <c r="U11" s="178">
        <f>'Données projet'!D10</f>
        <v>1.9040999999999999</v>
      </c>
      <c r="V11" s="177">
        <f t="shared" ref="V11" si="0">U11*T11</f>
        <v>2552.5540102200325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1831.4138398484245</v>
      </c>
      <c r="U12" s="178">
        <f>'Données projet'!D11</f>
        <v>0.23079999999999998</v>
      </c>
      <c r="V12" s="177">
        <f t="shared" ref="V12:V19" si="1">U12*T12</f>
        <v>422.69031423701631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Séquoia toujours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2371.7483580418348</v>
      </c>
      <c r="U13" s="178">
        <f>'Données projet'!D12</f>
        <v>0.17309999999999998</v>
      </c>
      <c r="V13" s="177">
        <f t="shared" si="1"/>
        <v>410.54964077704153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59.999999999999957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1799.9999999999986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5764.13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1288.26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1288.26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25</v>
      </c>
      <c r="D23" s="182">
        <f>B23*C23</f>
        <v>200</v>
      </c>
      <c r="E23" s="193">
        <f>75+(D23*12%)</f>
        <v>99</v>
      </c>
      <c r="F23" s="230"/>
      <c r="H23" s="190">
        <v>4</v>
      </c>
      <c r="I23" s="191">
        <v>984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-41523.979426971127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25</v>
      </c>
      <c r="D24" s="182">
        <f t="shared" ref="D24:D42" si="2">B24*C24</f>
        <v>525</v>
      </c>
      <c r="E24" s="193">
        <f t="shared" ref="E24:E42" si="3">75+(D24*12%)</f>
        <v>138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740.40764000376339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21</v>
      </c>
      <c r="C25" s="193">
        <v>40</v>
      </c>
      <c r="D25" s="182">
        <f t="shared" si="2"/>
        <v>840</v>
      </c>
      <c r="E25" s="193">
        <f t="shared" si="3"/>
        <v>175.8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-42264.387066974894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21</v>
      </c>
      <c r="C26" s="193">
        <v>40</v>
      </c>
      <c r="D26" s="182">
        <f t="shared" si="2"/>
        <v>840</v>
      </c>
      <c r="E26" s="193">
        <f t="shared" si="3"/>
        <v>175.8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21</v>
      </c>
      <c r="C27" s="193">
        <v>40</v>
      </c>
      <c r="D27" s="182">
        <f t="shared" si="2"/>
        <v>840</v>
      </c>
      <c r="E27" s="193">
        <f t="shared" si="3"/>
        <v>175.8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50</v>
      </c>
      <c r="B28" s="181">
        <f>'Données projet'!D41</f>
        <v>21</v>
      </c>
      <c r="C28" s="193">
        <v>70</v>
      </c>
      <c r="D28" s="182">
        <f t="shared" si="2"/>
        <v>1470</v>
      </c>
      <c r="E28" s="193">
        <f t="shared" si="3"/>
        <v>251.4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55</v>
      </c>
      <c r="B29" s="181">
        <f>'Données projet'!D42</f>
        <v>21</v>
      </c>
      <c r="C29" s="193">
        <v>70</v>
      </c>
      <c r="D29" s="182">
        <f t="shared" si="2"/>
        <v>1470</v>
      </c>
      <c r="E29" s="193">
        <f t="shared" si="3"/>
        <v>251.4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21</v>
      </c>
      <c r="C30" s="193">
        <v>70</v>
      </c>
      <c r="D30" s="182">
        <f t="shared" si="2"/>
        <v>1470</v>
      </c>
      <c r="E30" s="193">
        <f t="shared" si="3"/>
        <v>251.4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65</v>
      </c>
      <c r="B31" s="181">
        <f>'Données projet'!D44</f>
        <v>21</v>
      </c>
      <c r="C31" s="193">
        <v>80</v>
      </c>
      <c r="D31" s="182">
        <f t="shared" si="2"/>
        <v>1680</v>
      </c>
      <c r="E31" s="193">
        <f t="shared" si="3"/>
        <v>276.60000000000002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70</v>
      </c>
      <c r="B32" s="181">
        <f>'Données projet'!D45</f>
        <v>21</v>
      </c>
      <c r="C32" s="193">
        <v>80</v>
      </c>
      <c r="D32" s="182">
        <f t="shared" si="2"/>
        <v>1680</v>
      </c>
      <c r="E32" s="193">
        <f t="shared" si="3"/>
        <v>276.60000000000002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75</v>
      </c>
      <c r="B33" s="181">
        <f>'Données projet'!D46</f>
        <v>21</v>
      </c>
      <c r="C33" s="193">
        <v>80</v>
      </c>
      <c r="D33" s="182">
        <f t="shared" si="2"/>
        <v>1680</v>
      </c>
      <c r="E33" s="193">
        <f t="shared" si="3"/>
        <v>276.60000000000002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80</v>
      </c>
      <c r="B34" s="181">
        <f>'Données projet'!D47</f>
        <v>21</v>
      </c>
      <c r="C34" s="193">
        <v>190</v>
      </c>
      <c r="D34" s="182">
        <f t="shared" si="2"/>
        <v>3990</v>
      </c>
      <c r="E34" s="193">
        <f t="shared" si="3"/>
        <v>553.79999999999995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85</v>
      </c>
      <c r="B35" s="181">
        <f>'Données projet'!D48</f>
        <v>21</v>
      </c>
      <c r="C35" s="193">
        <v>190</v>
      </c>
      <c r="D35" s="182">
        <f t="shared" si="2"/>
        <v>3990</v>
      </c>
      <c r="E35" s="193">
        <f t="shared" si="3"/>
        <v>553.79999999999995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90</v>
      </c>
      <c r="B36" s="181">
        <f>'Données projet'!D49</f>
        <v>21</v>
      </c>
      <c r="C36" s="193">
        <v>190</v>
      </c>
      <c r="D36" s="182">
        <f t="shared" si="2"/>
        <v>3990</v>
      </c>
      <c r="E36" s="193">
        <f t="shared" si="3"/>
        <v>553.79999999999995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95</v>
      </c>
      <c r="B37" s="181">
        <f>'Données projet'!D50</f>
        <v>21</v>
      </c>
      <c r="C37" s="193">
        <v>190</v>
      </c>
      <c r="D37" s="182">
        <f t="shared" si="2"/>
        <v>3990</v>
      </c>
      <c r="E37" s="193">
        <f t="shared" si="3"/>
        <v>553.79999999999995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100</v>
      </c>
      <c r="B38" s="181">
        <f>'Données projet'!D51</f>
        <v>21</v>
      </c>
      <c r="C38" s="193">
        <v>190</v>
      </c>
      <c r="D38" s="182">
        <f t="shared" si="2"/>
        <v>3990</v>
      </c>
      <c r="E38" s="193">
        <f t="shared" si="3"/>
        <v>553.79999999999995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105</v>
      </c>
      <c r="B39" s="181">
        <f>'Données projet'!D52</f>
        <v>20</v>
      </c>
      <c r="C39" s="193">
        <v>190</v>
      </c>
      <c r="D39" s="182">
        <f t="shared" si="2"/>
        <v>3800</v>
      </c>
      <c r="E39" s="193">
        <f t="shared" si="3"/>
        <v>531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110</v>
      </c>
      <c r="B40" s="181">
        <f>'Données projet'!D53</f>
        <v>19</v>
      </c>
      <c r="C40" s="193">
        <v>190</v>
      </c>
      <c r="D40" s="182">
        <f t="shared" si="2"/>
        <v>3610</v>
      </c>
      <c r="E40" s="193">
        <f t="shared" si="3"/>
        <v>508.2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115</v>
      </c>
      <c r="B41" s="181">
        <f>'Données projet'!D54</f>
        <v>18</v>
      </c>
      <c r="C41" s="193">
        <v>190</v>
      </c>
      <c r="D41" s="182">
        <f t="shared" si="2"/>
        <v>3420</v>
      </c>
      <c r="E41" s="193">
        <f t="shared" si="3"/>
        <v>485.4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120</v>
      </c>
      <c r="B42" s="181">
        <f>'Données projet'!D55</f>
        <v>17</v>
      </c>
      <c r="C42" s="193">
        <v>190</v>
      </c>
      <c r="D42" s="182">
        <f t="shared" si="2"/>
        <v>3230</v>
      </c>
      <c r="E42" s="193">
        <f t="shared" si="3"/>
        <v>462.59999999999997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v>25</v>
      </c>
      <c r="D54" s="179">
        <f>B54*C54</f>
        <v>200</v>
      </c>
      <c r="E54" s="193">
        <f>75+(D54*12%)</f>
        <v>99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v>25</v>
      </c>
      <c r="D55" s="179">
        <f t="shared" ref="D55:D73" si="5">B55*C55</f>
        <v>525</v>
      </c>
      <c r="E55" s="193">
        <f t="shared" ref="E55:E73" si="6">75+(D55*12%)</f>
        <v>138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21</v>
      </c>
      <c r="C56" s="191">
        <v>40</v>
      </c>
      <c r="D56" s="179">
        <f t="shared" si="5"/>
        <v>840</v>
      </c>
      <c r="E56" s="193">
        <f t="shared" si="6"/>
        <v>175.8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21</v>
      </c>
      <c r="C57" s="191">
        <v>40</v>
      </c>
      <c r="D57" s="179">
        <f t="shared" si="5"/>
        <v>840</v>
      </c>
      <c r="E57" s="193">
        <f t="shared" si="6"/>
        <v>175.8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21</v>
      </c>
      <c r="C58" s="191">
        <v>40</v>
      </c>
      <c r="D58" s="179">
        <f t="shared" si="5"/>
        <v>840</v>
      </c>
      <c r="E58" s="193">
        <f t="shared" si="6"/>
        <v>175.8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21</v>
      </c>
      <c r="C59" s="191">
        <v>70</v>
      </c>
      <c r="D59" s="179">
        <f t="shared" si="5"/>
        <v>1470</v>
      </c>
      <c r="E59" s="193">
        <f t="shared" si="6"/>
        <v>251.4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21</v>
      </c>
      <c r="C60" s="191">
        <v>70</v>
      </c>
      <c r="D60" s="179">
        <f t="shared" si="5"/>
        <v>1470</v>
      </c>
      <c r="E60" s="193">
        <f t="shared" si="6"/>
        <v>251.4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21</v>
      </c>
      <c r="C61" s="191">
        <v>70</v>
      </c>
      <c r="D61" s="179">
        <f t="shared" si="5"/>
        <v>1470</v>
      </c>
      <c r="E61" s="193">
        <f t="shared" si="6"/>
        <v>251.4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65</v>
      </c>
      <c r="B62" s="181">
        <f>'Données projet'!D70</f>
        <v>21</v>
      </c>
      <c r="C62" s="191">
        <v>80</v>
      </c>
      <c r="D62" s="179">
        <f t="shared" si="5"/>
        <v>1680</v>
      </c>
      <c r="E62" s="193">
        <f t="shared" si="6"/>
        <v>276.60000000000002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70</v>
      </c>
      <c r="B63" s="181">
        <f>'Données projet'!D71</f>
        <v>21</v>
      </c>
      <c r="C63" s="191">
        <v>80</v>
      </c>
      <c r="D63" s="179">
        <f t="shared" si="5"/>
        <v>1680</v>
      </c>
      <c r="E63" s="193">
        <f t="shared" si="6"/>
        <v>276.60000000000002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75</v>
      </c>
      <c r="B64" s="181">
        <f>'Données projet'!D72</f>
        <v>21</v>
      </c>
      <c r="C64" s="191">
        <v>80</v>
      </c>
      <c r="D64" s="179">
        <f t="shared" si="5"/>
        <v>1680</v>
      </c>
      <c r="E64" s="193">
        <f t="shared" si="6"/>
        <v>276.60000000000002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80</v>
      </c>
      <c r="B65" s="181">
        <f>'Données projet'!D73</f>
        <v>21</v>
      </c>
      <c r="C65" s="191">
        <v>190</v>
      </c>
      <c r="D65" s="179">
        <f t="shared" si="5"/>
        <v>3990</v>
      </c>
      <c r="E65" s="193">
        <f t="shared" si="6"/>
        <v>553.79999999999995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85</v>
      </c>
      <c r="B66" s="181">
        <f>'Données projet'!D74</f>
        <v>21</v>
      </c>
      <c r="C66" s="191">
        <v>190</v>
      </c>
      <c r="D66" s="179">
        <f t="shared" si="5"/>
        <v>3990</v>
      </c>
      <c r="E66" s="193">
        <f t="shared" si="6"/>
        <v>553.79999999999995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21</v>
      </c>
      <c r="C67" s="191">
        <v>190</v>
      </c>
      <c r="D67" s="179">
        <f t="shared" si="5"/>
        <v>3990</v>
      </c>
      <c r="E67" s="193">
        <f t="shared" si="6"/>
        <v>553.79999999999995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95</v>
      </c>
      <c r="B68" s="181">
        <f>'Données projet'!D76</f>
        <v>21</v>
      </c>
      <c r="C68" s="191">
        <v>190</v>
      </c>
      <c r="D68" s="179">
        <f t="shared" si="5"/>
        <v>3990</v>
      </c>
      <c r="E68" s="193">
        <f t="shared" si="6"/>
        <v>553.79999999999995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100</v>
      </c>
      <c r="B69" s="181">
        <f>'Données projet'!D77</f>
        <v>21</v>
      </c>
      <c r="C69" s="191">
        <v>190</v>
      </c>
      <c r="D69" s="179">
        <f t="shared" si="5"/>
        <v>3990</v>
      </c>
      <c r="E69" s="193">
        <f t="shared" si="6"/>
        <v>553.79999999999995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105</v>
      </c>
      <c r="B70" s="181">
        <f>'Données projet'!D78</f>
        <v>20</v>
      </c>
      <c r="C70" s="191">
        <v>190</v>
      </c>
      <c r="D70" s="179">
        <f t="shared" si="5"/>
        <v>3800</v>
      </c>
      <c r="E70" s="193">
        <f t="shared" si="6"/>
        <v>531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110</v>
      </c>
      <c r="B71" s="181">
        <f>'Données projet'!D79</f>
        <v>19</v>
      </c>
      <c r="C71" s="191">
        <v>190</v>
      </c>
      <c r="D71" s="179">
        <f t="shared" si="5"/>
        <v>3610</v>
      </c>
      <c r="E71" s="193">
        <f t="shared" si="6"/>
        <v>508.2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115</v>
      </c>
      <c r="B72" s="181">
        <f>'Données projet'!D80</f>
        <v>18</v>
      </c>
      <c r="C72" s="191">
        <v>190</v>
      </c>
      <c r="D72" s="179">
        <f t="shared" si="5"/>
        <v>3420</v>
      </c>
      <c r="E72" s="193">
        <f t="shared" si="6"/>
        <v>485.4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120</v>
      </c>
      <c r="B73" s="181">
        <f>'Données projet'!D81</f>
        <v>17</v>
      </c>
      <c r="C73" s="191">
        <v>190</v>
      </c>
      <c r="D73" s="179">
        <f t="shared" si="5"/>
        <v>3230</v>
      </c>
      <c r="E73" s="193">
        <f t="shared" si="6"/>
        <v>462.59999999999997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7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14.75</v>
      </c>
      <c r="C85" s="191">
        <v>10</v>
      </c>
      <c r="D85" s="179">
        <f>B85*C85</f>
        <v>147.5</v>
      </c>
      <c r="E85" s="193">
        <f>75+(D85*12%)</f>
        <v>92.7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7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33</v>
      </c>
      <c r="B86" s="181">
        <f>'Données projet'!D89</f>
        <v>42.69</v>
      </c>
      <c r="C86" s="191">
        <v>18</v>
      </c>
      <c r="D86" s="179">
        <f t="shared" ref="D86:D104" si="8">B86*C86</f>
        <v>768.42</v>
      </c>
      <c r="E86" s="193">
        <f t="shared" ref="E86:E89" si="9">75+(D86*12%)</f>
        <v>167.21039999999999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7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41</v>
      </c>
      <c r="B87" s="181">
        <f>'Données projet'!D90</f>
        <v>85.55</v>
      </c>
      <c r="C87" s="191">
        <v>33</v>
      </c>
      <c r="D87" s="179">
        <f t="shared" si="8"/>
        <v>2823.15</v>
      </c>
      <c r="E87" s="193">
        <f t="shared" si="9"/>
        <v>413.77800000000002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7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52</v>
      </c>
      <c r="B88" s="181">
        <f>'Données projet'!D91</f>
        <v>135.63999999999999</v>
      </c>
      <c r="C88" s="191">
        <v>38</v>
      </c>
      <c r="D88" s="179">
        <f t="shared" si="8"/>
        <v>5154.32</v>
      </c>
      <c r="E88" s="193">
        <f t="shared" si="9"/>
        <v>693.51839999999993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7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264.36</v>
      </c>
      <c r="C89" s="191">
        <v>50</v>
      </c>
      <c r="D89" s="179">
        <f t="shared" si="8"/>
        <v>13218</v>
      </c>
      <c r="E89" s="193">
        <f t="shared" si="9"/>
        <v>1661.1599999999999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7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7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7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7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7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0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0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0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0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0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0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0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74</v>
      </c>
      <c r="C116" s="191">
        <v>10</v>
      </c>
      <c r="D116" s="179">
        <f>B116*C116</f>
        <v>740</v>
      </c>
      <c r="E116" s="193">
        <f>75+(D116*12%)</f>
        <v>163.80000000000001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84</v>
      </c>
      <c r="C117" s="191">
        <v>10</v>
      </c>
      <c r="D117" s="179">
        <f t="shared" ref="D117:D135" si="11">B117*C117</f>
        <v>840</v>
      </c>
      <c r="E117" s="193">
        <f t="shared" ref="E117:E128" si="12">75+(D117*12%)</f>
        <v>175.8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84</v>
      </c>
      <c r="C118" s="191">
        <v>18</v>
      </c>
      <c r="D118" s="179">
        <f t="shared" si="11"/>
        <v>1512</v>
      </c>
      <c r="E118" s="193">
        <f t="shared" si="12"/>
        <v>256.44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84</v>
      </c>
      <c r="C119" s="191">
        <v>18</v>
      </c>
      <c r="D119" s="179">
        <f t="shared" si="11"/>
        <v>1512</v>
      </c>
      <c r="E119" s="193">
        <f t="shared" si="12"/>
        <v>256.44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84</v>
      </c>
      <c r="C120" s="191">
        <v>33</v>
      </c>
      <c r="D120" s="179">
        <f t="shared" si="11"/>
        <v>2772</v>
      </c>
      <c r="E120" s="193">
        <f t="shared" si="12"/>
        <v>407.64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69</v>
      </c>
      <c r="C121" s="191">
        <v>33</v>
      </c>
      <c r="D121" s="179">
        <f t="shared" si="11"/>
        <v>2277</v>
      </c>
      <c r="E121" s="193">
        <f t="shared" si="12"/>
        <v>348.24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59</v>
      </c>
      <c r="C122" s="191">
        <v>33</v>
      </c>
      <c r="D122" s="179">
        <f t="shared" si="11"/>
        <v>1947</v>
      </c>
      <c r="E122" s="193">
        <f t="shared" si="12"/>
        <v>308.64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51</v>
      </c>
      <c r="C123" s="191">
        <v>38</v>
      </c>
      <c r="D123" s="179">
        <f t="shared" si="11"/>
        <v>1938</v>
      </c>
      <c r="E123" s="193">
        <f t="shared" si="12"/>
        <v>307.56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45</v>
      </c>
      <c r="C124" s="191">
        <v>38</v>
      </c>
      <c r="D124" s="179">
        <f t="shared" si="11"/>
        <v>1710</v>
      </c>
      <c r="E124" s="193">
        <f t="shared" si="12"/>
        <v>280.2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40</v>
      </c>
      <c r="C125" s="191">
        <v>40</v>
      </c>
      <c r="D125" s="179">
        <f t="shared" si="11"/>
        <v>1600</v>
      </c>
      <c r="E125" s="193">
        <f t="shared" si="12"/>
        <v>267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35</v>
      </c>
      <c r="C126" s="191">
        <v>40</v>
      </c>
      <c r="D126" s="179">
        <f t="shared" si="11"/>
        <v>1400</v>
      </c>
      <c r="E126" s="193">
        <f t="shared" si="12"/>
        <v>243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30</v>
      </c>
      <c r="C127" s="191">
        <v>50</v>
      </c>
      <c r="D127" s="179">
        <f t="shared" si="11"/>
        <v>1500</v>
      </c>
      <c r="E127" s="193">
        <f t="shared" si="12"/>
        <v>255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26</v>
      </c>
      <c r="C128" s="191">
        <v>50</v>
      </c>
      <c r="D128" s="179">
        <f t="shared" si="11"/>
        <v>1300</v>
      </c>
      <c r="E128" s="193">
        <f t="shared" si="12"/>
        <v>231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1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3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3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3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3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4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4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4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4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4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4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4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4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4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4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4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4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4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4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4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4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4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4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4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5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5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5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5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5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5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5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5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5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5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5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5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5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5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5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5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5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5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5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6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6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6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6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6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6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6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6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6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6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6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6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6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6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6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6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6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6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6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7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7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7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7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7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7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7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7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7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7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7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7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7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7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7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7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7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7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7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8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8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8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8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8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8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8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8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8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8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8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8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8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8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8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8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8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8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8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9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9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9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9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9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9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9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9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9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9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9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9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9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9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9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9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9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9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9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2024-10-20T14:13:53Z</dcterms:modified>
</cp:coreProperties>
</file>