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Momuy (40)\Dossier d_instruction\"/>
    </mc:Choice>
  </mc:AlternateContent>
  <xr:revisionPtr revIDLastSave="0" documentId="13_ncr:1_{A8B70DF5-BA86-4AB3-AED4-CC99A2BA3155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DI154" i="2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W162" i="2"/>
  <c r="EB162" i="2"/>
  <c r="EC162" i="2"/>
  <c r="HH162" i="2"/>
  <c r="HG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DI163" i="2"/>
  <c r="DH164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W172" i="2"/>
  <c r="HG172" i="2"/>
  <c r="HI172" i="2"/>
  <c r="EA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Y175" i="2" s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HH192" i="2"/>
  <c r="HG192" i="2"/>
  <c r="EA192" i="2"/>
  <c r="EW192" i="2"/>
  <c r="EC192" i="2"/>
  <c r="HI192" i="2"/>
  <c r="EV192" i="2"/>
  <c r="EY192" i="2" s="1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D193" i="2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C197" i="2"/>
  <c r="EW197" i="2"/>
  <c r="EA197" i="2"/>
  <c r="FS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FS201" i="2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HG202" i="2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AN106" i="2" l="1"/>
  <c r="AN100" i="2"/>
  <c r="AN71" i="2"/>
  <c r="AN125" i="2"/>
  <c r="AN120" i="2"/>
  <c r="AN48" i="2"/>
  <c r="AN126" i="2"/>
  <c r="AN99" i="2"/>
  <c r="AN174" i="2"/>
  <c r="AN7" i="2"/>
  <c r="AN151" i="2"/>
  <c r="AN138" i="2"/>
  <c r="AN52" i="2"/>
  <c r="AN72" i="2"/>
  <c r="AN203" i="2"/>
  <c r="AN35" i="2"/>
  <c r="AN157" i="2"/>
  <c r="AN17" i="2"/>
  <c r="AN8" i="2"/>
  <c r="AN123" i="2"/>
  <c r="AN141" i="2"/>
  <c r="AN12" i="2"/>
  <c r="AN25" i="2"/>
  <c r="AN30" i="2"/>
  <c r="AN98" i="2"/>
  <c r="AN50" i="2"/>
  <c r="AN162" i="2"/>
  <c r="AN113" i="2"/>
  <c r="AN182" i="2"/>
  <c r="AN180" i="2"/>
  <c r="AN66" i="2"/>
  <c r="AN161" i="2"/>
  <c r="AN124" i="2"/>
  <c r="AN65" i="2"/>
  <c r="AN28" i="2"/>
  <c r="AN47" i="2"/>
  <c r="AN107" i="2"/>
  <c r="AN109" i="2"/>
  <c r="AN44" i="2"/>
  <c r="AN11" i="2"/>
  <c r="AN55" i="2"/>
  <c r="AN34" i="2"/>
  <c r="AN155" i="2"/>
  <c r="AN69" i="2"/>
  <c r="AN13" i="2"/>
  <c r="AN58" i="2"/>
  <c r="AN118" i="2"/>
  <c r="AN67" i="2"/>
  <c r="AN83" i="2"/>
  <c r="AN149" i="2"/>
  <c r="AN91" i="2"/>
  <c r="AN62" i="2"/>
  <c r="AN43" i="2"/>
  <c r="AN70" i="2"/>
  <c r="AN154" i="2"/>
  <c r="AN197" i="2"/>
  <c r="AN15" i="2"/>
  <c r="AN75" i="2"/>
  <c r="AN46" i="2"/>
  <c r="AN160" i="2"/>
  <c r="AN93" i="2"/>
  <c r="AN40" i="2"/>
  <c r="AN181" i="2"/>
  <c r="AN19" i="2"/>
  <c r="AN4" i="2"/>
  <c r="AN147" i="2"/>
  <c r="AN60" i="2"/>
  <c r="AN189" i="2"/>
  <c r="AN143" i="2"/>
  <c r="AN29" i="2"/>
  <c r="AN144" i="2"/>
  <c r="AN10" i="2"/>
  <c r="AN196" i="2"/>
  <c r="AN122" i="2"/>
  <c r="AN59" i="2"/>
  <c r="AN45" i="2"/>
  <c r="AN16" i="2"/>
  <c r="AN95" i="2"/>
  <c r="AN42" i="2"/>
  <c r="AN74" i="2"/>
  <c r="AN178" i="2"/>
  <c r="AN54" i="2"/>
  <c r="AN105" i="2"/>
  <c r="AN136" i="2"/>
  <c r="AN82" i="2"/>
  <c r="AN41" i="2"/>
  <c r="AN121" i="2"/>
  <c r="AN184" i="2"/>
  <c r="AN165" i="2"/>
  <c r="AN175" i="2"/>
  <c r="AN193" i="2"/>
  <c r="AN194" i="2"/>
  <c r="AN201" i="2"/>
  <c r="AN57" i="2"/>
  <c r="AN103" i="2"/>
  <c r="AN51" i="2"/>
  <c r="AN22" i="2"/>
  <c r="AN80" i="2"/>
  <c r="AN171" i="2"/>
  <c r="AN129" i="2"/>
  <c r="AN89" i="2"/>
  <c r="AN140" i="2"/>
  <c r="AN81" i="2"/>
  <c r="AN185" i="2"/>
  <c r="AN97" i="2"/>
  <c r="AN172" i="2"/>
  <c r="AN64" i="2"/>
  <c r="AN131" i="2"/>
  <c r="AN53" i="2"/>
  <c r="AN158" i="2"/>
  <c r="AN112" i="2"/>
  <c r="AN33" i="2"/>
  <c r="AN186" i="2"/>
  <c r="AN119" i="2"/>
  <c r="AN27" i="2"/>
  <c r="AN142" i="2"/>
  <c r="AN21" i="2"/>
  <c r="AN202" i="2"/>
  <c r="AN108" i="2"/>
  <c r="AN77" i="2"/>
  <c r="AN188" i="2"/>
  <c r="AN134" i="2"/>
  <c r="AN86" i="2"/>
  <c r="AN36" i="2"/>
  <c r="AN14" i="2"/>
  <c r="AN164" i="2"/>
  <c r="AN167" i="2"/>
  <c r="AN6" i="2"/>
  <c r="AN23" i="2"/>
  <c r="AN153" i="2"/>
  <c r="AN76" i="2"/>
  <c r="AN104" i="2"/>
  <c r="AN133" i="2"/>
  <c r="AN170" i="2"/>
  <c r="AN85" i="2"/>
  <c r="AN26" i="2"/>
  <c r="AN173" i="2"/>
  <c r="AN5" i="2"/>
  <c r="AN132" i="2"/>
  <c r="AN176" i="2"/>
  <c r="AN101" i="2"/>
  <c r="AN127" i="2"/>
  <c r="AN37" i="2"/>
  <c r="AN94" i="2"/>
  <c r="AN199" i="2"/>
  <c r="AN20" i="2"/>
  <c r="AN183" i="2"/>
  <c r="AN192" i="2"/>
  <c r="AN88" i="2"/>
  <c r="AN166" i="2"/>
  <c r="AN169" i="2"/>
  <c r="AN148" i="2"/>
  <c r="AN68" i="2"/>
  <c r="AN137" i="2"/>
  <c r="AN187" i="2"/>
  <c r="AN115" i="2"/>
  <c r="AN38" i="2"/>
  <c r="AN73" i="2"/>
  <c r="AN84" i="2"/>
  <c r="AN78" i="2"/>
  <c r="AN49" i="2"/>
  <c r="AN3" i="2"/>
  <c r="C7" i="4" s="1"/>
  <c r="E7" i="4" s="1"/>
  <c r="F7" i="4" s="1"/>
  <c r="G7" i="4" s="1"/>
  <c r="L7" i="4" s="1"/>
  <c r="AN32" i="2"/>
  <c r="AN92" i="2"/>
  <c r="AN130" i="2"/>
  <c r="AN195" i="2"/>
  <c r="AN110" i="2"/>
  <c r="AN111" i="2"/>
  <c r="AN179" i="2"/>
  <c r="AN128" i="2"/>
  <c r="AN152" i="2"/>
  <c r="AN117" i="2"/>
  <c r="AN190" i="2"/>
  <c r="AN79" i="2"/>
  <c r="AN90" i="2"/>
  <c r="AN116" i="2"/>
  <c r="AN87" i="2"/>
  <c r="AN146" i="2"/>
  <c r="AN200" i="2"/>
  <c r="AN168" i="2"/>
  <c r="AN102" i="2"/>
  <c r="AN150" i="2"/>
  <c r="AN61" i="2"/>
  <c r="AN163" i="2"/>
  <c r="AN63" i="2"/>
  <c r="AN39" i="2"/>
  <c r="AN96" i="2"/>
  <c r="AN177" i="2"/>
  <c r="AN31" i="2"/>
  <c r="AN159" i="2"/>
  <c r="AN18" i="2"/>
  <c r="AN198" i="2"/>
  <c r="AN24" i="2"/>
  <c r="AN191" i="2"/>
  <c r="AN135" i="2"/>
  <c r="AN114" i="2"/>
  <c r="AN139" i="2"/>
  <c r="AN56" i="2"/>
  <c r="AN9" i="2"/>
  <c r="AN145" i="2"/>
  <c r="AN156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CD83" i="2" l="1"/>
  <c r="CD37" i="2"/>
  <c r="CD60" i="2"/>
  <c r="CD21" i="2"/>
  <c r="CD120" i="2"/>
  <c r="CD194" i="2"/>
  <c r="CD139" i="2"/>
  <c r="CD128" i="2"/>
  <c r="CD85" i="2"/>
  <c r="CD66" i="2"/>
  <c r="CD154" i="2"/>
  <c r="CD98" i="2"/>
  <c r="CD32" i="2"/>
  <c r="CD103" i="2"/>
  <c r="CD157" i="2"/>
  <c r="CD26" i="2"/>
  <c r="CD76" i="2"/>
  <c r="CD79" i="2"/>
  <c r="CD44" i="2"/>
  <c r="CD30" i="2"/>
  <c r="CD5" i="2"/>
  <c r="CD201" i="2"/>
  <c r="CD187" i="2"/>
  <c r="CD101" i="2"/>
  <c r="CD153" i="2"/>
  <c r="CD141" i="2"/>
  <c r="CD178" i="2"/>
  <c r="CD203" i="2"/>
  <c r="CD135" i="2"/>
  <c r="CD116" i="2"/>
  <c r="CD75" i="2"/>
  <c r="CD38" i="2"/>
  <c r="CD27" i="2"/>
  <c r="CD105" i="2"/>
  <c r="CD198" i="2"/>
  <c r="CD114" i="2"/>
  <c r="CD172" i="2"/>
  <c r="CD84" i="2"/>
  <c r="CD54" i="2"/>
  <c r="CD52" i="2"/>
  <c r="CD124" i="2"/>
  <c r="CD65" i="2"/>
  <c r="CD146" i="2"/>
  <c r="CD122" i="2"/>
  <c r="CD74" i="2"/>
  <c r="CD82" i="2"/>
  <c r="CD189" i="2"/>
  <c r="CD22" i="2"/>
  <c r="CD127" i="2"/>
  <c r="CD107" i="2"/>
  <c r="CD86" i="2"/>
  <c r="CD168" i="2"/>
  <c r="CD158" i="2"/>
  <c r="CD162" i="2"/>
  <c r="CD151" i="2"/>
  <c r="CD196" i="2"/>
  <c r="CD34" i="2"/>
  <c r="CD77" i="2"/>
  <c r="CD40" i="2"/>
  <c r="CD100" i="2"/>
  <c r="CD109" i="2"/>
  <c r="CD3" i="2"/>
  <c r="C9" i="4" s="1"/>
  <c r="E9" i="4" s="1"/>
  <c r="F9" i="4" s="1"/>
  <c r="G9" i="4" s="1"/>
  <c r="L9" i="4" s="1"/>
  <c r="CD80" i="2"/>
  <c r="CD12" i="2"/>
  <c r="CD16" i="2"/>
  <c r="CD167" i="2"/>
  <c r="CD125" i="2"/>
  <c r="CD61" i="2"/>
  <c r="CD108" i="2"/>
  <c r="CD199" i="2"/>
  <c r="CD166" i="2"/>
  <c r="CD63" i="2"/>
  <c r="CD142" i="2"/>
  <c r="CD148" i="2"/>
  <c r="CD45" i="2"/>
  <c r="CD156" i="2"/>
  <c r="CD177" i="2"/>
  <c r="CD152" i="2"/>
  <c r="CD56" i="2"/>
  <c r="CD121" i="2"/>
  <c r="CD8" i="2"/>
  <c r="CD183" i="2"/>
  <c r="CD81" i="2"/>
  <c r="CD58" i="2"/>
  <c r="CD202" i="2"/>
  <c r="CD174" i="2"/>
  <c r="CD185" i="2"/>
  <c r="CD147" i="2"/>
  <c r="CD192" i="2"/>
  <c r="CD73" i="2"/>
  <c r="CD6" i="2"/>
  <c r="CD119" i="2"/>
  <c r="CD155" i="2"/>
  <c r="CD99" i="2"/>
  <c r="CD64" i="2"/>
  <c r="CD50" i="2"/>
  <c r="CD59" i="2"/>
  <c r="CD70" i="2"/>
  <c r="CD165" i="2"/>
  <c r="CD42" i="2"/>
  <c r="CD10" i="2"/>
  <c r="CD97" i="2"/>
  <c r="CD149" i="2"/>
  <c r="CD4" i="2"/>
  <c r="CD11" i="2"/>
  <c r="CD18" i="2"/>
  <c r="CD179" i="2"/>
  <c r="CD48" i="2"/>
  <c r="CD131" i="2"/>
  <c r="CD115" i="2"/>
  <c r="CD36" i="2"/>
  <c r="CD67" i="2"/>
  <c r="CD23" i="2"/>
  <c r="CD78" i="2"/>
  <c r="CD68" i="2"/>
  <c r="CD89" i="2"/>
  <c r="CD71" i="2"/>
  <c r="CD47" i="2"/>
  <c r="CD164" i="2"/>
  <c r="CD163" i="2"/>
  <c r="CD126" i="2"/>
  <c r="CD171" i="2"/>
  <c r="CD15" i="2"/>
  <c r="CD57" i="2"/>
  <c r="CD170" i="2"/>
  <c r="CD25" i="2"/>
  <c r="CD173" i="2"/>
  <c r="CD31" i="2"/>
  <c r="CD138" i="2"/>
  <c r="CD72" i="2"/>
  <c r="CD17" i="2"/>
  <c r="CD29" i="2"/>
  <c r="CD123" i="2"/>
  <c r="CD104" i="2"/>
  <c r="CD140" i="2"/>
  <c r="CD191" i="2"/>
  <c r="CD88" i="2"/>
  <c r="CD118" i="2"/>
  <c r="CD150" i="2"/>
  <c r="CD9" i="2"/>
  <c r="CD129" i="2"/>
  <c r="CD51" i="2"/>
  <c r="CD111" i="2"/>
  <c r="CD160" i="2"/>
  <c r="CD14" i="2"/>
  <c r="CD46" i="2"/>
  <c r="CD95" i="2"/>
  <c r="CD133" i="2"/>
  <c r="CD20" i="2"/>
  <c r="CD28" i="2"/>
  <c r="CD130" i="2"/>
  <c r="CD113" i="2"/>
  <c r="CD200" i="2"/>
  <c r="CD35" i="2"/>
  <c r="CD169" i="2"/>
  <c r="CD188" i="2"/>
  <c r="CD39" i="2"/>
  <c r="CD43" i="2"/>
  <c r="CD190" i="2"/>
  <c r="CD145" i="2"/>
  <c r="CD87" i="2"/>
  <c r="CD197" i="2"/>
  <c r="CD33" i="2"/>
  <c r="CD91" i="2"/>
  <c r="CD41" i="2"/>
  <c r="CD112" i="2"/>
  <c r="CD55" i="2"/>
  <c r="CD69" i="2"/>
  <c r="CD102" i="2"/>
  <c r="CD161" i="2"/>
  <c r="CD93" i="2"/>
  <c r="CD180" i="2"/>
  <c r="CD181" i="2"/>
  <c r="CD13" i="2"/>
  <c r="CD106" i="2"/>
  <c r="CD144" i="2"/>
  <c r="CD132" i="2"/>
  <c r="CD137" i="2"/>
  <c r="CD186" i="2"/>
  <c r="CD182" i="2"/>
  <c r="CD24" i="2"/>
  <c r="CD96" i="2"/>
  <c r="CD159" i="2"/>
  <c r="CD90" i="2"/>
  <c r="CD110" i="2"/>
  <c r="CD53" i="2"/>
  <c r="CD49" i="2"/>
  <c r="CD92" i="2"/>
  <c r="CD143" i="2"/>
  <c r="CD117" i="2"/>
  <c r="CD176" i="2"/>
  <c r="CD19" i="2"/>
  <c r="CD136" i="2"/>
  <c r="CD193" i="2"/>
  <c r="CD175" i="2"/>
  <c r="CD62" i="2"/>
  <c r="CD7" i="2"/>
  <c r="CD195" i="2"/>
  <c r="CD94" i="2"/>
  <c r="CD134" i="2"/>
  <c r="CD184" i="2"/>
  <c r="EO21" i="2"/>
  <c r="EO173" i="2"/>
  <c r="EO179" i="2"/>
  <c r="EO203" i="2"/>
  <c r="EO139" i="2"/>
  <c r="EO39" i="2"/>
  <c r="EO91" i="2"/>
  <c r="EO135" i="2"/>
  <c r="EO113" i="2"/>
  <c r="EO115" i="2"/>
  <c r="EO184" i="2"/>
  <c r="EO57" i="2"/>
  <c r="EO33" i="2"/>
  <c r="EO92" i="2"/>
  <c r="EO59" i="2"/>
  <c r="EO65" i="2"/>
  <c r="EO86" i="2"/>
  <c r="EO71" i="2"/>
  <c r="EO15" i="2"/>
  <c r="EO19" i="2"/>
  <c r="EO62" i="2"/>
  <c r="EO37" i="2"/>
  <c r="EO9" i="2"/>
  <c r="EO126" i="2"/>
  <c r="EO96" i="2"/>
  <c r="EO121" i="2"/>
  <c r="EO38" i="2"/>
  <c r="EO8" i="2"/>
  <c r="EO112" i="2"/>
  <c r="EO140" i="2"/>
  <c r="EO100" i="2"/>
  <c r="EO110" i="2"/>
  <c r="EO158" i="2"/>
  <c r="EO147" i="2"/>
  <c r="EO35" i="2"/>
  <c r="EO44" i="2"/>
  <c r="EO176" i="2"/>
  <c r="EO101" i="2"/>
  <c r="EO171" i="2"/>
  <c r="EO102" i="2"/>
  <c r="EO201" i="2"/>
  <c r="EO24" i="2"/>
  <c r="EO170" i="2"/>
  <c r="EO47" i="2"/>
  <c r="EO152" i="2"/>
  <c r="EO108" i="2"/>
  <c r="EO97" i="2"/>
  <c r="EO7" i="2"/>
  <c r="EO11" i="2"/>
  <c r="EO151" i="2"/>
  <c r="EO49" i="2"/>
  <c r="EO42" i="2"/>
  <c r="EO145" i="2"/>
  <c r="EO99" i="2"/>
  <c r="EO41" i="2"/>
  <c r="EO40" i="2"/>
  <c r="EO160" i="2"/>
  <c r="EO28" i="2"/>
  <c r="EO14" i="2"/>
  <c r="EO74" i="2"/>
  <c r="EO105" i="2"/>
  <c r="EO72" i="2"/>
  <c r="EO55" i="2"/>
  <c r="EO95" i="2"/>
  <c r="EO200" i="2"/>
  <c r="EO195" i="2"/>
  <c r="EO194" i="2"/>
  <c r="EO117" i="2"/>
  <c r="EO93" i="2"/>
  <c r="EO119" i="2"/>
  <c r="EO182" i="2"/>
  <c r="EO155" i="2"/>
  <c r="EO202" i="2"/>
  <c r="EO193" i="2"/>
  <c r="EO131" i="2"/>
  <c r="EO136" i="2"/>
  <c r="EO167" i="2"/>
  <c r="EO81" i="2"/>
  <c r="EO198" i="2"/>
  <c r="EO90" i="2"/>
  <c r="EO103" i="2"/>
  <c r="EO159" i="2"/>
  <c r="EO114" i="2"/>
  <c r="EO109" i="2"/>
  <c r="EO156" i="2"/>
  <c r="EO166" i="2"/>
  <c r="EO68" i="2"/>
  <c r="EO130" i="2"/>
  <c r="EO23" i="2"/>
  <c r="EO51" i="2"/>
  <c r="EO192" i="2"/>
  <c r="EO118" i="2"/>
  <c r="EO180" i="2"/>
  <c r="EO63" i="2"/>
  <c r="EO120" i="2"/>
  <c r="EO111" i="2"/>
  <c r="EO149" i="2"/>
  <c r="EO85" i="2"/>
  <c r="EO94" i="2"/>
  <c r="EO197" i="2"/>
  <c r="EO124" i="2"/>
  <c r="EO141" i="2"/>
  <c r="EO67" i="2"/>
  <c r="EO138" i="2"/>
  <c r="EO32" i="2"/>
  <c r="EO186" i="2"/>
  <c r="EO52" i="2"/>
  <c r="EO45" i="2"/>
  <c r="EO172" i="2"/>
  <c r="EO60" i="2"/>
  <c r="EO98" i="2"/>
  <c r="EO77" i="2"/>
  <c r="EO162" i="2"/>
  <c r="EO133" i="2"/>
  <c r="EO27" i="2"/>
  <c r="EO73" i="2"/>
  <c r="EO56" i="2"/>
  <c r="EO137" i="2"/>
  <c r="EO175" i="2"/>
  <c r="EO64" i="2"/>
  <c r="EO123" i="2"/>
  <c r="EO122" i="2"/>
  <c r="EO20" i="2"/>
  <c r="EO116" i="2"/>
  <c r="EO12" i="2"/>
  <c r="EO26" i="2"/>
  <c r="EO157" i="2"/>
  <c r="EO128" i="2"/>
  <c r="EO36" i="2"/>
  <c r="EO181" i="2"/>
  <c r="EO16" i="2"/>
  <c r="EO191" i="2"/>
  <c r="EO78" i="2"/>
  <c r="EO196" i="2"/>
  <c r="EO106" i="2"/>
  <c r="EO185" i="2"/>
  <c r="EO6" i="2"/>
  <c r="EO3" i="2"/>
  <c r="C12" i="4" s="1"/>
  <c r="E12" i="4" s="1"/>
  <c r="F12" i="4" s="1"/>
  <c r="G12" i="4" s="1"/>
  <c r="L12" i="4" s="1"/>
  <c r="EO61" i="2"/>
  <c r="EO10" i="2"/>
  <c r="EO132" i="2"/>
  <c r="EO87" i="2"/>
  <c r="EO188" i="2"/>
  <c r="EO161" i="2"/>
  <c r="EO165" i="2"/>
  <c r="EO84" i="2"/>
  <c r="EO29" i="2"/>
  <c r="EO148" i="2"/>
  <c r="EO150" i="2"/>
  <c r="EO83" i="2"/>
  <c r="EO178" i="2"/>
  <c r="EO34" i="2"/>
  <c r="EO58" i="2"/>
  <c r="EO142" i="2"/>
  <c r="EO146" i="2"/>
  <c r="EO187" i="2"/>
  <c r="EO174" i="2"/>
  <c r="EO75" i="2"/>
  <c r="EO50" i="2"/>
  <c r="EO48" i="2"/>
  <c r="EO5" i="2"/>
  <c r="EO82" i="2"/>
  <c r="EO66" i="2"/>
  <c r="EO54" i="2"/>
  <c r="EO30" i="2"/>
  <c r="EO17" i="2"/>
  <c r="EO177" i="2"/>
  <c r="EO129" i="2"/>
  <c r="EO190" i="2"/>
  <c r="EO25" i="2"/>
  <c r="EO88" i="2"/>
  <c r="EO189" i="2"/>
  <c r="EO53" i="2"/>
  <c r="EO125" i="2"/>
  <c r="EO70" i="2"/>
  <c r="EO79" i="2"/>
  <c r="EO199" i="2"/>
  <c r="EO89" i="2"/>
  <c r="EO31" i="2"/>
  <c r="EO164" i="2"/>
  <c r="EO80" i="2"/>
  <c r="EO134" i="2"/>
  <c r="EO18" i="2"/>
  <c r="EO22" i="2"/>
  <c r="EO43" i="2"/>
  <c r="EO46" i="2"/>
  <c r="EO104" i="2"/>
  <c r="EO154" i="2"/>
  <c r="EO153" i="2"/>
  <c r="EO127" i="2"/>
  <c r="EO69" i="2"/>
  <c r="EO4" i="2"/>
  <c r="EO76" i="2"/>
  <c r="EO107" i="2"/>
  <c r="EO183" i="2"/>
  <c r="EO144" i="2"/>
  <c r="EO143" i="2"/>
  <c r="EO169" i="2"/>
  <c r="EO163" i="2"/>
  <c r="EO168" i="2"/>
  <c r="EO13" i="2"/>
  <c r="FE188" i="2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26" i="2" l="1"/>
  <c r="BI47" i="2"/>
  <c r="BI187" i="2"/>
  <c r="BI31" i="2"/>
  <c r="BI141" i="2"/>
  <c r="BI175" i="2"/>
  <c r="BI70" i="2"/>
  <c r="BI114" i="2"/>
  <c r="BI57" i="2"/>
  <c r="BI75" i="2"/>
  <c r="BI96" i="2"/>
  <c r="BI32" i="2"/>
  <c r="BI149" i="2"/>
  <c r="BI101" i="2"/>
  <c r="BI143" i="2"/>
  <c r="BI53" i="2"/>
  <c r="BI46" i="2"/>
  <c r="BI102" i="2"/>
  <c r="BI120" i="2"/>
  <c r="BI198" i="2"/>
  <c r="BI183" i="2"/>
  <c r="BI171" i="2"/>
  <c r="BI104" i="2"/>
  <c r="BI119" i="2"/>
  <c r="BI81" i="2"/>
  <c r="BI66" i="2"/>
  <c r="BI169" i="2"/>
  <c r="BI182" i="2"/>
  <c r="BI162" i="2"/>
  <c r="BI186" i="2"/>
  <c r="BI179" i="2"/>
  <c r="BI35" i="2"/>
  <c r="BI33" i="2"/>
  <c r="BI9" i="2"/>
  <c r="BI21" i="2"/>
  <c r="BI76" i="2"/>
  <c r="BI117" i="2"/>
  <c r="BI15" i="2"/>
  <c r="BI158" i="2"/>
  <c r="BI67" i="2"/>
  <c r="BI63" i="2"/>
  <c r="BI88" i="2"/>
  <c r="BI50" i="2"/>
  <c r="BI79" i="2"/>
  <c r="BI144" i="2"/>
  <c r="BI190" i="2"/>
  <c r="BI152" i="2"/>
  <c r="BI130" i="2"/>
  <c r="BI49" i="2"/>
  <c r="BI23" i="2"/>
  <c r="BI150" i="2"/>
  <c r="BI136" i="2"/>
  <c r="BI95" i="2"/>
  <c r="BI28" i="2"/>
  <c r="BI58" i="2"/>
  <c r="BI100" i="2"/>
  <c r="BI98" i="2"/>
  <c r="BI154" i="2"/>
  <c r="BI140" i="2"/>
  <c r="BI29" i="2"/>
  <c r="BI196" i="2"/>
  <c r="BI62" i="2"/>
  <c r="BI184" i="2"/>
  <c r="BI200" i="2"/>
  <c r="BI14" i="2"/>
  <c r="BI163" i="2"/>
  <c r="BI39" i="2"/>
  <c r="BI185" i="2"/>
  <c r="BI109" i="2"/>
  <c r="BI107" i="2"/>
  <c r="BI10" i="2"/>
  <c r="BI38" i="2"/>
  <c r="BI3" i="2"/>
  <c r="C8" i="4" s="1"/>
  <c r="E8" i="4" s="1"/>
  <c r="F8" i="4" s="1"/>
  <c r="G8" i="4" s="1"/>
  <c r="L8" i="4" s="1"/>
  <c r="BI170" i="2"/>
  <c r="BI54" i="2"/>
  <c r="BI85" i="2"/>
  <c r="BI16" i="2"/>
  <c r="BI124" i="2"/>
  <c r="BI113" i="2"/>
  <c r="BI24" i="2"/>
  <c r="BI127" i="2"/>
  <c r="BI116" i="2"/>
  <c r="BI178" i="2"/>
  <c r="BI30" i="2"/>
  <c r="BI27" i="2"/>
  <c r="BI86" i="2"/>
  <c r="BI201" i="2"/>
  <c r="BI17" i="2"/>
  <c r="BI41" i="2"/>
  <c r="BI82" i="2"/>
  <c r="BI43" i="2"/>
  <c r="BI48" i="2"/>
  <c r="BI160" i="2"/>
  <c r="BI165" i="2"/>
  <c r="BI74" i="2"/>
  <c r="BI42" i="2"/>
  <c r="BI164" i="2"/>
  <c r="BI115" i="2"/>
  <c r="BI52" i="2"/>
  <c r="BI137" i="2"/>
  <c r="BI61" i="2"/>
  <c r="BI56" i="2"/>
  <c r="BI142" i="2"/>
  <c r="BI147" i="2"/>
  <c r="BI111" i="2"/>
  <c r="BI26" i="2"/>
  <c r="BI92" i="2"/>
  <c r="BI173" i="2"/>
  <c r="BI155" i="2"/>
  <c r="BI177" i="2"/>
  <c r="BI188" i="2"/>
  <c r="BI55" i="2"/>
  <c r="BI118" i="2"/>
  <c r="BI80" i="2"/>
  <c r="BI89" i="2"/>
  <c r="BI64" i="2"/>
  <c r="BI84" i="2"/>
  <c r="BI78" i="2"/>
  <c r="BI168" i="2"/>
  <c r="BI139" i="2"/>
  <c r="BI94" i="2"/>
  <c r="BI51" i="2"/>
  <c r="BI103" i="2"/>
  <c r="BI134" i="2"/>
  <c r="BI65" i="2"/>
  <c r="BI135" i="2"/>
  <c r="BI34" i="2"/>
  <c r="BI166" i="2"/>
  <c r="BI191" i="2"/>
  <c r="BI159" i="2"/>
  <c r="BI19" i="2"/>
  <c r="BI176" i="2"/>
  <c r="BI123" i="2"/>
  <c r="BI36" i="2"/>
  <c r="BI121" i="2"/>
  <c r="BI106" i="2"/>
  <c r="BI172" i="2"/>
  <c r="BI128" i="2"/>
  <c r="BI93" i="2"/>
  <c r="BI13" i="2"/>
  <c r="BI72" i="2"/>
  <c r="BI125" i="2"/>
  <c r="BI68" i="2"/>
  <c r="BI148" i="2"/>
  <c r="BI157" i="2"/>
  <c r="BI40" i="2"/>
  <c r="BI189" i="2"/>
  <c r="BI20" i="2"/>
  <c r="BI77" i="2"/>
  <c r="BI99" i="2"/>
  <c r="BI156" i="2"/>
  <c r="BI44" i="2"/>
  <c r="BI12" i="2"/>
  <c r="BI199" i="2"/>
  <c r="BI71" i="2"/>
  <c r="BI97" i="2"/>
  <c r="BI73" i="2"/>
  <c r="BI203" i="2"/>
  <c r="BI180" i="2"/>
  <c r="BI197" i="2"/>
  <c r="BI59" i="2"/>
  <c r="BI90" i="2"/>
  <c r="BI110" i="2"/>
  <c r="BI129" i="2"/>
  <c r="BI161" i="2"/>
  <c r="BI138" i="2"/>
  <c r="BI11" i="2"/>
  <c r="BI91" i="2"/>
  <c r="BI151" i="2"/>
  <c r="BI132" i="2"/>
  <c r="BI108" i="2"/>
  <c r="BI133" i="2"/>
  <c r="BI60" i="2"/>
  <c r="BI105" i="2"/>
  <c r="BI192" i="2"/>
  <c r="BI112" i="2"/>
  <c r="BI87" i="2"/>
  <c r="BI167" i="2"/>
  <c r="BI5" i="2"/>
  <c r="BI8" i="2"/>
  <c r="BI6" i="2"/>
  <c r="BI7" i="2"/>
  <c r="BI195" i="2"/>
  <c r="BI174" i="2"/>
  <c r="BI153" i="2"/>
  <c r="BI69" i="2"/>
  <c r="BI4" i="2"/>
  <c r="BI202" i="2"/>
  <c r="BI194" i="2"/>
  <c r="BI18" i="2"/>
  <c r="BI22" i="2"/>
  <c r="BI37" i="2"/>
  <c r="BI181" i="2"/>
  <c r="BI131" i="2"/>
  <c r="BI193" i="2"/>
  <c r="BI122" i="2"/>
  <c r="BI145" i="2"/>
  <c r="BI45" i="2"/>
  <c r="BI83" i="2"/>
  <c r="BI25" i="2"/>
  <c r="BI14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<sst xmlns="http://schemas.openxmlformats.org/spreadsheetml/2006/main" count="1184" uniqueCount="327">
  <si>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</si>
  <si>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</si>
  <si>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</si>
  <si>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</si>
  <si>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</si>
  <si>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</si>
  <si>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</si>
  <si>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</si>
  <si>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</si>
  <si>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</si>
  <si>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</si>
  <si>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</si>
  <si>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</si>
  <si>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</si>
  <si>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</si>
  <si>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</si>
  <si>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</si>
  <si>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</si>
  <si>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</si>
  <si>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</si>
  <si>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</si>
  <si>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</si>
  <si>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</si>
  <si>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</si>
  <si>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</si>
  <si>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</si>
  <si>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</si>
  <si>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</si>
  <si>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</si>
  <si>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</si>
  <si>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</si>
  <si>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</si>
  <si>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</si>
  <si>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</si>
  <si>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</si>
  <si>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</si>
  <si>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</si>
  <si>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</si>
  <si>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</si>
  <si>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</si>
  <si>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</si>
  <si>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</si>
  <si>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</si>
  <si>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</si>
  <si>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</si>
  <si>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</si>
  <si>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</si>
  <si>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</si>
  <si>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</si>
  <si>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</si>
  <si>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</si>
  <si>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</si>
  <si>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</si>
  <si>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</si>
  <si>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</si>
  <si>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</si>
  <si>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</si>
  <si>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</si>
  <si>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</si>
  <si>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</si>
  <si>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</si>
  <si>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</si>
  <si>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</si>
  <si>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</si>
  <si>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</si>
  <si>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</si>
  <si>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</si>
  <si>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</si>
  <si>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</si>
  <si>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</si>
  <si>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</si>
  <si>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</si>
  <si>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</si>
  <si>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</si>
  <si>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</si>
  <si>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</si>
  <si>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</si>
  <si>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</si>
  <si>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</si>
  <si>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</si>
  <si>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</si>
  <si>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</si>
  <si>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</si>
  <si>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</si>
  <si>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</si>
  <si>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</si>
  <si>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</si>
  <si>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</si>
  <si>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</si>
  <si>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</si>
  <si>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</si>
  <si>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</si>
  <si>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</si>
  <si>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</si>
  <si>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</si>
  <si>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</si>
  <si>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</si>
  <si>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</si>
  <si>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</si>
  <si>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</si>
  <si>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</si>
  <si>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</si>
  <si>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</si>
  <si>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</si>
  <si>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</si>
  <si>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</si>
  <si>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</si>
  <si>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</si>
  <si>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</si>
  <si>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</si>
  <si>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</si>
  <si>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</si>
  <si>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</si>
  <si>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</si>
  <si>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</si>
  <si>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</si>
  <si>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</si>
  <si>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</si>
  <si>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</si>
  <si>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</si>
  <si>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</si>
  <si>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</si>
  <si>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</si>
  <si>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</si>
  <si>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</si>
  <si>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</si>
  <si>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</si>
  <si>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</si>
  <si>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</si>
  <si>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</si>
  <si>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</si>
  <si>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</si>
  <si>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</si>
  <si>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</si>
  <si>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</si>
  <si>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</si>
  <si>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</si>
  <si>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</si>
  <si>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</si>
  <si>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</si>
  <si>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</si>
  <si>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</si>
  <si>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</si>
  <si>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</si>
  <si>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</si>
  <si>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</si>
  <si>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</si>
  <si>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</si>
  <si>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</si>
  <si>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</si>
  <si>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</si>
  <si>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</si>
  <si>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</si>
  <si>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</si>
  <si>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</si>
  <si>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</si>
  <si>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</si>
  <si>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</si>
  <si>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</si>
  <si>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</si>
  <si>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</si>
  <si>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</si>
  <si>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</si>
  <si>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</si>
  <si>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</si>
  <si>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</si>
  <si>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</si>
  <si>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</si>
  <si>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</si>
  <si>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</si>
  <si>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</si>
  <si>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</si>
  <si>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</si>
  <si>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</si>
  <si>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</si>
  <si>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</si>
  <si>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</si>
  <si>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</si>
  <si>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</si>
  <si>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</si>
  <si>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</si>
  <si>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</si>
  <si>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</si>
  <si>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</si>
  <si>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</si>
  <si>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</si>
  <si>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</si>
  <si>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</si>
  <si>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</si>
  <si>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</si>
  <si>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</si>
  <si>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</si>
  <si>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</si>
  <si>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</si>
  <si>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</si>
  <si>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</si>
  <si>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</si>
  <si>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</si>
  <si>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</si>
  <si>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</si>
  <si>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</si>
  <si>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</si>
  <si>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</si>
  <si>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</si>
  <si>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</si>
  <si>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</si>
  <si>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</si>
  <si>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</si>
  <si>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</si>
  <si>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</si>
  <si>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</si>
  <si>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</si>
  <si>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</si>
  <si>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</si>
  <si>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</si>
  <si>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</si>
  <si>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</si>
  <si>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</si>
  <si>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</si>
  <si>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</si>
  <si>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</si>
  <si>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</si>
  <si>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</si>
  <si>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</si>
  <si>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</si>
  <si>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</si>
  <si>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</si>
  <si>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</si>
  <si>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</si>
  <si>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</si>
  <si>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</si>
  <si>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</si>
  <si>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</si>
  <si>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</si>
  <si>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</si>
  <si>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</si>
  <si>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</si>
  <si>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</si>
  <si>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</si>
  <si>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</si>
  <si>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</si>
  <si>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</si>
  <si>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</si>
  <si>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</si>
  <si>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</si>
  <si>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</si>
  <si>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</si>
  <si>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</si>
  <si>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</si>
  <si>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</si>
  <si>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</si>
  <si>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</si>
  <si>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</si>
  <si>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</si>
  <si>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</si>
  <si>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</si>
  <si>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</si>
  <si>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</si>
  <si>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</si>
  <si>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</si>
  <si>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</si>
  <si>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</si>
  <si>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</si>
  <si>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</si>
  <si>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</si>
  <si>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</si>
  <si>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</si>
  <si>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</si>
  <si>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</si>
  <si>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</si>
  <si>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</si>
  <si>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</si>
  <si>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</si>
  <si>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</si>
  <si>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</si>
  <si>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</si>
  <si>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</si>
  <si>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</si>
  <si>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</si>
  <si>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</si>
  <si>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</si>
  <si>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</si>
  <si>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</si>
  <si>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</si>
  <si>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</si>
  <si>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</si>
  <si>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</si>
  <si>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</si>
  <si>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</si>
  <si>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</si>
  <si>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</si>
  <si>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</si>
  <si>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</si>
  <si>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</si>
  <si>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</si>
  <si>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</si>
  <si>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</si>
  <si>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</si>
  <si>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</si>
  <si>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</si>
  <si>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</si>
  <si>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</si>
  <si>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</si>
  <si>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</si>
  <si>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</si>
  <si>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</si>
  <si>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</si>
  <si>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</si>
  <si>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</si>
  <si>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</si>
  <si>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</si>
  <si>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</si>
  <si>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</si>
  <si>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</si>
  <si>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</si>
  <si>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</si>
  <si>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</si>
  <si>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</si>
  <si>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</si>
  <si>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</si>
  <si>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</si>
  <si>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</si>
  <si>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</si>
  <si>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</si>
  <si>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équivalence pour le pin taeda</t>
  </si>
  <si>
    <t>Classe 2/5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</si>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</sst>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2.6857443894469211</c:v>
                </c:pt>
                <c:pt idx="2">
                  <c:v>3.122034130234951</c:v>
                </c:pt>
                <c:pt idx="3">
                  <c:v>3.6294543058913398</c:v>
                </c:pt>
                <c:pt idx="4">
                  <c:v>4.219641194607795</c:v>
                </c:pt>
                <c:pt idx="5">
                  <c:v>4.9061407294163786</c:v>
                </c:pt>
                <c:pt idx="6">
                  <c:v>5.7047228238476988</c:v>
                </c:pt>
                <c:pt idx="7">
                  <c:v>6.6337475765053417</c:v>
                </c:pt>
                <c:pt idx="8">
                  <c:v>7.7145919385922284</c:v>
                </c:pt>
                <c:pt idx="9">
                  <c:v>8.9721468520246077</c:v>
                </c:pt>
                <c:pt idx="10">
                  <c:v>10.435396525956238</c:v>
                </c:pt>
                <c:pt idx="11">
                  <c:v>12.138093455701485</c:v>
                </c:pt>
                <c:pt idx="12">
                  <c:v>14.119545046154242</c:v>
                </c:pt>
                <c:pt idx="13">
                  <c:v>16.425530335480399</c:v>
                </c:pt>
                <c:pt idx="14">
                  <c:v>19.109368386693976</c:v>
                </c:pt>
                <c:pt idx="15">
                  <c:v>22.233163497734726</c:v>
                </c:pt>
                <c:pt idx="16">
                  <c:v>25.86925656006137</c:v>
                </c:pt>
                <c:pt idx="17">
                  <c:v>30.101916771000322</c:v>
                </c:pt>
                <c:pt idx="18">
                  <c:v>35.029313592193489</c:v>
                </c:pt>
                <c:pt idx="19">
                  <c:v>40.765815480900322</c:v>
                </c:pt>
                <c:pt idx="20">
                  <c:v>47.444669660689108</c:v>
                </c:pt>
                <c:pt idx="21">
                  <c:v>55.221126227665629</c:v>
                </c:pt>
                <c:pt idx="22">
                  <c:v>64.27608042313831</c:v>
                </c:pt>
                <c:pt idx="23">
                  <c:v>74.820319194790898</c:v>
                </c:pt>
                <c:pt idx="24">
                  <c:v>87.099472509337545</c:v>
                </c:pt>
                <c:pt idx="25">
                  <c:v>101.399786612615</c:v>
                </c:pt>
                <c:pt idx="26">
                  <c:v>118.05485595773911</c:v>
                </c:pt>
                <c:pt idx="27">
                  <c:v>137.45347330477486</c:v>
                </c:pt>
                <c:pt idx="28">
                  <c:v>160.04878408084764</c:v>
                </c:pt>
                <c:pt idx="29">
                  <c:v>186.3689621133814</c:v>
                </c:pt>
                <c:pt idx="30">
                  <c:v>217.02966005320079</c:v>
                </c:pt>
                <c:pt idx="31">
                  <c:v>248.51475186126243</c:v>
                </c:pt>
                <c:pt idx="32">
                  <c:v>279.90926914169262</c:v>
                </c:pt>
                <c:pt idx="33">
                  <c:v>311.22479577806126</c:v>
                </c:pt>
                <c:pt idx="34">
                  <c:v>342.47039160511548</c:v>
                </c:pt>
                <c:pt idx="35">
                  <c:v>300.58416421224229</c:v>
                </c:pt>
                <c:pt idx="36">
                  <c:v>327.30479284170019</c:v>
                </c:pt>
                <c:pt idx="37">
                  <c:v>353.97726243685491</c:v>
                </c:pt>
                <c:pt idx="38">
                  <c:v>380.6057087655667</c:v>
                </c:pt>
                <c:pt idx="39">
                  <c:v>407.19364188215781</c:v>
                </c:pt>
                <c:pt idx="40">
                  <c:v>433.74407631419825</c:v>
                </c:pt>
                <c:pt idx="41">
                  <c:v>460.25962768938712</c:v>
                </c:pt>
                <c:pt idx="42">
                  <c:v>486.74258592712107</c:v>
                </c:pt>
                <c:pt idx="43">
                  <c:v>407.21770337500584</c:v>
                </c:pt>
                <c:pt idx="44">
                  <c:v>434.17658984458558</c:v>
                </c:pt>
                <c:pt idx="45">
                  <c:v>461.09955102666845</c:v>
                </c:pt>
                <c:pt idx="46">
                  <c:v>487.98897707021132</c:v>
                </c:pt>
                <c:pt idx="47">
                  <c:v>514.8469734791023</c:v>
                </c:pt>
                <c:pt idx="48">
                  <c:v>541.67540838982075</c:v>
                </c:pt>
                <c:pt idx="49">
                  <c:v>568.47594999773617</c:v>
                </c:pt>
                <c:pt idx="50">
                  <c:v>595.25009656142754</c:v>
                </c:pt>
                <c:pt idx="51">
                  <c:v>493.74067911671705</c:v>
                </c:pt>
                <c:pt idx="52">
                  <c:v>519.72092525120149</c:v>
                </c:pt>
                <c:pt idx="53">
                  <c:v>545.67379571805805</c:v>
                </c:pt>
                <c:pt idx="54">
                  <c:v>571.60077407490223</c:v>
                </c:pt>
                <c:pt idx="55">
                  <c:v>597.5031984733813</c:v>
                </c:pt>
                <c:pt idx="56">
                  <c:v>623.38228172182801</c:v>
                </c:pt>
                <c:pt idx="57">
                  <c:v>649.23912784550669</c:v>
                </c:pt>
                <c:pt idx="58">
                  <c:v>675.07474587368438</c:v>
                </c:pt>
                <c:pt idx="59">
                  <c:v>581.42684221806064</c:v>
                </c:pt>
                <c:pt idx="60">
                  <c:v>606.37069099648488</c:v>
                </c:pt>
                <c:pt idx="61">
                  <c:v>631.29324211857431</c:v>
                </c:pt>
                <c:pt idx="62">
                  <c:v>656.19545361617304</c:v>
                </c:pt>
                <c:pt idx="63">
                  <c:v>681.07820496995589</c:v>
                </c:pt>
                <c:pt idx="64">
                  <c:v>705.94230624147656</c:v>
                </c:pt>
                <c:pt idx="65">
                  <c:v>730.78850585304974</c:v>
                </c:pt>
                <c:pt idx="66">
                  <c:v>755.61749725572361</c:v>
                </c:pt>
                <c:pt idx="67">
                  <c:v>642.97235445101421</c:v>
                </c:pt>
                <c:pt idx="68">
                  <c:v>666.13179210898409</c:v>
                </c:pt>
                <c:pt idx="69">
                  <c:v>689.27467392298729</c:v>
                </c:pt>
                <c:pt idx="70">
                  <c:v>712.4016333156037</c:v>
                </c:pt>
                <c:pt idx="71">
                  <c:v>735.51325928166182</c:v>
                </c:pt>
                <c:pt idx="72">
                  <c:v>758.61010083026611</c:v>
                </c:pt>
                <c:pt idx="73">
                  <c:v>781.69267085833235</c:v>
                </c:pt>
                <c:pt idx="74">
                  <c:v>804.76144954334779</c:v>
                </c:pt>
                <c:pt idx="75">
                  <c:v>693.08187601728639</c:v>
                </c:pt>
                <c:pt idx="76">
                  <c:v>714.8651844379109</c:v>
                </c:pt>
                <c:pt idx="77">
                  <c:v>736.63494076272411</c:v>
                </c:pt>
                <c:pt idx="78">
                  <c:v>758.39160139181729</c:v>
                </c:pt>
                <c:pt idx="79">
                  <c:v>780.135594436509</c:v>
                </c:pt>
                <c:pt idx="80">
                  <c:v>801.86732222809178</c:v>
                </c:pt>
                <c:pt idx="81">
                  <c:v>823.58716354079934</c:v>
                </c:pt>
                <c:pt idx="82">
                  <c:v>845.2954755683736</c:v>
                </c:pt>
                <c:pt idx="83">
                  <c:v>764.11016684433741</c:v>
                </c:pt>
                <c:pt idx="84">
                  <c:v>785.26706330064053</c:v>
                </c:pt>
                <c:pt idx="85">
                  <c:v>806.41243130197529</c:v>
                </c:pt>
                <c:pt idx="86">
                  <c:v>827.54661532158877</c:v>
                </c:pt>
                <c:pt idx="87">
                  <c:v>848.66994082662222</c:v>
                </c:pt>
                <c:pt idx="88">
                  <c:v>869.78271578316901</c:v>
                </c:pt>
                <c:pt idx="89">
                  <c:v>890.8852320077923</c:v>
                </c:pt>
                <c:pt idx="90">
                  <c:v>911.97776638450239</c:v>
                </c:pt>
                <c:pt idx="91">
                  <c:v>812.49390908703117</c:v>
                </c:pt>
                <c:pt idx="92">
                  <c:v>832.89482663148908</c:v>
                </c:pt>
                <c:pt idx="93">
                  <c:v>853.28569747954941</c:v>
                </c:pt>
                <c:pt idx="94">
                  <c:v>873.66679521552112</c:v>
                </c:pt>
                <c:pt idx="95">
                  <c:v>894.03837963545186</c:v>
                </c:pt>
                <c:pt idx="96">
                  <c:v>914.40069774666847</c:v>
                </c:pt>
                <c:pt idx="97">
                  <c:v>934.75398467377056</c:v>
                </c:pt>
                <c:pt idx="98">
                  <c:v>955.09846448172914</c:v>
                </c:pt>
                <c:pt idx="99">
                  <c:v>975.43435092530251</c:v>
                </c:pt>
                <c:pt idx="100">
                  <c:v>995.76184813280224</c:v>
                </c:pt>
                <c:pt idx="101">
                  <c:v>853.50367768210856</c:v>
                </c:pt>
                <c:pt idx="102">
                  <c:v>872.56792007059573</c:v>
                </c:pt>
                <c:pt idx="103">
                  <c:v>891.62382709026269</c:v>
                </c:pt>
                <c:pt idx="104">
                  <c:v>910.67160175122228</c:v>
                </c:pt>
                <c:pt idx="105">
                  <c:v>929.71143788983875</c:v>
                </c:pt>
                <c:pt idx="106">
                  <c:v>948.74352076643015</c:v>
                </c:pt>
                <c:pt idx="107">
                  <c:v>967.76802761258398</c:v>
                </c:pt>
                <c:pt idx="108">
                  <c:v>986.7851281332587</c:v>
                </c:pt>
                <c:pt idx="109">
                  <c:v>1005.7949849682217</c:v>
                </c:pt>
                <c:pt idx="110">
                  <c:v>1024.797754116838</c:v>
                </c:pt>
                <c:pt idx="111">
                  <c:v>916.83864332029782</c:v>
                </c:pt>
                <c:pt idx="112">
                  <c:v>935.98568396874987</c:v>
                </c:pt>
                <c:pt idx="113">
                  <c:v>955.12494165497276</c:v>
                </c:pt>
                <c:pt idx="114">
                  <c:v>974.25659409367847</c:v>
                </c:pt>
                <c:pt idx="115">
                  <c:v>993.3808114605722</c:v>
                </c:pt>
                <c:pt idx="116">
                  <c:v>1012.4977568540604</c:v>
                </c:pt>
                <c:pt idx="117">
                  <c:v>1031.6075867203278</c:v>
                </c:pt>
                <c:pt idx="118">
                  <c:v>1050.7104512453261</c:v>
                </c:pt>
                <c:pt idx="119">
                  <c:v>1069.806494716817</c:v>
                </c:pt>
                <c:pt idx="120">
                  <c:v>1088.8958558592615</c:v>
                </c:pt>
                <c:pt idx="121">
                  <c:v>993.97986065606619</c:v>
                </c:pt>
                <c:pt idx="122">
                  <c:v>1013.2269232302006</c:v>
                </c:pt>
                <c:pt idx="123">
                  <c:v>1032.4667788118757</c:v>
                </c:pt>
                <c:pt idx="124">
                  <c:v>1051.6995804239334</c:v>
                </c:pt>
                <c:pt idx="125">
                  <c:v>1070.9254750444707</c:v>
                </c:pt>
                <c:pt idx="126">
                  <c:v>1090.1446039520199</c:v>
                </c:pt>
                <c:pt idx="127">
                  <c:v>1109.3571030451628</c:v>
                </c:pt>
                <c:pt idx="128">
                  <c:v>1128.5631031388839</c:v>
                </c:pt>
                <c:pt idx="129">
                  <c:v>1147.7627302397366</c:v>
                </c:pt>
                <c:pt idx="130">
                  <c:v>1166.9561058016695</c:v>
                </c:pt>
                <c:pt idx="131">
                  <c:v>1056.0145373482478</c:v>
                </c:pt>
                <c:pt idx="132">
                  <c:v>1075.1955048808261</c:v>
                </c:pt>
                <c:pt idx="133">
                  <c:v>1094.3697677240241</c:v>
                </c:pt>
                <c:pt idx="134">
                  <c:v>1113.5374597173118</c:v>
                </c:pt>
                <c:pt idx="135">
                  <c:v>1132.6987097240253</c:v>
                </c:pt>
                <c:pt idx="136">
                  <c:v>1151.8536418991105</c:v>
                </c:pt>
                <c:pt idx="137">
                  <c:v>1171.0023759381538</c:v>
                </c:pt>
                <c:pt idx="138">
                  <c:v>1190.1450273093087</c:v>
                </c:pt>
                <c:pt idx="139">
                  <c:v>1209.2817074695456</c:v>
                </c:pt>
                <c:pt idx="140">
                  <c:v>1228.4125240665314</c:v>
                </c:pt>
                <c:pt idx="141">
                  <c:v>1119.6745055786266</c:v>
                </c:pt>
                <c:pt idx="142">
                  <c:v>1138.9034527415567</c:v>
                </c:pt>
                <c:pt idx="143">
                  <c:v>1158.1260755198246</c:v>
                </c:pt>
                <c:pt idx="144">
                  <c:v>1177.3424935042206</c:v>
                </c:pt>
                <c:pt idx="145">
                  <c:v>1196.5528220697386</c:v>
                </c:pt>
                <c:pt idx="146">
                  <c:v>1215.7571725908363</c:v>
                </c:pt>
                <c:pt idx="147">
                  <c:v>1234.9556526424064</c:v>
                </c:pt>
                <c:pt idx="148">
                  <c:v>1254.1483661876305</c:v>
                </c:pt>
                <c:pt idx="149">
                  <c:v>1273.3354137537467</c:v>
                </c:pt>
                <c:pt idx="150">
                  <c:v>1292.5168925967025</c:v>
                </c:pt>
                <c:pt idx="151">
                  <c:v>847.63361691372813</c:v>
                </c:pt>
                <c:pt idx="152">
                  <c:v>845.32707293791202</c:v>
                </c:pt>
                <c:pt idx="153">
                  <c:v>843.02040256144949</c:v>
                </c:pt>
                <c:pt idx="154">
                  <c:v>572.49897541888333</c:v>
                </c:pt>
                <c:pt idx="155">
                  <c:v>570.7025432450497</c:v>
                </c:pt>
                <c:pt idx="156">
                  <c:v>568.90599291549734</c:v>
                </c:pt>
                <c:pt idx="157">
                  <c:v>400.1166168694744</c:v>
                </c:pt>
                <c:pt idx="158">
                  <c:v>398.72367688353097</c:v>
                </c:pt>
                <c:pt idx="159">
                  <c:v>397.33063149976351</c:v>
                </c:pt>
                <c:pt idx="160">
                  <c:v>43.674580177674272</c:v>
                </c:pt>
                <c:pt idx="161">
                  <c:v>43.674580177674272</c:v>
                </c:pt>
                <c:pt idx="162">
                  <c:v>43.674580177674272</c:v>
                </c:pt>
                <c:pt idx="163">
                  <c:v>43.674580177674272</c:v>
                </c:pt>
                <c:pt idx="164">
                  <c:v>43.674580177674272</c:v>
                </c:pt>
                <c:pt idx="165">
                  <c:v>43.674580177674272</c:v>
                </c:pt>
                <c:pt idx="166">
                  <c:v>43.674580177674272</c:v>
                </c:pt>
                <c:pt idx="167">
                  <c:v>43.674580177674272</c:v>
                </c:pt>
                <c:pt idx="168">
                  <c:v>43.674580177674272</c:v>
                </c:pt>
                <c:pt idx="169">
                  <c:v>43.674580177674272</c:v>
                </c:pt>
                <c:pt idx="170">
                  <c:v>43.674580177674272</c:v>
                </c:pt>
                <c:pt idx="171">
                  <c:v>43.674580177674272</c:v>
                </c:pt>
                <c:pt idx="172">
                  <c:v>43.674580177674272</c:v>
                </c:pt>
                <c:pt idx="173">
                  <c:v>43.674580177674272</c:v>
                </c:pt>
                <c:pt idx="174">
                  <c:v>43.674580177674272</c:v>
                </c:pt>
                <c:pt idx="175">
                  <c:v>43.674580177674272</c:v>
                </c:pt>
                <c:pt idx="176">
                  <c:v>43.674580177674272</c:v>
                </c:pt>
                <c:pt idx="177">
                  <c:v>43.674580177674272</c:v>
                </c:pt>
                <c:pt idx="178">
                  <c:v>43.674580177674272</c:v>
                </c:pt>
                <c:pt idx="179">
                  <c:v>43.674580177674272</c:v>
                </c:pt>
                <c:pt idx="180">
                  <c:v>43.674580177674272</c:v>
                </c:pt>
                <c:pt idx="181">
                  <c:v>43.674580177674272</c:v>
                </c:pt>
                <c:pt idx="182">
                  <c:v>43.674580177674272</c:v>
                </c:pt>
                <c:pt idx="183">
                  <c:v>43.674580177674272</c:v>
                </c:pt>
                <c:pt idx="184">
                  <c:v>43.674580177674272</c:v>
                </c:pt>
                <c:pt idx="185">
                  <c:v>43.674580177674272</c:v>
                </c:pt>
                <c:pt idx="186">
                  <c:v>43.674580177674272</c:v>
                </c:pt>
                <c:pt idx="187">
                  <c:v>43.674580177674272</c:v>
                </c:pt>
                <c:pt idx="188">
                  <c:v>43.674580177674272</c:v>
                </c:pt>
                <c:pt idx="189">
                  <c:v>43.674580177674272</c:v>
                </c:pt>
                <c:pt idx="190">
                  <c:v>43.674580177674272</c:v>
                </c:pt>
                <c:pt idx="191">
                  <c:v>43.674580177674272</c:v>
                </c:pt>
                <c:pt idx="192">
                  <c:v>43.674580177674272</c:v>
                </c:pt>
                <c:pt idx="193">
                  <c:v>43.674580177674272</c:v>
                </c:pt>
                <c:pt idx="194">
                  <c:v>43.674580177674272</c:v>
                </c:pt>
                <c:pt idx="195">
                  <c:v>43.674580177674272</c:v>
                </c:pt>
                <c:pt idx="196">
                  <c:v>43.674580177674272</c:v>
                </c:pt>
                <c:pt idx="197">
                  <c:v>43.674580177674272</c:v>
                </c:pt>
                <c:pt idx="198">
                  <c:v>43.674580177674272</c:v>
                </c:pt>
                <c:pt idx="199">
                  <c:v>43.674580177674272</c:v>
                </c:pt>
                <c:pt idx="200">
                  <c:v>43.674580177674272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3.9213592594830331</c:v>
                </c:pt>
                <c:pt idx="2">
                  <c:v>5.274896446918464</c:v>
                </c:pt>
                <c:pt idx="3">
                  <c:v>7.0975291605127451</c:v>
                </c:pt>
                <c:pt idx="4">
                  <c:v>9.5524477480184409</c:v>
                </c:pt>
                <c:pt idx="5">
                  <c:v>12.859813091924524</c:v>
                </c:pt>
                <c:pt idx="6">
                  <c:v>17.316709607957204</c:v>
                </c:pt>
                <c:pt idx="7">
                  <c:v>23.324107125242719</c:v>
                </c:pt>
                <c:pt idx="8">
                  <c:v>31.423300277276144</c:v>
                </c:pt>
                <c:pt idx="9">
                  <c:v>42.345165634900162</c:v>
                </c:pt>
                <c:pt idx="10">
                  <c:v>57.076756826086772</c:v>
                </c:pt>
                <c:pt idx="11">
                  <c:v>56.203322323647022</c:v>
                </c:pt>
                <c:pt idx="12">
                  <c:v>65.332134971913675</c:v>
                </c:pt>
                <c:pt idx="13">
                  <c:v>74.427945659536533</c:v>
                </c:pt>
                <c:pt idx="14">
                  <c:v>83.495368351591949</c:v>
                </c:pt>
                <c:pt idx="15">
                  <c:v>92.537928109252675</c:v>
                </c:pt>
                <c:pt idx="16">
                  <c:v>101.55840207080939</c:v>
                </c:pt>
                <c:pt idx="17">
                  <c:v>110.55903210625274</c:v>
                </c:pt>
                <c:pt idx="18">
                  <c:v>119.54166420425189</c:v>
                </c:pt>
                <c:pt idx="19">
                  <c:v>128.5078435709695</c:v>
                </c:pt>
                <c:pt idx="20">
                  <c:v>137.45888169080212</c:v>
                </c:pt>
                <c:pt idx="21">
                  <c:v>123.97635193875659</c:v>
                </c:pt>
                <c:pt idx="22">
                  <c:v>132.88460716788046</c:v>
                </c:pt>
                <c:pt idx="23">
                  <c:v>141.77845573268854</c:v>
                </c:pt>
                <c:pt idx="24">
                  <c:v>150.65893006052309</c:v>
                </c:pt>
                <c:pt idx="25">
                  <c:v>159.52693070391203</c:v>
                </c:pt>
                <c:pt idx="26">
                  <c:v>168.38324974453914</c:v>
                </c:pt>
                <c:pt idx="27">
                  <c:v>177.22858900412697</c:v>
                </c:pt>
                <c:pt idx="28">
                  <c:v>186.06357442175076</c:v>
                </c:pt>
                <c:pt idx="29">
                  <c:v>194.88876755218834</c:v>
                </c:pt>
                <c:pt idx="30">
                  <c:v>203.70467486883786</c:v>
                </c:pt>
                <c:pt idx="31">
                  <c:v>181.79708313043764</c:v>
                </c:pt>
                <c:pt idx="32">
                  <c:v>189.80422807763361</c:v>
                </c:pt>
                <c:pt idx="33">
                  <c:v>197.80350355038377</c:v>
                </c:pt>
                <c:pt idx="34">
                  <c:v>205.79527310162882</c:v>
                </c:pt>
                <c:pt idx="35">
                  <c:v>213.77986970233812</c:v>
                </c:pt>
                <c:pt idx="36">
                  <c:v>221.75759938561384</c:v>
                </c:pt>
                <c:pt idx="37">
                  <c:v>229.72874433823907</c:v>
                </c:pt>
                <c:pt idx="38">
                  <c:v>237.69356554012688</c:v>
                </c:pt>
                <c:pt idx="39">
                  <c:v>245.65230503104144</c:v>
                </c:pt>
                <c:pt idx="40">
                  <c:v>253.60518786785261</c:v>
                </c:pt>
                <c:pt idx="41">
                  <c:v>224.91206451917699</c:v>
                </c:pt>
                <c:pt idx="42">
                  <c:v>232.18584731867568</c:v>
                </c:pt>
                <c:pt idx="43">
                  <c:v>239.45442546843842</c:v>
                </c:pt>
                <c:pt idx="44">
                  <c:v>246.71797944895661</c:v>
                </c:pt>
                <c:pt idx="45">
                  <c:v>253.97667823207243</c:v>
                </c:pt>
                <c:pt idx="46">
                  <c:v>261.23068033013521</c:v>
                </c:pt>
                <c:pt idx="47">
                  <c:v>268.4801347223987</c:v>
                </c:pt>
                <c:pt idx="48">
                  <c:v>275.72518167602152</c:v>
                </c:pt>
                <c:pt idx="49">
                  <c:v>282.96595347617415</c:v>
                </c:pt>
                <c:pt idx="50">
                  <c:v>290.20257507743554</c:v>
                </c:pt>
                <c:pt idx="51">
                  <c:v>259.25052286468042</c:v>
                </c:pt>
                <c:pt idx="52">
                  <c:v>265.6353187651236</c:v>
                </c:pt>
                <c:pt idx="53">
                  <c:v>272.0166555087963</c:v>
                </c:pt>
                <c:pt idx="54">
                  <c:v>278.39462580543977</c:v>
                </c:pt>
                <c:pt idx="55">
                  <c:v>284.76931776442206</c:v>
                </c:pt>
                <c:pt idx="56">
                  <c:v>291.14081522320231</c:v>
                </c:pt>
                <c:pt idx="57">
                  <c:v>297.50919804550739</c:v>
                </c:pt>
                <c:pt idx="58">
                  <c:v>303.87454239261865</c:v>
                </c:pt>
                <c:pt idx="59">
                  <c:v>310.23692097071756</c:v>
                </c:pt>
                <c:pt idx="60">
                  <c:v>316.59640325686149</c:v>
                </c:pt>
                <c:pt idx="61">
                  <c:v>282.768308885838</c:v>
                </c:pt>
                <c:pt idx="62">
                  <c:v>288.67161651785972</c:v>
                </c:pt>
                <c:pt idx="63">
                  <c:v>294.57222523093441</c:v>
                </c:pt>
                <c:pt idx="64">
                  <c:v>300.4701967892114</c:v>
                </c:pt>
                <c:pt idx="65">
                  <c:v>306.36559033095244</c:v>
                </c:pt>
                <c:pt idx="66">
                  <c:v>312.2584625296933</c:v>
                </c:pt>
                <c:pt idx="67">
                  <c:v>318.14886774259122</c:v>
                </c:pt>
                <c:pt idx="68">
                  <c:v>324.03685814720131</c:v>
                </c:pt>
                <c:pt idx="69">
                  <c:v>329.92248386778289</c:v>
                </c:pt>
                <c:pt idx="70">
                  <c:v>335.80579309211407</c:v>
                </c:pt>
                <c:pt idx="71">
                  <c:v>302.36982823638328</c:v>
                </c:pt>
                <c:pt idx="72">
                  <c:v>307.62327488127147</c:v>
                </c:pt>
                <c:pt idx="73">
                  <c:v>312.87472831550048</c:v>
                </c:pt>
                <c:pt idx="74">
                  <c:v>318.12422676209184</c:v>
                </c:pt>
                <c:pt idx="75">
                  <c:v>323.37180707791987</c:v>
                </c:pt>
                <c:pt idx="76">
                  <c:v>328.61750482442</c:v>
                </c:pt>
                <c:pt idx="77">
                  <c:v>333.86135433354144</c:v>
                </c:pt>
                <c:pt idx="78">
                  <c:v>339.10338876933668</c:v>
                </c:pt>
                <c:pt idx="79">
                  <c:v>344.34364018553998</c:v>
                </c:pt>
                <c:pt idx="80">
                  <c:v>349.5821395794535</c:v>
                </c:pt>
                <c:pt idx="81">
                  <c:v>314.89589138686347</c:v>
                </c:pt>
                <c:pt idx="82">
                  <c:v>319.84899351377396</c:v>
                </c:pt>
                <c:pt idx="83">
                  <c:v>324.80039809100748</c:v>
                </c:pt>
                <c:pt idx="84">
                  <c:v>329.7501346850392</c:v>
                </c:pt>
                <c:pt idx="85">
                  <c:v>334.69823190106973</c:v>
                </c:pt>
                <c:pt idx="86">
                  <c:v>339.64471742835116</c:v>
                </c:pt>
                <c:pt idx="87">
                  <c:v>344.58961808273131</c:v>
                </c:pt>
                <c:pt idx="88">
                  <c:v>349.53295984662697</c:v>
                </c:pt>
                <c:pt idx="89">
                  <c:v>354.47476790661511</c:v>
                </c:pt>
                <c:pt idx="90">
                  <c:v>359.41506668881607</c:v>
                </c:pt>
                <c:pt idx="91">
                  <c:v>326.00720293449427</c:v>
                </c:pt>
                <c:pt idx="92">
                  <c:v>330.48876005573732</c:v>
                </c:pt>
                <c:pt idx="93">
                  <c:v>334.9689765289375</c:v>
                </c:pt>
                <c:pt idx="94">
                  <c:v>339.44787284177926</c:v>
                </c:pt>
                <c:pt idx="95">
                  <c:v>343.92546889640715</c:v>
                </c:pt>
                <c:pt idx="96">
                  <c:v>348.40178403373943</c:v>
                </c:pt>
                <c:pt idx="97">
                  <c:v>352.87683705646697</c:v>
                </c:pt>
                <c:pt idx="98">
                  <c:v>357.35064625082208</c:v>
                </c:pt>
                <c:pt idx="99">
                  <c:v>361.82322940720042</c:v>
                </c:pt>
                <c:pt idx="100">
                  <c:v>366.29460383970849</c:v>
                </c:pt>
                <c:pt idx="101">
                  <c:v>334.45209623280431</c:v>
                </c:pt>
                <c:pt idx="102">
                  <c:v>338.5128267200883</c:v>
                </c:pt>
                <c:pt idx="103">
                  <c:v>342.57248514034541</c:v>
                </c:pt>
                <c:pt idx="104">
                  <c:v>346.63108601005183</c:v>
                </c:pt>
                <c:pt idx="105">
                  <c:v>350.68864347751037</c:v>
                </c:pt>
                <c:pt idx="106">
                  <c:v>354.74517133643775</c:v>
                </c:pt>
                <c:pt idx="107">
                  <c:v>358.8006830388976</c:v>
                </c:pt>
                <c:pt idx="108">
                  <c:v>362.855191707617</c:v>
                </c:pt>
                <c:pt idx="109">
                  <c:v>366.90871014772392</c:v>
                </c:pt>
                <c:pt idx="110">
                  <c:v>370.96125085793761</c:v>
                </c:pt>
                <c:pt idx="111">
                  <c:v>340.53048702425383</c:v>
                </c:pt>
                <c:pt idx="112">
                  <c:v>344.26984606352721</c:v>
                </c:pt>
                <c:pt idx="113">
                  <c:v>348.00831269399799</c:v>
                </c:pt>
                <c:pt idx="114">
                  <c:v>351.74589786996285</c:v>
                </c:pt>
                <c:pt idx="115">
                  <c:v>355.48261229357826</c:v>
                </c:pt>
                <c:pt idx="116">
                  <c:v>359.21846642331434</c:v>
                </c:pt>
                <c:pt idx="117">
                  <c:v>362.95347048203899</c:v>
                </c:pt>
                <c:pt idx="118">
                  <c:v>366.68763446475072</c:v>
                </c:pt>
                <c:pt idx="119">
                  <c:v>370.42096814597988</c:v>
                </c:pt>
                <c:pt idx="120">
                  <c:v>374.1534810868759</c:v>
                </c:pt>
                <c:pt idx="121">
                  <c:v>345.13075587948327</c:v>
                </c:pt>
                <c:pt idx="122">
                  <c:v>348.5493332707718</c:v>
                </c:pt>
                <c:pt idx="123">
                  <c:v>351.96717484615675</c:v>
                </c:pt>
                <c:pt idx="124">
                  <c:v>355.38428877057595</c:v>
                </c:pt>
                <c:pt idx="125">
                  <c:v>358.80068303889772</c:v>
                </c:pt>
                <c:pt idx="126">
                  <c:v>362.21636548108654</c:v>
                </c:pt>
                <c:pt idx="127">
                  <c:v>365.63134376716357</c:v>
                </c:pt>
                <c:pt idx="128">
                  <c:v>369.04562541197123</c:v>
                </c:pt>
                <c:pt idx="129">
                  <c:v>372.45921777975246</c:v>
                </c:pt>
                <c:pt idx="130">
                  <c:v>375.87212808855389</c:v>
                </c:pt>
                <c:pt idx="131">
                  <c:v>348.30341711373057</c:v>
                </c:pt>
                <c:pt idx="132">
                  <c:v>351.45085715269892</c:v>
                </c:pt>
                <c:pt idx="133">
                  <c:v>354.59767911663658</c:v>
                </c:pt>
                <c:pt idx="134">
                  <c:v>357.74388927351924</c:v>
                </c:pt>
                <c:pt idx="135">
                  <c:v>360.88949377190443</c:v>
                </c:pt>
                <c:pt idx="136">
                  <c:v>364.0344986442521</c:v>
                </c:pt>
                <c:pt idx="137">
                  <c:v>367.17890981012397</c:v>
                </c:pt>
                <c:pt idx="138">
                  <c:v>370.32273307926761</c:v>
                </c:pt>
                <c:pt idx="139">
                  <c:v>373.46597415459019</c:v>
                </c:pt>
                <c:pt idx="140">
                  <c:v>376.60863863502669</c:v>
                </c:pt>
                <c:pt idx="141">
                  <c:v>350.54111405511867</c:v>
                </c:pt>
                <c:pt idx="142">
                  <c:v>353.46686072421682</c:v>
                </c:pt>
                <c:pt idx="143">
                  <c:v>356.39207666323477</c:v>
                </c:pt>
                <c:pt idx="144">
                  <c:v>359.31676685031238</c:v>
                </c:pt>
                <c:pt idx="145">
                  <c:v>362.24093617580616</c:v>
                </c:pt>
                <c:pt idx="146">
                  <c:v>365.16458944455115</c:v>
                </c:pt>
                <c:pt idx="147">
                  <c:v>368.08773137804366</c:v>
                </c:pt>
                <c:pt idx="148">
                  <c:v>371.01036661655348</c:v>
                </c:pt>
                <c:pt idx="149">
                  <c:v>373.93249972116456</c:v>
                </c:pt>
                <c:pt idx="150">
                  <c:v>376.85413517574904</c:v>
                </c:pt>
                <c:pt idx="151">
                  <c:v>376.85413517574904</c:v>
                </c:pt>
                <c:pt idx="152">
                  <c:v>376.85413517574904</c:v>
                </c:pt>
                <c:pt idx="153">
                  <c:v>376.85413517574904</c:v>
                </c:pt>
                <c:pt idx="154">
                  <c:v>376.85413517574904</c:v>
                </c:pt>
                <c:pt idx="155">
                  <c:v>376.85413517574904</c:v>
                </c:pt>
                <c:pt idx="156">
                  <c:v>376.85413517574904</c:v>
                </c:pt>
                <c:pt idx="157">
                  <c:v>376.85413517574904</c:v>
                </c:pt>
                <c:pt idx="158">
                  <c:v>376.85413517574904</c:v>
                </c:pt>
                <c:pt idx="159">
                  <c:v>376.85413517574904</c:v>
                </c:pt>
                <c:pt idx="160">
                  <c:v>376.85413517574904</c:v>
                </c:pt>
                <c:pt idx="161">
                  <c:v>376.85413517574904</c:v>
                </c:pt>
                <c:pt idx="162">
                  <c:v>376.85413517574904</c:v>
                </c:pt>
                <c:pt idx="163">
                  <c:v>376.85413517574904</c:v>
                </c:pt>
                <c:pt idx="164">
                  <c:v>376.85413517574904</c:v>
                </c:pt>
                <c:pt idx="165">
                  <c:v>376.85413517574904</c:v>
                </c:pt>
                <c:pt idx="166">
                  <c:v>376.85413517574904</c:v>
                </c:pt>
                <c:pt idx="167">
                  <c:v>376.85413517574904</c:v>
                </c:pt>
                <c:pt idx="168">
                  <c:v>376.85413517574904</c:v>
                </c:pt>
                <c:pt idx="169">
                  <c:v>376.85413517574904</c:v>
                </c:pt>
                <c:pt idx="170">
                  <c:v>376.85413517574904</c:v>
                </c:pt>
                <c:pt idx="171">
                  <c:v>376.85413517574904</c:v>
                </c:pt>
                <c:pt idx="172">
                  <c:v>376.85413517574904</c:v>
                </c:pt>
                <c:pt idx="173">
                  <c:v>376.85413517574904</c:v>
                </c:pt>
                <c:pt idx="174">
                  <c:v>376.85413517574904</c:v>
                </c:pt>
                <c:pt idx="175">
                  <c:v>376.85413517574904</c:v>
                </c:pt>
                <c:pt idx="176">
                  <c:v>376.85413517574904</c:v>
                </c:pt>
                <c:pt idx="177">
                  <c:v>376.85413517574904</c:v>
                </c:pt>
                <c:pt idx="178">
                  <c:v>376.85413517574904</c:v>
                </c:pt>
                <c:pt idx="179">
                  <c:v>376.85413517574904</c:v>
                </c:pt>
                <c:pt idx="180">
                  <c:v>376.85413517574904</c:v>
                </c:pt>
                <c:pt idx="181">
                  <c:v>376.85413517574904</c:v>
                </c:pt>
                <c:pt idx="182">
                  <c:v>376.85413517574904</c:v>
                </c:pt>
                <c:pt idx="183">
                  <c:v>376.85413517574904</c:v>
                </c:pt>
                <c:pt idx="184">
                  <c:v>376.85413517574904</c:v>
                </c:pt>
                <c:pt idx="185">
                  <c:v>376.85413517574904</c:v>
                </c:pt>
                <c:pt idx="186">
                  <c:v>376.85413517574904</c:v>
                </c:pt>
                <c:pt idx="187">
                  <c:v>376.85413517574904</c:v>
                </c:pt>
                <c:pt idx="188">
                  <c:v>376.85413517574904</c:v>
                </c:pt>
                <c:pt idx="189">
                  <c:v>376.85413517574904</c:v>
                </c:pt>
                <c:pt idx="190">
                  <c:v>376.85413517574904</c:v>
                </c:pt>
                <c:pt idx="191">
                  <c:v>376.85413517574904</c:v>
                </c:pt>
                <c:pt idx="192">
                  <c:v>376.85413517574904</c:v>
                </c:pt>
                <c:pt idx="193">
                  <c:v>376.85413517574904</c:v>
                </c:pt>
                <c:pt idx="194">
                  <c:v>376.85413517574904</c:v>
                </c:pt>
                <c:pt idx="195">
                  <c:v>376.85413517574904</c:v>
                </c:pt>
                <c:pt idx="196">
                  <c:v>376.85413517574904</c:v>
                </c:pt>
                <c:pt idx="197">
                  <c:v>376.85413517574904</c:v>
                </c:pt>
                <c:pt idx="198">
                  <c:v>376.85413517574904</c:v>
                </c:pt>
                <c:pt idx="199">
                  <c:v>376.85413517574904</c:v>
                </c:pt>
                <c:pt idx="200">
                  <c:v>376.85413517574904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3.3133072682343681</c:v>
                </c:pt>
                <c:pt idx="2">
                  <c:v>3.8071130279877874</c:v>
                </c:pt>
                <c:pt idx="3">
                  <c:v>4.3747749788032486</c:v>
                </c:pt>
                <c:pt idx="4">
                  <c:v>5.0273762561863284</c:v>
                </c:pt>
                <c:pt idx="5">
                  <c:v>5.7776683505685886</c:v>
                </c:pt>
                <c:pt idx="6">
                  <c:v>6.6403229723106856</c:v>
                </c:pt>
                <c:pt idx="7">
                  <c:v>7.6322220412337236</c:v>
                </c:pt>
                <c:pt idx="8">
                  <c:v>8.7727915856850256</c:v>
                </c:pt>
                <c:pt idx="9">
                  <c:v>10.084386215924773</c:v>
                </c:pt>
                <c:pt idx="10">
                  <c:v>11.592731850469173</c:v>
                </c:pt>
                <c:pt idx="11">
                  <c:v>13.327435542412308</c:v>
                </c:pt>
                <c:pt idx="12">
                  <c:v>15.322572599270915</c:v>
                </c:pt>
                <c:pt idx="13">
                  <c:v>17.617362741761884</c:v>
                </c:pt>
                <c:pt idx="14">
                  <c:v>20.256948835501987</c:v>
                </c:pt>
                <c:pt idx="15">
                  <c:v>23.293293791083059</c:v>
                </c:pt>
                <c:pt idx="16">
                  <c:v>26.786213604030024</c:v>
                </c:pt>
                <c:pt idx="17">
                  <c:v>30.804567244883845</c:v>
                </c:pt>
                <c:pt idx="18">
                  <c:v>35.427627266519373</c:v>
                </c:pt>
                <c:pt idx="19">
                  <c:v>40.746658634753139</c:v>
                </c:pt>
                <c:pt idx="20">
                  <c:v>46.86673748305622</c:v>
                </c:pt>
                <c:pt idx="21">
                  <c:v>53.908846327795466</c:v>
                </c:pt>
                <c:pt idx="22">
                  <c:v>62.012287854943317</c:v>
                </c:pt>
                <c:pt idx="23">
                  <c:v>71.337465815709237</c:v>
                </c:pt>
                <c:pt idx="24">
                  <c:v>82.069088977475658</c:v>
                </c:pt>
                <c:pt idx="25">
                  <c:v>94.41986261817847</c:v>
                </c:pt>
                <c:pt idx="26">
                  <c:v>108.63474190032758</c:v>
                </c:pt>
                <c:pt idx="27">
                  <c:v>124.99583281529289</c:v>
                </c:pt>
                <c:pt idx="28">
                  <c:v>143.82803948003559</c:v>
                </c:pt>
                <c:pt idx="29">
                  <c:v>165.50557166330015</c:v>
                </c:pt>
                <c:pt idx="30">
                  <c:v>190.45944382337936</c:v>
                </c:pt>
                <c:pt idx="31">
                  <c:v>210.27774224353826</c:v>
                </c:pt>
                <c:pt idx="32">
                  <c:v>230.05295385777504</c:v>
                </c:pt>
                <c:pt idx="33">
                  <c:v>249.78930337953932</c:v>
                </c:pt>
                <c:pt idx="34">
                  <c:v>269.49029289823301</c:v>
                </c:pt>
                <c:pt idx="35">
                  <c:v>289.15887042204321</c:v>
                </c:pt>
                <c:pt idx="36">
                  <c:v>308.79755007515246</c:v>
                </c:pt>
                <c:pt idx="37">
                  <c:v>328.40850007370682</c:v>
                </c:pt>
                <c:pt idx="38">
                  <c:v>347.99360856589328</c:v>
                </c:pt>
                <c:pt idx="39">
                  <c:v>367.55453386345613</c:v>
                </c:pt>
                <c:pt idx="40">
                  <c:v>387.09274341542005</c:v>
                </c:pt>
                <c:pt idx="41">
                  <c:v>406.6095444993428</c:v>
                </c:pt>
                <c:pt idx="42">
                  <c:v>426.10610871121958</c:v>
                </c:pt>
                <c:pt idx="43">
                  <c:v>345.42162895640627</c:v>
                </c:pt>
                <c:pt idx="44">
                  <c:v>369.59031388568059</c:v>
                </c:pt>
                <c:pt idx="45">
                  <c:v>393.72453006111556</c:v>
                </c:pt>
                <c:pt idx="46">
                  <c:v>417.82668561224938</c:v>
                </c:pt>
                <c:pt idx="47">
                  <c:v>441.89888834674935</c:v>
                </c:pt>
                <c:pt idx="48">
                  <c:v>465.94299785724775</c:v>
                </c:pt>
                <c:pt idx="49">
                  <c:v>489.96066631131407</c:v>
                </c:pt>
                <c:pt idx="50">
                  <c:v>513.95337082755043</c:v>
                </c:pt>
                <c:pt idx="51">
                  <c:v>452.49217060056822</c:v>
                </c:pt>
                <c:pt idx="52">
                  <c:v>476.9379367175323</c:v>
                </c:pt>
                <c:pt idx="53">
                  <c:v>501.35706327646199</c:v>
                </c:pt>
                <c:pt idx="54">
                  <c:v>525.75102890858318</c:v>
                </c:pt>
                <c:pt idx="55">
                  <c:v>550.12116397590796</c:v>
                </c:pt>
                <c:pt idx="56">
                  <c:v>574.46867148020931</c:v>
                </c:pt>
                <c:pt idx="57">
                  <c:v>598.79464424477112</c:v>
                </c:pt>
                <c:pt idx="58">
                  <c:v>623.10007916066616</c:v>
                </c:pt>
                <c:pt idx="59">
                  <c:v>538.50647230701213</c:v>
                </c:pt>
                <c:pt idx="60">
                  <c:v>561.97735179239714</c:v>
                </c:pt>
                <c:pt idx="61">
                  <c:v>585.42772929752402</c:v>
                </c:pt>
                <c:pt idx="62">
                  <c:v>608.8585407010313</c:v>
                </c:pt>
                <c:pt idx="63">
                  <c:v>632.27064405603119</c:v>
                </c:pt>
                <c:pt idx="64">
                  <c:v>655.66482876159637</c:v>
                </c:pt>
                <c:pt idx="65">
                  <c:v>679.04182335833355</c:v>
                </c:pt>
                <c:pt idx="66">
                  <c:v>702.40230219562352</c:v>
                </c:pt>
                <c:pt idx="67">
                  <c:v>604.90067044401007</c:v>
                </c:pt>
                <c:pt idx="68">
                  <c:v>627.14555243359348</c:v>
                </c:pt>
                <c:pt idx="69">
                  <c:v>649.37411221878267</c:v>
                </c:pt>
                <c:pt idx="70">
                  <c:v>671.5869865291204</c:v>
                </c:pt>
                <c:pt idx="71">
                  <c:v>693.78476658795432</c:v>
                </c:pt>
                <c:pt idx="72">
                  <c:v>715.96800274573991</c:v>
                </c:pt>
                <c:pt idx="73">
                  <c:v>738.13720850983793</c:v>
                </c:pt>
                <c:pt idx="74">
                  <c:v>760.29286406552922</c:v>
                </c:pt>
                <c:pt idx="75">
                  <c:v>668.71726107286213</c:v>
                </c:pt>
                <c:pt idx="76">
                  <c:v>690.65460461045438</c:v>
                </c:pt>
                <c:pt idx="77">
                  <c:v>712.57767261837535</c:v>
                </c:pt>
                <c:pt idx="78">
                  <c:v>734.48696559742518</c:v>
                </c:pt>
                <c:pt idx="79">
                  <c:v>756.38295179099975</c:v>
                </c:pt>
                <c:pt idx="80">
                  <c:v>778.26607015635398</c:v>
                </c:pt>
                <c:pt idx="81">
                  <c:v>800.13673298468939</c:v>
                </c:pt>
                <c:pt idx="82">
                  <c:v>821.99532822022059</c:v>
                </c:pt>
                <c:pt idx="83">
                  <c:v>843.84222152004747</c:v>
                </c:pt>
                <c:pt idx="84">
                  <c:v>865.67775808988915</c:v>
                </c:pt>
                <c:pt idx="85">
                  <c:v>739.50939412098796</c:v>
                </c:pt>
                <c:pt idx="86">
                  <c:v>760.20199612837177</c:v>
                </c:pt>
                <c:pt idx="87">
                  <c:v>780.88316920701811</c:v>
                </c:pt>
                <c:pt idx="88">
                  <c:v>801.55325829803803</c:v>
                </c:pt>
                <c:pt idx="89">
                  <c:v>822.21258912382143</c:v>
                </c:pt>
                <c:pt idx="90">
                  <c:v>842.86146972448921</c:v>
                </c:pt>
                <c:pt idx="91">
                  <c:v>863.50019183614086</c:v>
                </c:pt>
                <c:pt idx="92">
                  <c:v>884.12903213065056</c:v>
                </c:pt>
                <c:pt idx="93">
                  <c:v>904.74825333389288</c:v>
                </c:pt>
                <c:pt idx="94">
                  <c:v>925.35810523686405</c:v>
                </c:pt>
                <c:pt idx="95">
                  <c:v>797.845820069345</c:v>
                </c:pt>
                <c:pt idx="96">
                  <c:v>817.88864048869516</c:v>
                </c:pt>
                <c:pt idx="97">
                  <c:v>837.92156775499018</c:v>
                </c:pt>
                <c:pt idx="98">
                  <c:v>857.94487140553736</c:v>
                </c:pt>
                <c:pt idx="99">
                  <c:v>877.95880738674043</c:v>
                </c:pt>
                <c:pt idx="100">
                  <c:v>897.96361903980085</c:v>
                </c:pt>
                <c:pt idx="101">
                  <c:v>917.95953799412416</c:v>
                </c:pt>
                <c:pt idx="102">
                  <c:v>937.94678497894836</c:v>
                </c:pt>
                <c:pt idx="103">
                  <c:v>957.92557056228054</c:v>
                </c:pt>
                <c:pt idx="104">
                  <c:v>977.89609582507774</c:v>
                </c:pt>
                <c:pt idx="105">
                  <c:v>854.16855942292841</c:v>
                </c:pt>
                <c:pt idx="106">
                  <c:v>873.85756025731064</c:v>
                </c:pt>
                <c:pt idx="107">
                  <c:v>893.53768496447447</c:v>
                </c:pt>
                <c:pt idx="108">
                  <c:v>913.20915631920434</c:v>
                </c:pt>
                <c:pt idx="109">
                  <c:v>932.87218672902407</c:v>
                </c:pt>
                <c:pt idx="110">
                  <c:v>952.52697892938522</c:v>
                </c:pt>
                <c:pt idx="111">
                  <c:v>972.17372661857451</c:v>
                </c:pt>
                <c:pt idx="112">
                  <c:v>991.81261503870144</c:v>
                </c:pt>
                <c:pt idx="113">
                  <c:v>1011.4438215083425</c:v>
                </c:pt>
                <c:pt idx="114">
                  <c:v>1031.0675159117477</c:v>
                </c:pt>
                <c:pt idx="115">
                  <c:v>917.49023927832593</c:v>
                </c:pt>
                <c:pt idx="116">
                  <c:v>937.34672021682229</c:v>
                </c:pt>
                <c:pt idx="117">
                  <c:v>957.19484420937408</c:v>
                </c:pt>
                <c:pt idx="118">
                  <c:v>977.03480870800706</c:v>
                </c:pt>
                <c:pt idx="119">
                  <c:v>996.86680250336076</c:v>
                </c:pt>
                <c:pt idx="120">
                  <c:v>1016.6910062728247</c:v>
                </c:pt>
                <c:pt idx="121">
                  <c:v>1036.5075930837606</c:v>
                </c:pt>
                <c:pt idx="122">
                  <c:v>1056.3167288563018</c:v>
                </c:pt>
                <c:pt idx="123">
                  <c:v>1076.1185727896852</c:v>
                </c:pt>
                <c:pt idx="124">
                  <c:v>1095.9132777556217</c:v>
                </c:pt>
                <c:pt idx="125">
                  <c:v>991.27743602878684</c:v>
                </c:pt>
                <c:pt idx="126">
                  <c:v>1011.4794861041528</c:v>
                </c:pt>
                <c:pt idx="127">
                  <c:v>1031.6735812464144</c:v>
                </c:pt>
                <c:pt idx="128">
                  <c:v>1051.8598988634806</c:v>
                </c:pt>
                <c:pt idx="129">
                  <c:v>1072.0386090092638</c:v>
                </c:pt>
                <c:pt idx="130">
                  <c:v>1092.2098748239625</c:v>
                </c:pt>
                <c:pt idx="131">
                  <c:v>1112.3738529401787</c:v>
                </c:pt>
                <c:pt idx="132">
                  <c:v>1132.5306938581068</c:v>
                </c:pt>
                <c:pt idx="133">
                  <c:v>1152.680542292667</c:v>
                </c:pt>
                <c:pt idx="134">
                  <c:v>1172.8235374951462</c:v>
                </c:pt>
                <c:pt idx="135">
                  <c:v>1062.7423720711429</c:v>
                </c:pt>
                <c:pt idx="136">
                  <c:v>1083.0737615701685</c:v>
                </c:pt>
                <c:pt idx="137">
                  <c:v>1103.3976784190309</c:v>
                </c:pt>
                <c:pt idx="138">
                  <c:v>1123.714279426873</c:v>
                </c:pt>
                <c:pt idx="139">
                  <c:v>1144.0237152795919</c:v>
                </c:pt>
                <c:pt idx="140">
                  <c:v>1164.326130885561</c:v>
                </c:pt>
                <c:pt idx="141">
                  <c:v>1184.6216656960294</c:v>
                </c:pt>
                <c:pt idx="142">
                  <c:v>1204.9104540024589</c:v>
                </c:pt>
                <c:pt idx="143">
                  <c:v>1225.1926252128317</c:v>
                </c:pt>
                <c:pt idx="144">
                  <c:v>1245.4683041087394</c:v>
                </c:pt>
                <c:pt idx="145">
                  <c:v>1133.4701465490568</c:v>
                </c:pt>
                <c:pt idx="146">
                  <c:v>1154.2386364848433</c:v>
                </c:pt>
                <c:pt idx="147">
                  <c:v>1174.9998567832326</c:v>
                </c:pt>
                <c:pt idx="148">
                  <c:v>1195.7539537666225</c:v>
                </c:pt>
                <c:pt idx="149">
                  <c:v>1216.5010682727723</c:v>
                </c:pt>
                <c:pt idx="150">
                  <c:v>1237.24133595227</c:v>
                </c:pt>
                <c:pt idx="151">
                  <c:v>1257.9748875450507</c:v>
                </c:pt>
                <c:pt idx="152">
                  <c:v>1278.7018491377714</c:v>
                </c:pt>
                <c:pt idx="153">
                  <c:v>1299.4223424036622</c:v>
                </c:pt>
                <c:pt idx="154">
                  <c:v>1320.1364848263104</c:v>
                </c:pt>
                <c:pt idx="155">
                  <c:v>1210.6870753358355</c:v>
                </c:pt>
                <c:pt idx="156">
                  <c:v>1231.7608407148557</c:v>
                </c:pt>
                <c:pt idx="157">
                  <c:v>1252.8276383219807</c:v>
                </c:pt>
                <c:pt idx="158">
                  <c:v>1273.8876016161232</c:v>
                </c:pt>
                <c:pt idx="159">
                  <c:v>1294.9408592917673</c:v>
                </c:pt>
                <c:pt idx="160">
                  <c:v>1315.9875355252809</c:v>
                </c:pt>
                <c:pt idx="161">
                  <c:v>1337.0277502046813</c:v>
                </c:pt>
                <c:pt idx="162">
                  <c:v>1358.0616191442107</c:v>
                </c:pt>
                <c:pt idx="163">
                  <c:v>1379.0892542849588</c:v>
                </c:pt>
                <c:pt idx="164">
                  <c:v>1400.1107638826322</c:v>
                </c:pt>
                <c:pt idx="165">
                  <c:v>1280.453258617744</c:v>
                </c:pt>
                <c:pt idx="166">
                  <c:v>1301.6984623074479</c:v>
                </c:pt>
                <c:pt idx="167">
                  <c:v>1322.937002325961</c:v>
                </c:pt>
                <c:pt idx="168">
                  <c:v>1344.1690005205469</c:v>
                </c:pt>
                <c:pt idx="169">
                  <c:v>1365.394574582634</c:v>
                </c:pt>
                <c:pt idx="170">
                  <c:v>1386.6138382532347</c:v>
                </c:pt>
                <c:pt idx="171">
                  <c:v>1407.8269015151543</c:v>
                </c:pt>
                <c:pt idx="172">
                  <c:v>1429.0338707730373</c:v>
                </c:pt>
                <c:pt idx="173">
                  <c:v>1450.2348490221973</c:v>
                </c:pt>
                <c:pt idx="174">
                  <c:v>1471.4299360070752</c:v>
                </c:pt>
                <c:pt idx="175">
                  <c:v>957.14485926641635</c:v>
                </c:pt>
                <c:pt idx="176">
                  <c:v>951.74141905771182</c:v>
                </c:pt>
                <c:pt idx="177">
                  <c:v>946.33737002622627</c:v>
                </c:pt>
                <c:pt idx="178">
                  <c:v>669.45329662918141</c:v>
                </c:pt>
                <c:pt idx="179">
                  <c:v>667.70308706672074</c:v>
                </c:pt>
                <c:pt idx="180">
                  <c:v>665.95278314604423</c:v>
                </c:pt>
                <c:pt idx="181">
                  <c:v>477.08884532860861</c:v>
                </c:pt>
                <c:pt idx="182">
                  <c:v>475.18128566319916</c:v>
                </c:pt>
                <c:pt idx="183">
                  <c:v>473.27356302136633</c:v>
                </c:pt>
                <c:pt idx="184">
                  <c:v>56.720334359128351</c:v>
                </c:pt>
                <c:pt idx="185">
                  <c:v>56.720334359128351</c:v>
                </c:pt>
                <c:pt idx="186">
                  <c:v>56.720334359128351</c:v>
                </c:pt>
                <c:pt idx="187">
                  <c:v>56.720334359128351</c:v>
                </c:pt>
                <c:pt idx="188">
                  <c:v>56.720334359128351</c:v>
                </c:pt>
                <c:pt idx="189">
                  <c:v>56.720334359128351</c:v>
                </c:pt>
                <c:pt idx="190">
                  <c:v>56.720334359128351</c:v>
                </c:pt>
                <c:pt idx="191">
                  <c:v>56.720334359128351</c:v>
                </c:pt>
                <c:pt idx="192">
                  <c:v>56.720334359128351</c:v>
                </c:pt>
                <c:pt idx="193">
                  <c:v>56.720334359128351</c:v>
                </c:pt>
                <c:pt idx="194">
                  <c:v>56.720334359128351</c:v>
                </c:pt>
                <c:pt idx="195">
                  <c:v>56.720334359128351</c:v>
                </c:pt>
                <c:pt idx="196">
                  <c:v>56.720334359128351</c:v>
                </c:pt>
                <c:pt idx="197">
                  <c:v>56.720334359128351</c:v>
                </c:pt>
                <c:pt idx="198">
                  <c:v>56.720334359128351</c:v>
                </c:pt>
                <c:pt idx="199">
                  <c:v>56.720334359128351</c:v>
                </c:pt>
                <c:pt idx="200">
                  <c:v>56.720334359128351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4.7281227377105433</c:v>
                </c:pt>
                <c:pt idx="2">
                  <c:v>9.6902676502173968</c:v>
                </c:pt>
                <c:pt idx="3">
                  <c:v>19.890217426399502</c:v>
                </c:pt>
                <c:pt idx="4">
                  <c:v>40.886013356832393</c:v>
                </c:pt>
                <c:pt idx="5">
                  <c:v>84.161881941878903</c:v>
                </c:pt>
                <c:pt idx="6">
                  <c:v>103.28436593678082</c:v>
                </c:pt>
                <c:pt idx="7">
                  <c:v>138.12565423826746</c:v>
                </c:pt>
                <c:pt idx="8">
                  <c:v>172.75415403607255</c:v>
                </c:pt>
                <c:pt idx="9">
                  <c:v>207.21879690654114</c:v>
                </c:pt>
                <c:pt idx="10">
                  <c:v>241.5507456503326</c:v>
                </c:pt>
                <c:pt idx="11">
                  <c:v>202.9184983227934</c:v>
                </c:pt>
                <c:pt idx="12">
                  <c:v>236.48641945410841</c:v>
                </c:pt>
                <c:pt idx="13">
                  <c:v>269.94556787272933</c:v>
                </c:pt>
                <c:pt idx="14">
                  <c:v>303.31132185729041</c:v>
                </c:pt>
                <c:pt idx="15">
                  <c:v>336.59539404232532</c:v>
                </c:pt>
                <c:pt idx="16">
                  <c:v>309.89688707897204</c:v>
                </c:pt>
                <c:pt idx="17">
                  <c:v>339.30126300186566</c:v>
                </c:pt>
                <c:pt idx="18">
                  <c:v>368.64957965965004</c:v>
                </c:pt>
                <c:pt idx="19">
                  <c:v>397.9469226687383</c:v>
                </c:pt>
                <c:pt idx="20">
                  <c:v>427.19756804132584</c:v>
                </c:pt>
                <c:pt idx="21">
                  <c:v>407.95878231757428</c:v>
                </c:pt>
                <c:pt idx="22">
                  <c:v>432.96552861089202</c:v>
                </c:pt>
                <c:pt idx="23">
                  <c:v>457.94126927057465</c:v>
                </c:pt>
                <c:pt idx="24">
                  <c:v>482.88793138454997</c:v>
                </c:pt>
                <c:pt idx="25">
                  <c:v>507.80722686130594</c:v>
                </c:pt>
                <c:pt idx="26">
                  <c:v>493.62565905582659</c:v>
                </c:pt>
                <c:pt idx="27">
                  <c:v>513.93718925042344</c:v>
                </c:pt>
                <c:pt idx="28">
                  <c:v>534.23177896582081</c:v>
                </c:pt>
                <c:pt idx="29">
                  <c:v>554.51016178271277</c:v>
                </c:pt>
                <c:pt idx="30">
                  <c:v>574.77301329675208</c:v>
                </c:pt>
                <c:pt idx="31">
                  <c:v>564.45232939981599</c:v>
                </c:pt>
                <c:pt idx="32">
                  <c:v>580.88714383067793</c:v>
                </c:pt>
                <c:pt idx="33">
                  <c:v>597.31226449625285</c:v>
                </c:pt>
                <c:pt idx="34">
                  <c:v>613.72799533010186</c:v>
                </c:pt>
                <c:pt idx="35">
                  <c:v>630.13462269202148</c:v>
                </c:pt>
                <c:pt idx="36">
                  <c:v>623.64935210528495</c:v>
                </c:pt>
                <c:pt idx="37">
                  <c:v>638.14393512535958</c:v>
                </c:pt>
                <c:pt idx="38">
                  <c:v>652.63171873234603</c:v>
                </c:pt>
                <c:pt idx="39">
                  <c:v>667.11287504220115</c:v>
                </c:pt>
                <c:pt idx="40">
                  <c:v>681.58756809397653</c:v>
                </c:pt>
                <c:pt idx="41">
                  <c:v>678.54079353970099</c:v>
                </c:pt>
                <c:pt idx="42">
                  <c:v>692.62979323978027</c:v>
                </c:pt>
                <c:pt idx="43">
                  <c:v>706.71292251165812</c:v>
                </c:pt>
                <c:pt idx="44">
                  <c:v>720.79031474471776</c:v>
                </c:pt>
                <c:pt idx="45">
                  <c:v>734.86209769680102</c:v>
                </c:pt>
                <c:pt idx="46">
                  <c:v>717.74703386064709</c:v>
                </c:pt>
                <c:pt idx="47">
                  <c:v>717.74703386064709</c:v>
                </c:pt>
                <c:pt idx="48">
                  <c:v>717.74703386064709</c:v>
                </c:pt>
                <c:pt idx="49">
                  <c:v>717.74703386064709</c:v>
                </c:pt>
                <c:pt idx="50">
                  <c:v>717.74703386064709</c:v>
                </c:pt>
                <c:pt idx="51">
                  <c:v>717.74703386064709</c:v>
                </c:pt>
                <c:pt idx="52">
                  <c:v>717.74703386064709</c:v>
                </c:pt>
                <c:pt idx="53">
                  <c:v>717.74703386064709</c:v>
                </c:pt>
                <c:pt idx="54">
                  <c:v>717.74703386064709</c:v>
                </c:pt>
                <c:pt idx="55">
                  <c:v>717.74703386064709</c:v>
                </c:pt>
                <c:pt idx="56">
                  <c:v>717.74703386064709</c:v>
                </c:pt>
                <c:pt idx="57">
                  <c:v>717.74703386064709</c:v>
                </c:pt>
                <c:pt idx="58">
                  <c:v>717.74703386064709</c:v>
                </c:pt>
                <c:pt idx="59">
                  <c:v>717.74703386064709</c:v>
                </c:pt>
                <c:pt idx="60">
                  <c:v>717.74703386064709</c:v>
                </c:pt>
                <c:pt idx="61">
                  <c:v>717.74703386064709</c:v>
                </c:pt>
                <c:pt idx="62">
                  <c:v>717.74703386064709</c:v>
                </c:pt>
                <c:pt idx="63">
                  <c:v>717.74703386064709</c:v>
                </c:pt>
                <c:pt idx="64">
                  <c:v>717.74703386064709</c:v>
                </c:pt>
                <c:pt idx="65">
                  <c:v>717.74703386064709</c:v>
                </c:pt>
                <c:pt idx="66">
                  <c:v>717.74703386064709</c:v>
                </c:pt>
                <c:pt idx="67">
                  <c:v>717.74703386064709</c:v>
                </c:pt>
                <c:pt idx="68">
                  <c:v>717.74703386064709</c:v>
                </c:pt>
                <c:pt idx="69">
                  <c:v>717.74703386064709</c:v>
                </c:pt>
                <c:pt idx="70">
                  <c:v>717.74703386064709</c:v>
                </c:pt>
                <c:pt idx="71">
                  <c:v>717.74703386064709</c:v>
                </c:pt>
                <c:pt idx="72">
                  <c:v>717.74703386064709</c:v>
                </c:pt>
                <c:pt idx="73">
                  <c:v>717.74703386064709</c:v>
                </c:pt>
                <c:pt idx="74">
                  <c:v>717.74703386064709</c:v>
                </c:pt>
                <c:pt idx="75">
                  <c:v>717.74703386064709</c:v>
                </c:pt>
                <c:pt idx="76">
                  <c:v>717.74703386064709</c:v>
                </c:pt>
                <c:pt idx="77">
                  <c:v>717.74703386064709</c:v>
                </c:pt>
                <c:pt idx="78">
                  <c:v>717.74703386064709</c:v>
                </c:pt>
                <c:pt idx="79">
                  <c:v>717.74703386064709</c:v>
                </c:pt>
                <c:pt idx="80">
                  <c:v>717.74703386064709</c:v>
                </c:pt>
                <c:pt idx="81">
                  <c:v>717.74703386064709</c:v>
                </c:pt>
                <c:pt idx="82">
                  <c:v>717.74703386064709</c:v>
                </c:pt>
                <c:pt idx="83">
                  <c:v>717.74703386064709</c:v>
                </c:pt>
                <c:pt idx="84">
                  <c:v>717.74703386064709</c:v>
                </c:pt>
                <c:pt idx="85">
                  <c:v>717.74703386064709</c:v>
                </c:pt>
                <c:pt idx="86">
                  <c:v>717.74703386064709</c:v>
                </c:pt>
                <c:pt idx="87">
                  <c:v>717.74703386064709</c:v>
                </c:pt>
                <c:pt idx="88">
                  <c:v>717.74703386064709</c:v>
                </c:pt>
                <c:pt idx="89">
                  <c:v>717.74703386064709</c:v>
                </c:pt>
                <c:pt idx="90">
                  <c:v>717.74703386064709</c:v>
                </c:pt>
                <c:pt idx="91">
                  <c:v>717.74703386064709</c:v>
                </c:pt>
                <c:pt idx="92">
                  <c:v>717.74703386064709</c:v>
                </c:pt>
                <c:pt idx="93">
                  <c:v>717.74703386064709</c:v>
                </c:pt>
                <c:pt idx="94">
                  <c:v>717.74703386064709</c:v>
                </c:pt>
                <c:pt idx="95">
                  <c:v>717.74703386064709</c:v>
                </c:pt>
                <c:pt idx="96">
                  <c:v>717.74703386064709</c:v>
                </c:pt>
                <c:pt idx="97">
                  <c:v>717.74703386064709</c:v>
                </c:pt>
                <c:pt idx="98">
                  <c:v>717.74703386064709</c:v>
                </c:pt>
                <c:pt idx="99">
                  <c:v>717.74703386064709</c:v>
                </c:pt>
                <c:pt idx="100">
                  <c:v>717.74703386064709</c:v>
                </c:pt>
                <c:pt idx="101">
                  <c:v>717.74703386064709</c:v>
                </c:pt>
                <c:pt idx="102">
                  <c:v>717.74703386064709</c:v>
                </c:pt>
                <c:pt idx="103">
                  <c:v>717.74703386064709</c:v>
                </c:pt>
                <c:pt idx="104">
                  <c:v>717.74703386064709</c:v>
                </c:pt>
                <c:pt idx="105">
                  <c:v>717.74703386064709</c:v>
                </c:pt>
                <c:pt idx="106">
                  <c:v>717.74703386064709</c:v>
                </c:pt>
                <c:pt idx="107">
                  <c:v>717.74703386064709</c:v>
                </c:pt>
                <c:pt idx="108">
                  <c:v>717.74703386064709</c:v>
                </c:pt>
                <c:pt idx="109">
                  <c:v>717.74703386064709</c:v>
                </c:pt>
                <c:pt idx="110">
                  <c:v>717.74703386064709</c:v>
                </c:pt>
                <c:pt idx="111">
                  <c:v>717.74703386064709</c:v>
                </c:pt>
                <c:pt idx="112">
                  <c:v>717.74703386064709</c:v>
                </c:pt>
                <c:pt idx="113">
                  <c:v>717.74703386064709</c:v>
                </c:pt>
                <c:pt idx="114">
                  <c:v>717.74703386064709</c:v>
                </c:pt>
                <c:pt idx="115">
                  <c:v>717.74703386064709</c:v>
                </c:pt>
                <c:pt idx="116">
                  <c:v>717.74703386064709</c:v>
                </c:pt>
                <c:pt idx="117">
                  <c:v>717.74703386064709</c:v>
                </c:pt>
                <c:pt idx="118">
                  <c:v>717.74703386064709</c:v>
                </c:pt>
                <c:pt idx="119">
                  <c:v>717.74703386064709</c:v>
                </c:pt>
                <c:pt idx="120">
                  <c:v>717.74703386064709</c:v>
                </c:pt>
                <c:pt idx="121">
                  <c:v>717.74703386064709</c:v>
                </c:pt>
                <c:pt idx="122">
                  <c:v>717.74703386064709</c:v>
                </c:pt>
                <c:pt idx="123">
                  <c:v>717.74703386064709</c:v>
                </c:pt>
                <c:pt idx="124">
                  <c:v>717.74703386064709</c:v>
                </c:pt>
                <c:pt idx="125">
                  <c:v>717.74703386064709</c:v>
                </c:pt>
                <c:pt idx="126">
                  <c:v>717.74703386064709</c:v>
                </c:pt>
                <c:pt idx="127">
                  <c:v>717.74703386064709</c:v>
                </c:pt>
                <c:pt idx="128">
                  <c:v>717.74703386064709</c:v>
                </c:pt>
                <c:pt idx="129">
                  <c:v>717.74703386064709</c:v>
                </c:pt>
                <c:pt idx="130">
                  <c:v>717.74703386064709</c:v>
                </c:pt>
                <c:pt idx="131">
                  <c:v>717.74703386064709</c:v>
                </c:pt>
                <c:pt idx="132">
                  <c:v>717.74703386064709</c:v>
                </c:pt>
                <c:pt idx="133">
                  <c:v>717.74703386064709</c:v>
                </c:pt>
                <c:pt idx="134">
                  <c:v>717.74703386064709</c:v>
                </c:pt>
                <c:pt idx="135">
                  <c:v>717.74703386064709</c:v>
                </c:pt>
                <c:pt idx="136">
                  <c:v>717.74703386064709</c:v>
                </c:pt>
                <c:pt idx="137">
                  <c:v>717.74703386064709</c:v>
                </c:pt>
                <c:pt idx="138">
                  <c:v>717.74703386064709</c:v>
                </c:pt>
                <c:pt idx="139">
                  <c:v>717.74703386064709</c:v>
                </c:pt>
                <c:pt idx="140">
                  <c:v>717.74703386064709</c:v>
                </c:pt>
                <c:pt idx="141">
                  <c:v>717.74703386064709</c:v>
                </c:pt>
                <c:pt idx="142">
                  <c:v>717.74703386064709</c:v>
                </c:pt>
                <c:pt idx="143">
                  <c:v>717.74703386064709</c:v>
                </c:pt>
                <c:pt idx="144">
                  <c:v>717.74703386064709</c:v>
                </c:pt>
                <c:pt idx="145">
                  <c:v>717.74703386064709</c:v>
                </c:pt>
                <c:pt idx="146">
                  <c:v>717.74703386064709</c:v>
                </c:pt>
                <c:pt idx="147">
                  <c:v>717.74703386064709</c:v>
                </c:pt>
                <c:pt idx="148">
                  <c:v>717.74703386064709</c:v>
                </c:pt>
                <c:pt idx="149">
                  <c:v>717.74703386064709</c:v>
                </c:pt>
                <c:pt idx="150">
                  <c:v>717.74703386064709</c:v>
                </c:pt>
                <c:pt idx="151">
                  <c:v>717.74703386064709</c:v>
                </c:pt>
                <c:pt idx="152">
                  <c:v>717.74703386064709</c:v>
                </c:pt>
                <c:pt idx="153">
                  <c:v>717.74703386064709</c:v>
                </c:pt>
                <c:pt idx="154">
                  <c:v>717.74703386064709</c:v>
                </c:pt>
                <c:pt idx="155">
                  <c:v>717.74703386064709</c:v>
                </c:pt>
                <c:pt idx="156">
                  <c:v>717.74703386064709</c:v>
                </c:pt>
                <c:pt idx="157">
                  <c:v>717.74703386064709</c:v>
                </c:pt>
                <c:pt idx="158">
                  <c:v>717.74703386064709</c:v>
                </c:pt>
                <c:pt idx="159">
                  <c:v>717.74703386064709</c:v>
                </c:pt>
                <c:pt idx="160">
                  <c:v>717.74703386064709</c:v>
                </c:pt>
                <c:pt idx="161">
                  <c:v>717.74703386064709</c:v>
                </c:pt>
                <c:pt idx="162">
                  <c:v>717.74703386064709</c:v>
                </c:pt>
                <c:pt idx="163">
                  <c:v>717.74703386064709</c:v>
                </c:pt>
                <c:pt idx="164">
                  <c:v>717.74703386064709</c:v>
                </c:pt>
                <c:pt idx="165">
                  <c:v>717.74703386064709</c:v>
                </c:pt>
                <c:pt idx="166">
                  <c:v>717.74703386064709</c:v>
                </c:pt>
                <c:pt idx="167">
                  <c:v>717.74703386064709</c:v>
                </c:pt>
                <c:pt idx="168">
                  <c:v>717.74703386064709</c:v>
                </c:pt>
                <c:pt idx="169">
                  <c:v>717.74703386064709</c:v>
                </c:pt>
                <c:pt idx="170">
                  <c:v>717.74703386064709</c:v>
                </c:pt>
                <c:pt idx="171">
                  <c:v>717.74703386064709</c:v>
                </c:pt>
                <c:pt idx="172">
                  <c:v>717.74703386064709</c:v>
                </c:pt>
                <c:pt idx="173">
                  <c:v>717.74703386064709</c:v>
                </c:pt>
                <c:pt idx="174">
                  <c:v>717.74703386064709</c:v>
                </c:pt>
                <c:pt idx="175">
                  <c:v>717.74703386064709</c:v>
                </c:pt>
                <c:pt idx="176">
                  <c:v>717.74703386064709</c:v>
                </c:pt>
                <c:pt idx="177">
                  <c:v>717.74703386064709</c:v>
                </c:pt>
                <c:pt idx="178">
                  <c:v>717.74703386064709</c:v>
                </c:pt>
                <c:pt idx="179">
                  <c:v>717.74703386064709</c:v>
                </c:pt>
                <c:pt idx="180">
                  <c:v>717.74703386064709</c:v>
                </c:pt>
                <c:pt idx="181">
                  <c:v>717.74703386064709</c:v>
                </c:pt>
                <c:pt idx="182">
                  <c:v>717.74703386064709</c:v>
                </c:pt>
                <c:pt idx="183">
                  <c:v>717.74703386064709</c:v>
                </c:pt>
                <c:pt idx="184">
                  <c:v>717.74703386064709</c:v>
                </c:pt>
                <c:pt idx="185">
                  <c:v>717.74703386064709</c:v>
                </c:pt>
                <c:pt idx="186">
                  <c:v>717.74703386064709</c:v>
                </c:pt>
                <c:pt idx="187">
                  <c:v>717.74703386064709</c:v>
                </c:pt>
                <c:pt idx="188">
                  <c:v>717.74703386064709</c:v>
                </c:pt>
                <c:pt idx="189">
                  <c:v>717.74703386064709</c:v>
                </c:pt>
                <c:pt idx="190">
                  <c:v>717.74703386064709</c:v>
                </c:pt>
                <c:pt idx="191">
                  <c:v>717.74703386064709</c:v>
                </c:pt>
                <c:pt idx="192">
                  <c:v>717.74703386064709</c:v>
                </c:pt>
                <c:pt idx="193">
                  <c:v>717.74703386064709</c:v>
                </c:pt>
                <c:pt idx="194">
                  <c:v>717.74703386064709</c:v>
                </c:pt>
                <c:pt idx="195">
                  <c:v>717.74703386064709</c:v>
                </c:pt>
                <c:pt idx="196">
                  <c:v>717.74703386064709</c:v>
                </c:pt>
                <c:pt idx="197">
                  <c:v>717.74703386064709</c:v>
                </c:pt>
                <c:pt idx="198">
                  <c:v>717.74703386064709</c:v>
                </c:pt>
                <c:pt idx="199">
                  <c:v>717.74703386064709</c:v>
                </c:pt>
                <c:pt idx="200">
                  <c:v>717.74703386064709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3.1819451359760804</c:v>
                </c:pt>
                <c:pt idx="2">
                  <c:v>3.656109305716511</c:v>
                </c:pt>
                <c:pt idx="3">
                  <c:v>4.2011829671246952</c:v>
                </c:pt>
                <c:pt idx="4">
                  <c:v>4.8278057971168984</c:v>
                </c:pt>
                <c:pt idx="5">
                  <c:v>5.5482188958256557</c:v>
                </c:pt>
                <c:pt idx="6">
                  <c:v>6.3765065223829502</c:v>
                </c:pt>
                <c:pt idx="7">
                  <c:v>7.3288744185265209</c:v>
                </c:pt>
                <c:pt idx="8">
                  <c:v>8.4239702713758593</c:v>
                </c:pt>
                <c:pt idx="9">
                  <c:v>9.6832527109033055</c:v>
                </c:pt>
                <c:pt idx="10">
                  <c:v>11.131416210439065</c:v>
                </c:pt>
                <c:pt idx="11">
                  <c:v>12.796880379634004</c:v>
                </c:pt>
                <c:pt idx="12">
                  <c:v>14.712353431301258</c:v>
                </c:pt>
                <c:pt idx="13">
                  <c:v>16.915481092569816</c:v>
                </c:pt>
                <c:pt idx="14">
                  <c:v>19.44959394690628</c:v>
                </c:pt>
                <c:pt idx="15">
                  <c:v>22.364568171496231</c:v>
                </c:pt>
                <c:pt idx="16">
                  <c:v>25.717816914235161</c:v>
                </c:pt>
                <c:pt idx="17">
                  <c:v>29.575432182296421</c:v>
                </c:pt>
                <c:pt idx="18">
                  <c:v>34.01350014311933</c:v>
                </c:pt>
                <c:pt idx="19">
                  <c:v>39.119616230038474</c:v>
                </c:pt>
                <c:pt idx="20">
                  <c:v>44.994630469394743</c:v>
                </c:pt>
                <c:pt idx="21">
                  <c:v>51.754658085405374</c:v>
                </c:pt>
                <c:pt idx="22">
                  <c:v>59.533395787395996</c:v>
                </c:pt>
                <c:pt idx="23">
                  <c:v>68.484790309699278</c:v>
                </c:pt>
                <c:pt idx="24">
                  <c:v>78.786112882717092</c:v>
                </c:pt>
                <c:pt idx="25">
                  <c:v>90.641501508615093</c:v>
                </c:pt>
                <c:pt idx="26">
                  <c:v>104.28604236328397</c:v>
                </c:pt>
                <c:pt idx="27">
                  <c:v>119.99047253948687</c:v>
                </c:pt>
                <c:pt idx="28">
                  <c:v>138.06659890588131</c:v>
                </c:pt>
                <c:pt idx="29">
                  <c:v>158.87354233816845</c:v>
                </c:pt>
                <c:pt idx="30">
                  <c:v>182.82493327646776</c:v>
                </c:pt>
                <c:pt idx="31">
                  <c:v>201.84685611538552</c:v>
                </c:pt>
                <c:pt idx="32">
                  <c:v>220.82726053128741</c:v>
                </c:pt>
                <c:pt idx="33">
                  <c:v>239.77021745578165</c:v>
                </c:pt>
                <c:pt idx="34">
                  <c:v>258.67910150033248</c:v>
                </c:pt>
                <c:pt idx="35">
                  <c:v>277.5567533640438</c:v>
                </c:pt>
                <c:pt idx="36">
                  <c:v>296.40559565562575</c:v>
                </c:pt>
                <c:pt idx="37">
                  <c:v>315.22771766699071</c:v>
                </c:pt>
                <c:pt idx="38">
                  <c:v>334.02493881671637</c:v>
                </c:pt>
                <c:pt idx="39">
                  <c:v>352.79885705310761</c:v>
                </c:pt>
                <c:pt idx="40">
                  <c:v>371.5508864092555</c:v>
                </c:pt>
                <c:pt idx="41">
                  <c:v>390.28228657711185</c:v>
                </c:pt>
                <c:pt idx="42">
                  <c:v>408.99418650594731</c:v>
                </c:pt>
                <c:pt idx="43">
                  <c:v>331.55643252593001</c:v>
                </c:pt>
                <c:pt idx="44">
                  <c:v>354.75272515526984</c:v>
                </c:pt>
                <c:pt idx="45">
                  <c:v>377.91580371194624</c:v>
                </c:pt>
                <c:pt idx="46">
                  <c:v>401.04798866828725</c:v>
                </c:pt>
                <c:pt idx="47">
                  <c:v>424.15131110662765</c:v>
                </c:pt>
                <c:pt idx="48">
                  <c:v>447.22756292942751</c:v>
                </c:pt>
                <c:pt idx="49">
                  <c:v>470.27833616446878</c:v>
                </c:pt>
                <c:pt idx="50">
                  <c:v>493.30505416244182</c:v>
                </c:pt>
                <c:pt idx="51">
                  <c:v>434.31819044355854</c:v>
                </c:pt>
                <c:pt idx="52">
                  <c:v>457.77988353774339</c:v>
                </c:pt>
                <c:pt idx="53">
                  <c:v>481.2159067681323</c:v>
                </c:pt>
                <c:pt idx="54">
                  <c:v>504.62768494297961</c:v>
                </c:pt>
                <c:pt idx="55">
                  <c:v>528.01649999840402</c:v>
                </c:pt>
                <c:pt idx="56">
                  <c:v>551.38351114626744</c:v>
                </c:pt>
                <c:pt idx="57">
                  <c:v>574.72977143049877</c:v>
                </c:pt>
                <c:pt idx="58">
                  <c:v>598.05624145479942</c:v>
                </c:pt>
                <c:pt idx="59">
                  <c:v>516.86951201653949</c:v>
                </c:pt>
                <c:pt idx="60">
                  <c:v>539.39523897525862</c:v>
                </c:pt>
                <c:pt idx="61">
                  <c:v>561.90121023682639</c:v>
                </c:pt>
                <c:pt idx="62">
                  <c:v>584.38832761339597</c:v>
                </c:pt>
                <c:pt idx="63">
                  <c:v>606.85741792448368</c:v>
                </c:pt>
                <c:pt idx="64">
                  <c:v>629.30924183461252</c:v>
                </c:pt>
                <c:pt idx="65">
                  <c:v>651.74450136511894</c:v>
                </c:pt>
                <c:pt idx="66">
                  <c:v>674.16384631870358</c:v>
                </c:pt>
                <c:pt idx="67">
                  <c:v>580.58986881560872</c:v>
                </c:pt>
                <c:pt idx="68">
                  <c:v>601.9387652412513</c:v>
                </c:pt>
                <c:pt idx="69">
                  <c:v>623.27193359951696</c:v>
                </c:pt>
                <c:pt idx="70">
                  <c:v>644.58998744265102</c:v>
                </c:pt>
                <c:pt idx="71">
                  <c:v>665.89349647315339</c:v>
                </c:pt>
                <c:pt idx="72">
                  <c:v>687.18299100842671</c:v>
                </c:pt>
                <c:pt idx="73">
                  <c:v>708.45896586388778</c:v>
                </c:pt>
                <c:pt idx="74">
                  <c:v>729.72188374581526</c:v>
                </c:pt>
                <c:pt idx="75">
                  <c:v>641.83586896908184</c:v>
                </c:pt>
                <c:pt idx="76">
                  <c:v>662.88944126039769</c:v>
                </c:pt>
                <c:pt idx="77">
                  <c:v>683.92925765899929</c:v>
                </c:pt>
                <c:pt idx="78">
                  <c:v>704.95580044718827</c:v>
                </c:pt>
                <c:pt idx="79">
                  <c:v>725.96952082404948</c:v>
                </c:pt>
                <c:pt idx="80">
                  <c:v>746.97084176855776</c:v>
                </c:pt>
                <c:pt idx="81">
                  <c:v>767.96016056429244</c:v>
                </c:pt>
                <c:pt idx="82">
                  <c:v>788.93785103409027</c:v>
                </c:pt>
                <c:pt idx="83">
                  <c:v>809.90426552493693</c:v>
                </c:pt>
                <c:pt idx="84">
                  <c:v>830.85973667687711</c:v>
                </c:pt>
                <c:pt idx="85">
                  <c:v>709.77586228469147</c:v>
                </c:pt>
                <c:pt idx="86">
                  <c:v>729.63467733719244</c:v>
                </c:pt>
                <c:pt idx="87">
                  <c:v>749.48247948010805</c:v>
                </c:pt>
                <c:pt idx="88">
                  <c:v>769.31960109850718</c:v>
                </c:pt>
                <c:pt idx="89">
                  <c:v>789.14635605831018</c:v>
                </c:pt>
                <c:pt idx="90">
                  <c:v>808.96304118681144</c:v>
                </c:pt>
                <c:pt idx="91">
                  <c:v>828.76993760075936</c:v>
                </c:pt>
                <c:pt idx="92">
                  <c:v>848.56731190102403</c:v>
                </c:pt>
                <c:pt idx="93">
                  <c:v>868.35541725011569</c:v>
                </c:pt>
                <c:pt idx="94">
                  <c:v>888.13449434650511</c:v>
                </c:pt>
                <c:pt idx="95">
                  <c:v>765.76156909524707</c:v>
                </c:pt>
                <c:pt idx="96">
                  <c:v>784.99666697658097</c:v>
                </c:pt>
                <c:pt idx="97">
                  <c:v>804.22223182095149</c:v>
                </c:pt>
                <c:pt idx="98">
                  <c:v>823.43852335436225</c:v>
                </c:pt>
                <c:pt idx="99">
                  <c:v>842.64578820663166</c:v>
                </c:pt>
                <c:pt idx="100">
                  <c:v>861.84426086120857</c:v>
                </c:pt>
                <c:pt idx="101">
                  <c:v>881.03416451606529</c:v>
                </c:pt>
                <c:pt idx="102">
                  <c:v>900.21571186577557</c:v>
                </c:pt>
                <c:pt idx="103">
                  <c:v>919.38910581355924</c:v>
                </c:pt>
                <c:pt idx="104">
                  <c:v>938.55454012091661</c:v>
                </c:pt>
                <c:pt idx="105">
                  <c:v>819.81441333595774</c:v>
                </c:pt>
                <c:pt idx="106">
                  <c:v>838.7098467103757</c:v>
                </c:pt>
                <c:pt idx="107">
                  <c:v>857.59672705337914</c:v>
                </c:pt>
                <c:pt idx="108">
                  <c:v>876.47526903063078</c:v>
                </c:pt>
                <c:pt idx="109">
                  <c:v>895.34567731790605</c:v>
                </c:pt>
                <c:pt idx="110">
                  <c:v>914.20814727097741</c:v>
                </c:pt>
                <c:pt idx="111">
                  <c:v>933.06286553740983</c:v>
                </c:pt>
                <c:pt idx="112">
                  <c:v>951.91001061639997</c:v>
                </c:pt>
                <c:pt idx="113">
                  <c:v>970.7497533720333</c:v>
                </c:pt>
                <c:pt idx="114">
                  <c:v>989.58225750468102</c:v>
                </c:pt>
                <c:pt idx="115">
                  <c:v>880.58378314934464</c:v>
                </c:pt>
                <c:pt idx="116">
                  <c:v>899.63983661165219</c:v>
                </c:pt>
                <c:pt idx="117">
                  <c:v>918.68783732534121</c:v>
                </c:pt>
                <c:pt idx="118">
                  <c:v>937.72797555507793</c:v>
                </c:pt>
                <c:pt idx="119">
                  <c:v>956.76043321942109</c:v>
                </c:pt>
                <c:pt idx="120">
                  <c:v>975.78538441900582</c:v>
                </c:pt>
                <c:pt idx="121">
                  <c:v>994.80299592144968</c:v>
                </c:pt>
                <c:pt idx="122">
                  <c:v>1013.8134276073032</c:v>
                </c:pt>
                <c:pt idx="123">
                  <c:v>1032.8168328808658</c:v>
                </c:pt>
                <c:pt idx="124">
                  <c:v>1051.813359049235</c:v>
                </c:pt>
                <c:pt idx="125">
                  <c:v>951.39640779236004</c:v>
                </c:pt>
                <c:pt idx="126">
                  <c:v>970.78398006523605</c:v>
                </c:pt>
                <c:pt idx="127">
                  <c:v>990.16388696885031</c:v>
                </c:pt>
                <c:pt idx="128">
                  <c:v>1009.5362994533684</c:v>
                </c:pt>
                <c:pt idx="129">
                  <c:v>1028.9013813826498</c:v>
                </c:pt>
                <c:pt idx="130">
                  <c:v>1048.2592899585013</c:v>
                </c:pt>
                <c:pt idx="131">
                  <c:v>1067.6101761120144</c:v>
                </c:pt>
                <c:pt idx="132">
                  <c:v>1086.9541848650949</c:v>
                </c:pt>
                <c:pt idx="133">
                  <c:v>1106.2914556649628</c:v>
                </c:pt>
                <c:pt idx="134">
                  <c:v>1125.6221226940827</c:v>
                </c:pt>
                <c:pt idx="135">
                  <c:v>1019.9799828042309</c:v>
                </c:pt>
                <c:pt idx="136">
                  <c:v>1039.4915718307705</c:v>
                </c:pt>
                <c:pt idx="137">
                  <c:v>1058.9959602156316</c:v>
                </c:pt>
                <c:pt idx="138">
                  <c:v>1078.4932990600203</c:v>
                </c:pt>
                <c:pt idx="139">
                  <c:v>1097.9837335647856</c:v>
                </c:pt>
                <c:pt idx="140">
                  <c:v>1117.4674033635574</c:v>
                </c:pt>
                <c:pt idx="141">
                  <c:v>1136.9444428314853</c:v>
                </c:pt>
                <c:pt idx="142">
                  <c:v>1156.4149813717493</c:v>
                </c:pt>
                <c:pt idx="143">
                  <c:v>1175.8791436818117</c:v>
                </c:pt>
                <c:pt idx="144">
                  <c:v>1195.3370500011472</c:v>
                </c:pt>
                <c:pt idx="145">
                  <c:v>1087.8557531003703</c:v>
                </c:pt>
                <c:pt idx="146">
                  <c:v>1107.7867158748838</c:v>
                </c:pt>
                <c:pt idx="147">
                  <c:v>1127.7106736307117</c:v>
                </c:pt>
                <c:pt idx="148">
                  <c:v>1147.6277673640363</c:v>
                </c:pt>
                <c:pt idx="149">
                  <c:v>1167.5381327860473</c:v>
                </c:pt>
                <c:pt idx="150">
                  <c:v>1187.4419006095786</c:v>
                </c:pt>
                <c:pt idx="151">
                  <c:v>1207.3391968155609</c:v>
                </c:pt>
                <c:pt idx="152">
                  <c:v>1227.2301429010301</c:v>
                </c:pt>
                <c:pt idx="153">
                  <c:v>1247.1148561102434</c:v>
                </c:pt>
                <c:pt idx="154">
                  <c:v>1266.9934496503233</c:v>
                </c:pt>
                <c:pt idx="155">
                  <c:v>1161.9586259528271</c:v>
                </c:pt>
                <c:pt idx="156">
                  <c:v>1182.1824481869596</c:v>
                </c:pt>
                <c:pt idx="157">
                  <c:v>1202.3995562798411</c:v>
                </c:pt>
                <c:pt idx="158">
                  <c:v>1222.6100788324079</c:v>
                </c:pt>
                <c:pt idx="159">
                  <c:v>1242.8141398545961</c:v>
                </c:pt>
                <c:pt idx="160">
                  <c:v>1263.0118590026862</c:v>
                </c:pt>
                <c:pt idx="161">
                  <c:v>1283.2033518007074</c:v>
                </c:pt>
                <c:pt idx="162">
                  <c:v>1303.3887298472023</c:v>
                </c:pt>
                <c:pt idx="163">
                  <c:v>1323.5681010085434</c:v>
                </c:pt>
                <c:pt idx="164">
                  <c:v>1343.7415695998716</c:v>
                </c:pt>
                <c:pt idx="165">
                  <c:v>1228.9109086551341</c:v>
                </c:pt>
                <c:pt idx="166">
                  <c:v>1249.2991651028776</c:v>
                </c:pt>
                <c:pt idx="167">
                  <c:v>1269.6810004406459</c:v>
                </c:pt>
                <c:pt idx="168">
                  <c:v>1290.0565320803951</c:v>
                </c:pt>
                <c:pt idx="169">
                  <c:v>1310.4258734295238</c:v>
                </c:pt>
                <c:pt idx="170">
                  <c:v>1330.7891340888102</c:v>
                </c:pt>
                <c:pt idx="171">
                  <c:v>1351.1464200376247</c:v>
                </c:pt>
                <c:pt idx="172">
                  <c:v>1371.497833807427</c:v>
                </c:pt>
                <c:pt idx="173">
                  <c:v>1391.8434746444457</c:v>
                </c:pt>
                <c:pt idx="174">
                  <c:v>1412.1834386623705</c:v>
                </c:pt>
                <c:pt idx="175">
                  <c:v>918.63986743018438</c:v>
                </c:pt>
                <c:pt idx="176">
                  <c:v>913.45425542817964</c:v>
                </c:pt>
                <c:pt idx="177">
                  <c:v>908.26805676486958</c:v>
                </c:pt>
                <c:pt idx="178">
                  <c:v>642.54225340285336</c:v>
                </c:pt>
                <c:pt idx="179">
                  <c:v>640.86255076052453</c:v>
                </c:pt>
                <c:pt idx="180">
                  <c:v>639.18275719466931</c:v>
                </c:pt>
                <c:pt idx="181">
                  <c:v>457.92471694363616</c:v>
                </c:pt>
                <c:pt idx="182">
                  <c:v>456.09395059528691</c:v>
                </c:pt>
                <c:pt idx="183">
                  <c:v>454.26302720294365</c:v>
                </c:pt>
                <c:pt idx="184">
                  <c:v>54.453502594312759</c:v>
                </c:pt>
                <c:pt idx="185">
                  <c:v>54.453502594312759</c:v>
                </c:pt>
                <c:pt idx="186">
                  <c:v>54.453502594312759</c:v>
                </c:pt>
                <c:pt idx="187">
                  <c:v>54.453502594312759</c:v>
                </c:pt>
                <c:pt idx="188">
                  <c:v>54.453502594312759</c:v>
                </c:pt>
                <c:pt idx="189">
                  <c:v>54.453502594312759</c:v>
                </c:pt>
                <c:pt idx="190">
                  <c:v>54.453502594312759</c:v>
                </c:pt>
                <c:pt idx="191">
                  <c:v>54.453502594312759</c:v>
                </c:pt>
                <c:pt idx="192">
                  <c:v>54.453502594312759</c:v>
                </c:pt>
                <c:pt idx="193">
                  <c:v>54.453502594312759</c:v>
                </c:pt>
                <c:pt idx="194">
                  <c:v>54.453502594312759</c:v>
                </c:pt>
                <c:pt idx="195">
                  <c:v>54.453502594312759</c:v>
                </c:pt>
                <c:pt idx="196">
                  <c:v>54.453502594312759</c:v>
                </c:pt>
                <c:pt idx="197">
                  <c:v>54.453502594312759</c:v>
                </c:pt>
                <c:pt idx="198">
                  <c:v>54.453502594312759</c:v>
                </c:pt>
                <c:pt idx="199">
                  <c:v>54.453502594312759</c:v>
                </c:pt>
                <c:pt idx="200">
                  <c:v>54.453502594312759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91" zoomScaleNormal="100" workbookViewId="0">
      <selection activeCell="H171" sqref="H171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6.6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325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36</v>
      </c>
      <c r="C9" s="264">
        <v>0.18787878787878792</v>
      </c>
      <c r="D9" s="33">
        <f t="shared" ref="D9:D18" si="0">C9*$C$5</f>
        <v>1.2400000000000002</v>
      </c>
      <c r="E9" s="265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14</v>
      </c>
      <c r="C10" s="264">
        <v>4.6969696969696981E-2</v>
      </c>
      <c r="D10" s="33">
        <f t="shared" si="0"/>
        <v>0.31000000000000005</v>
      </c>
      <c r="E10" s="265">
        <v>159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326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 t="s">
        <v>39</v>
      </c>
      <c r="C11" s="264">
        <v>0.17575757575757575</v>
      </c>
      <c r="D11" s="33">
        <f t="shared" si="0"/>
        <v>1.1599999999999999</v>
      </c>
      <c r="E11" s="265">
        <v>150</v>
      </c>
      <c r="F11" s="35" t="str">
        <f t="array" ref="F11">IF(E11="","",IF(INDEX(A:A,MAX(IF(ISNUMBER($A$88:$A$107),ROW($A$88:$A$107),"")))&lt;&gt;E11,"Corrigez : révolution incorrecte","OK"))</f>
        <v>OK</v>
      </c>
      <c r="G11" s="23" t="s">
        <v>326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 t="s">
        <v>16</v>
      </c>
      <c r="C12" s="264">
        <v>0.11651515151515153</v>
      </c>
      <c r="D12" s="33">
        <f t="shared" si="0"/>
        <v>0.76900000000000002</v>
      </c>
      <c r="E12" s="265">
        <v>183</v>
      </c>
      <c r="F12" s="35" t="str">
        <f t="array" ref="F12">IF(E12="","",IF(INDEX(A:A,MAX(IF(ISNUMBER($A$114:$A$133),ROW($A$114:$A$133),"")))&lt;&gt;E12,"Corrigez : révolution incorrecte","OK"))</f>
        <v>OK</v>
      </c>
      <c r="G12" s="23" t="s">
        <v>326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36</v>
      </c>
      <c r="C13" s="32">
        <v>0.29212121212121217</v>
      </c>
      <c r="D13" s="33">
        <f t="shared" si="0"/>
        <v>1.9280000000000002</v>
      </c>
      <c r="E13" s="34">
        <v>30</v>
      </c>
      <c r="F13" s="35" t="str">
        <f t="array" ref="F13">IF(E13="","",IF(INDEX(A:A,MAX(IF(ISNUMBER($A$140:$A$159),ROW($A$140:$A$159),"")))&lt;&gt;E13,"Corrigez : révolution incorrecte","OK"))</f>
        <v>OK</v>
      </c>
      <c r="G13" s="23" t="s">
        <v>326</v>
      </c>
      <c r="H13" s="23" t="s">
        <v>324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44</v>
      </c>
      <c r="C14" s="32">
        <v>0.14424242424242426</v>
      </c>
      <c r="D14" s="33">
        <f t="shared" si="0"/>
        <v>0.95200000000000007</v>
      </c>
      <c r="E14" s="34">
        <v>45</v>
      </c>
      <c r="F14" s="35" t="str">
        <f t="array" ref="F14">IF(E14="","",IF(INDEX(A:A,MAX(IF(ISNUMBER($A$166:$A$185),ROW($A$166:$A$185),"")))&lt;&gt;E14,"Corrigez : révolution incorrecte","OK"))</f>
        <v>OK</v>
      </c>
      <c r="G14" s="23" t="s">
        <v>326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10</v>
      </c>
      <c r="C15" s="32">
        <v>3.6515151515151521E-2</v>
      </c>
      <c r="D15" s="33">
        <f t="shared" si="0"/>
        <v>0.24100000000000002</v>
      </c>
      <c r="E15" s="34">
        <v>183</v>
      </c>
      <c r="F15" s="35" t="str">
        <f t="array" ref="F15">IF(E15="","",IF(INDEX(A:A,MAX(IF(ISNUMBER($A$192:$A$211),ROW($A$192:$A$211),"")))&lt;&gt;E15,"Corrigez : révolution incorrecte","OK"))</f>
        <v>OK</v>
      </c>
      <c r="G15" s="23" t="s">
        <v>325</v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1.0000000000000002</v>
      </c>
      <c r="D19" s="38">
        <f>SUM(D9:D18)</f>
        <v>6.6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11</v>
      </c>
      <c r="B36" s="259">
        <v>83</v>
      </c>
      <c r="C36" s="259"/>
      <c r="D36" s="259"/>
      <c r="E36" s="260"/>
      <c r="F36" s="260"/>
      <c r="G36" s="260"/>
      <c r="H36" s="260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12</v>
      </c>
      <c r="B37" s="259">
        <v>106</v>
      </c>
      <c r="C37" s="259">
        <v>1</v>
      </c>
      <c r="D37" s="259">
        <v>34</v>
      </c>
      <c r="E37" s="260"/>
      <c r="F37" s="260"/>
      <c r="G37" s="260">
        <v>1</v>
      </c>
      <c r="H37" s="260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13</v>
      </c>
      <c r="B38" s="259">
        <v>89</v>
      </c>
      <c r="C38" s="259"/>
      <c r="D38" s="259"/>
      <c r="E38" s="260"/>
      <c r="F38" s="260"/>
      <c r="G38" s="260"/>
      <c r="H38" s="260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14</v>
      </c>
      <c r="B39" s="259">
        <v>110</v>
      </c>
      <c r="C39" s="259"/>
      <c r="D39" s="259"/>
      <c r="E39" s="260"/>
      <c r="F39" s="260"/>
      <c r="G39" s="260"/>
      <c r="H39" s="260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15</v>
      </c>
      <c r="B40" s="259">
        <v>131</v>
      </c>
      <c r="C40" s="259"/>
      <c r="D40" s="259"/>
      <c r="E40" s="260"/>
      <c r="F40" s="260"/>
      <c r="G40" s="260"/>
      <c r="H40" s="260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16</v>
      </c>
      <c r="B41" s="259">
        <v>153</v>
      </c>
      <c r="C41" s="259"/>
      <c r="D41" s="259"/>
      <c r="E41" s="260"/>
      <c r="F41" s="260"/>
      <c r="G41" s="260"/>
      <c r="H41" s="260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17</v>
      </c>
      <c r="B42" s="259">
        <v>176</v>
      </c>
      <c r="C42" s="259">
        <v>2</v>
      </c>
      <c r="D42" s="259">
        <v>43</v>
      </c>
      <c r="E42" s="260">
        <v>0.25</v>
      </c>
      <c r="F42" s="260">
        <v>0.75</v>
      </c>
      <c r="G42" s="260"/>
      <c r="H42" s="260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18</v>
      </c>
      <c r="B43" s="259">
        <v>151</v>
      </c>
      <c r="C43" s="259"/>
      <c r="D43" s="259"/>
      <c r="E43" s="260"/>
      <c r="F43" s="260"/>
      <c r="G43" s="260"/>
      <c r="H43" s="260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19</v>
      </c>
      <c r="B44" s="259">
        <v>171</v>
      </c>
      <c r="C44" s="259"/>
      <c r="D44" s="259"/>
      <c r="E44" s="260"/>
      <c r="F44" s="260"/>
      <c r="G44" s="260"/>
      <c r="H44" s="260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>
        <v>20</v>
      </c>
      <c r="B45" s="261">
        <v>192</v>
      </c>
      <c r="C45" s="259"/>
      <c r="D45" s="261"/>
      <c r="E45" s="260"/>
      <c r="F45" s="260"/>
      <c r="G45" s="260"/>
      <c r="H45" s="260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>
        <v>21</v>
      </c>
      <c r="B46" s="262">
        <v>212</v>
      </c>
      <c r="C46" s="259"/>
      <c r="D46" s="262"/>
      <c r="E46" s="260"/>
      <c r="F46" s="260"/>
      <c r="G46" s="260"/>
      <c r="H46" s="260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>
        <v>22</v>
      </c>
      <c r="B47" s="261">
        <v>232</v>
      </c>
      <c r="C47" s="259">
        <v>3</v>
      </c>
      <c r="D47" s="261">
        <v>56</v>
      </c>
      <c r="E47" s="260">
        <v>0.6</v>
      </c>
      <c r="F47" s="260">
        <v>0.4</v>
      </c>
      <c r="G47" s="260"/>
      <c r="H47" s="260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>
        <v>23</v>
      </c>
      <c r="B48" s="261">
        <v>192</v>
      </c>
      <c r="C48" s="259"/>
      <c r="D48" s="261"/>
      <c r="E48" s="260"/>
      <c r="F48" s="260"/>
      <c r="G48" s="260"/>
      <c r="H48" s="260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>
        <v>24</v>
      </c>
      <c r="B49" s="261">
        <v>209</v>
      </c>
      <c r="C49" s="259"/>
      <c r="D49" s="261"/>
      <c r="E49" s="260"/>
      <c r="F49" s="260"/>
      <c r="G49" s="260"/>
      <c r="H49" s="260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>
        <v>25</v>
      </c>
      <c r="B50" s="261">
        <v>226</v>
      </c>
      <c r="C50" s="261"/>
      <c r="D50" s="261"/>
      <c r="E50" s="260"/>
      <c r="F50" s="260"/>
      <c r="G50" s="260"/>
      <c r="H50" s="260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>
        <v>26</v>
      </c>
      <c r="B51" s="261">
        <v>244</v>
      </c>
      <c r="C51" s="261"/>
      <c r="D51" s="261"/>
      <c r="E51" s="260"/>
      <c r="F51" s="260"/>
      <c r="G51" s="260"/>
      <c r="H51" s="260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>
        <v>27</v>
      </c>
      <c r="B52" s="261">
        <v>261</v>
      </c>
      <c r="C52" s="261"/>
      <c r="D52" s="261"/>
      <c r="E52" s="260"/>
      <c r="F52" s="260"/>
      <c r="G52" s="260"/>
      <c r="H52" s="260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>
        <v>28</v>
      </c>
      <c r="B53" s="261">
        <v>277</v>
      </c>
      <c r="C53" s="261"/>
      <c r="D53" s="261"/>
      <c r="E53" s="260"/>
      <c r="F53" s="260"/>
      <c r="G53" s="260"/>
      <c r="H53" s="260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>
        <v>29</v>
      </c>
      <c r="B54" s="261">
        <v>293</v>
      </c>
      <c r="C54" s="261"/>
      <c r="D54" s="261"/>
      <c r="E54" s="260"/>
      <c r="F54" s="260"/>
      <c r="G54" s="260"/>
      <c r="H54" s="260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>
        <v>30</v>
      </c>
      <c r="B55" s="261">
        <v>309</v>
      </c>
      <c r="C55" s="261">
        <v>4</v>
      </c>
      <c r="D55" s="261">
        <v>309</v>
      </c>
      <c r="E55" s="260">
        <v>1</v>
      </c>
      <c r="F55" s="260"/>
      <c r="G55" s="260"/>
      <c r="H55" s="260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sessile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30</v>
      </c>
      <c r="B62" s="261">
        <v>108.4230769</v>
      </c>
      <c r="C62" s="261"/>
      <c r="D62" s="261"/>
      <c r="E62" s="260"/>
      <c r="F62" s="260"/>
      <c r="G62" s="260"/>
      <c r="H62" s="260"/>
      <c r="I62" s="53">
        <f>IFERROR(B62/A62,"")</f>
        <v>3.6141025633333332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34</v>
      </c>
      <c r="B63" s="261">
        <v>173.04</v>
      </c>
      <c r="C63" s="261">
        <v>1</v>
      </c>
      <c r="D63" s="261">
        <v>35.450000000000003</v>
      </c>
      <c r="E63" s="260">
        <v>1</v>
      </c>
      <c r="F63" s="260"/>
      <c r="G63" s="260"/>
      <c r="H63" s="260"/>
      <c r="I63" s="49">
        <f>IF(A63&lt;&gt;0,(B63-(B62-D62))/(A63-A62),"")</f>
        <v>16.154230774999998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42</v>
      </c>
      <c r="B64" s="261">
        <v>248.01</v>
      </c>
      <c r="C64" s="261">
        <v>2</v>
      </c>
      <c r="D64" s="261">
        <v>55.41</v>
      </c>
      <c r="E64" s="260">
        <v>1</v>
      </c>
      <c r="F64" s="260"/>
      <c r="G64" s="260"/>
      <c r="H64" s="260"/>
      <c r="I64" s="49">
        <f>IF(A64&lt;&gt;0,(B64-(B63-D63))/(A64-A63),"")</f>
        <v>13.802500000000002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50</v>
      </c>
      <c r="B65" s="261">
        <v>304.72000000000003</v>
      </c>
      <c r="C65" s="261">
        <v>3</v>
      </c>
      <c r="D65" s="261">
        <v>66.62</v>
      </c>
      <c r="E65" s="260">
        <v>1</v>
      </c>
      <c r="F65" s="260"/>
      <c r="G65" s="260"/>
      <c r="H65" s="260"/>
      <c r="I65" s="49">
        <f>IF(A65&lt;&gt;0,(B65-(B64-D64))/(A65-A64),"")</f>
        <v>14.015000000000004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58</v>
      </c>
      <c r="B66" s="261">
        <v>346.58</v>
      </c>
      <c r="C66" s="261">
        <v>4</v>
      </c>
      <c r="D66" s="261">
        <v>62.16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13.559999999999995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66</v>
      </c>
      <c r="B67" s="261">
        <v>388.92</v>
      </c>
      <c r="C67" s="261">
        <v>5</v>
      </c>
      <c r="D67" s="261">
        <v>71.34</v>
      </c>
      <c r="E67" s="260">
        <v>1</v>
      </c>
      <c r="F67" s="260"/>
      <c r="G67" s="260"/>
      <c r="H67" s="260"/>
      <c r="I67" s="49">
        <f t="shared" si="2"/>
        <v>13.062500000000007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74</v>
      </c>
      <c r="B68" s="261">
        <v>414.8</v>
      </c>
      <c r="C68" s="261">
        <v>6</v>
      </c>
      <c r="D68" s="261">
        <v>70.209999999999994</v>
      </c>
      <c r="E68" s="260">
        <v>1</v>
      </c>
      <c r="F68" s="260"/>
      <c r="G68" s="260"/>
      <c r="H68" s="260"/>
      <c r="I68" s="49">
        <f t="shared" si="2"/>
        <v>12.152499999999996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82</v>
      </c>
      <c r="B69" s="261">
        <v>436.17</v>
      </c>
      <c r="C69" s="261">
        <v>7</v>
      </c>
      <c r="D69" s="261">
        <v>53.92</v>
      </c>
      <c r="E69" s="260">
        <v>1</v>
      </c>
      <c r="F69" s="260"/>
      <c r="G69" s="260"/>
      <c r="H69" s="260"/>
      <c r="I69" s="49">
        <f t="shared" si="2"/>
        <v>11.447499999999998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90</v>
      </c>
      <c r="B70" s="261">
        <v>471.37</v>
      </c>
      <c r="C70" s="261">
        <v>8</v>
      </c>
      <c r="D70" s="261">
        <v>63.25</v>
      </c>
      <c r="E70" s="260">
        <v>1</v>
      </c>
      <c r="F70" s="260"/>
      <c r="G70" s="260"/>
      <c r="H70" s="260"/>
      <c r="I70" s="49">
        <f t="shared" si="2"/>
        <v>11.14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100</v>
      </c>
      <c r="B71" s="261">
        <v>515.66999999999996</v>
      </c>
      <c r="C71" s="261">
        <v>9</v>
      </c>
      <c r="D71" s="261">
        <v>85.23</v>
      </c>
      <c r="E71" s="260">
        <v>1</v>
      </c>
      <c r="F71" s="260"/>
      <c r="G71" s="260"/>
      <c r="H71" s="260"/>
      <c r="I71" s="49">
        <f t="shared" si="2"/>
        <v>10.754999999999995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110</v>
      </c>
      <c r="B72" s="261">
        <v>531.04</v>
      </c>
      <c r="C72" s="261">
        <v>10</v>
      </c>
      <c r="D72" s="261">
        <v>67.22</v>
      </c>
      <c r="E72" s="260">
        <v>1</v>
      </c>
      <c r="F72" s="260"/>
      <c r="G72" s="260"/>
      <c r="H72" s="260"/>
      <c r="I72" s="49">
        <f t="shared" si="2"/>
        <v>10.060000000000002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120</v>
      </c>
      <c r="B73" s="261">
        <v>565</v>
      </c>
      <c r="C73" s="261">
        <v>11</v>
      </c>
      <c r="D73" s="261">
        <v>60.46</v>
      </c>
      <c r="E73" s="260">
        <v>1</v>
      </c>
      <c r="F73" s="260"/>
      <c r="G73" s="260"/>
      <c r="H73" s="260"/>
      <c r="I73" s="49">
        <f t="shared" si="2"/>
        <v>10.118000000000006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>
        <v>130</v>
      </c>
      <c r="B74" s="261">
        <v>606.41</v>
      </c>
      <c r="C74" s="261">
        <v>12</v>
      </c>
      <c r="D74" s="261">
        <v>69</v>
      </c>
      <c r="E74" s="260">
        <v>1</v>
      </c>
      <c r="F74" s="260"/>
      <c r="G74" s="260"/>
      <c r="H74" s="260"/>
      <c r="I74" s="49">
        <f t="shared" si="2"/>
        <v>10.186999999999994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>
        <v>140</v>
      </c>
      <c r="B75" s="261">
        <v>639.04999999999995</v>
      </c>
      <c r="C75" s="261">
        <v>13</v>
      </c>
      <c r="D75" s="261">
        <v>67.930000000000007</v>
      </c>
      <c r="E75" s="260">
        <v>1</v>
      </c>
      <c r="F75" s="260"/>
      <c r="G75" s="260"/>
      <c r="H75" s="260"/>
      <c r="I75" s="49">
        <f t="shared" si="2"/>
        <v>10.163999999999998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>
        <v>150</v>
      </c>
      <c r="B76" s="261">
        <v>673.13</v>
      </c>
      <c r="C76" s="261">
        <v>14</v>
      </c>
      <c r="D76" s="261">
        <v>234.51</v>
      </c>
      <c r="E76" s="260">
        <v>1</v>
      </c>
      <c r="F76" s="260"/>
      <c r="G76" s="260"/>
      <c r="H76" s="260"/>
      <c r="I76" s="49">
        <f t="shared" si="2"/>
        <v>10.201000000000011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>
        <v>153</v>
      </c>
      <c r="B77" s="257">
        <v>434.97</v>
      </c>
      <c r="C77" s="256">
        <v>15</v>
      </c>
      <c r="D77" s="256">
        <v>141.22</v>
      </c>
      <c r="E77" s="255">
        <v>1</v>
      </c>
      <c r="F77" s="255"/>
      <c r="G77" s="255"/>
      <c r="H77" s="255"/>
      <c r="I77" s="49">
        <f t="shared" si="2"/>
        <v>-1.216666666666659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>
        <v>156</v>
      </c>
      <c r="B78" s="257">
        <v>290.93</v>
      </c>
      <c r="C78" s="256">
        <v>16</v>
      </c>
      <c r="D78" s="256">
        <v>87.28</v>
      </c>
      <c r="E78" s="255">
        <v>1</v>
      </c>
      <c r="F78" s="255"/>
      <c r="G78" s="255"/>
      <c r="H78" s="255"/>
      <c r="I78" s="49">
        <f t="shared" si="2"/>
        <v>-0.93999999999999773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>
        <v>159</v>
      </c>
      <c r="B79" s="257">
        <v>201.48</v>
      </c>
      <c r="C79" s="256">
        <v>17</v>
      </c>
      <c r="D79" s="256">
        <v>180.6</v>
      </c>
      <c r="E79" s="255">
        <v>1</v>
      </c>
      <c r="F79" s="255"/>
      <c r="G79" s="255"/>
      <c r="H79" s="255"/>
      <c r="I79" s="49">
        <f t="shared" si="2"/>
        <v>-0.7233333333333386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pignon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>
        <v>10</v>
      </c>
      <c r="B88" s="261">
        <v>21.6</v>
      </c>
      <c r="C88" s="261">
        <v>1</v>
      </c>
      <c r="D88" s="261">
        <v>3.9</v>
      </c>
      <c r="E88" s="260"/>
      <c r="F88" s="260"/>
      <c r="G88" s="260">
        <v>1</v>
      </c>
      <c r="H88" s="260"/>
      <c r="I88" s="53">
        <f>IFERROR(B88/A88,"")</f>
        <v>2.16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>
        <v>20</v>
      </c>
      <c r="B89" s="261">
        <v>53.3</v>
      </c>
      <c r="C89" s="261">
        <v>2</v>
      </c>
      <c r="D89" s="261">
        <v>8.9</v>
      </c>
      <c r="E89" s="260"/>
      <c r="F89" s="260">
        <v>1</v>
      </c>
      <c r="G89" s="260"/>
      <c r="H89" s="260"/>
      <c r="I89" s="53">
        <f t="shared" ref="I89:I107" si="3">IF(A89&lt;&gt;0,(B89-(B88-D88))/(A89-A88),"")</f>
        <v>3.5599999999999996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>
        <v>30</v>
      </c>
      <c r="B90" s="261">
        <v>79.8</v>
      </c>
      <c r="C90" s="261">
        <v>3</v>
      </c>
      <c r="D90" s="261">
        <v>12</v>
      </c>
      <c r="E90" s="260"/>
      <c r="F90" s="260">
        <v>1</v>
      </c>
      <c r="G90" s="260"/>
      <c r="H90" s="260"/>
      <c r="I90" s="53">
        <f t="shared" si="3"/>
        <v>3.54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>
        <v>40</v>
      </c>
      <c r="B91" s="261">
        <v>99.9</v>
      </c>
      <c r="C91" s="261">
        <v>4</v>
      </c>
      <c r="D91" s="261">
        <v>14.5</v>
      </c>
      <c r="E91" s="260">
        <v>1</v>
      </c>
      <c r="F91" s="260"/>
      <c r="G91" s="260"/>
      <c r="H91" s="260"/>
      <c r="I91" s="53">
        <f t="shared" si="3"/>
        <v>3.2100000000000009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>
        <v>50</v>
      </c>
      <c r="B92" s="261">
        <v>114.7</v>
      </c>
      <c r="C92" s="261">
        <v>5</v>
      </c>
      <c r="D92" s="261">
        <v>15.1</v>
      </c>
      <c r="E92" s="260">
        <v>1</v>
      </c>
      <c r="F92" s="260"/>
      <c r="G92" s="260"/>
      <c r="H92" s="260"/>
      <c r="I92" s="53">
        <f t="shared" si="3"/>
        <v>2.9299999999999997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>
        <v>60</v>
      </c>
      <c r="B93" s="261">
        <v>125.4</v>
      </c>
      <c r="C93" s="261">
        <v>6</v>
      </c>
      <c r="D93" s="261">
        <v>16.100000000000001</v>
      </c>
      <c r="E93" s="260">
        <v>1</v>
      </c>
      <c r="F93" s="260"/>
      <c r="G93" s="260"/>
      <c r="H93" s="260"/>
      <c r="I93" s="53">
        <f t="shared" si="3"/>
        <v>2.5799999999999996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>
        <v>70</v>
      </c>
      <c r="B94" s="261">
        <v>133.19999999999999</v>
      </c>
      <c r="C94" s="261">
        <v>7</v>
      </c>
      <c r="D94" s="261">
        <v>15.7</v>
      </c>
      <c r="E94" s="260">
        <v>1</v>
      </c>
      <c r="F94" s="260"/>
      <c r="G94" s="260"/>
      <c r="H94" s="260"/>
      <c r="I94" s="53">
        <f t="shared" si="3"/>
        <v>2.3899999999999979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>
        <v>80</v>
      </c>
      <c r="B95" s="261">
        <v>138.80000000000001</v>
      </c>
      <c r="C95" s="261">
        <v>8</v>
      </c>
      <c r="D95" s="261">
        <v>16.100000000000001</v>
      </c>
      <c r="E95" s="260">
        <v>1</v>
      </c>
      <c r="F95" s="260"/>
      <c r="G95" s="260"/>
      <c r="H95" s="260"/>
      <c r="I95" s="53">
        <f t="shared" si="3"/>
        <v>2.1300000000000026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>
        <v>90</v>
      </c>
      <c r="B96" s="261">
        <v>142.80000000000001</v>
      </c>
      <c r="C96" s="261">
        <v>9</v>
      </c>
      <c r="D96" s="261">
        <v>15.4</v>
      </c>
      <c r="E96" s="260">
        <v>1</v>
      </c>
      <c r="F96" s="260"/>
      <c r="G96" s="260"/>
      <c r="H96" s="260"/>
      <c r="I96" s="53">
        <f t="shared" si="3"/>
        <v>2.0099999999999993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>
        <v>100</v>
      </c>
      <c r="B97" s="261">
        <v>145.6</v>
      </c>
      <c r="C97" s="261">
        <v>10</v>
      </c>
      <c r="D97" s="261">
        <v>14.6</v>
      </c>
      <c r="E97" s="260">
        <v>1</v>
      </c>
      <c r="F97" s="260"/>
      <c r="G97" s="260"/>
      <c r="H97" s="260"/>
      <c r="I97" s="53">
        <f t="shared" si="3"/>
        <v>1.819999999999999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>
        <v>110</v>
      </c>
      <c r="B98" s="261">
        <v>147.5</v>
      </c>
      <c r="C98" s="261">
        <v>11</v>
      </c>
      <c r="D98" s="261">
        <v>13.9</v>
      </c>
      <c r="E98" s="260">
        <v>1</v>
      </c>
      <c r="F98" s="260"/>
      <c r="G98" s="260"/>
      <c r="H98" s="260"/>
      <c r="I98" s="53">
        <f t="shared" si="3"/>
        <v>1.65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>
        <v>120</v>
      </c>
      <c r="B99" s="261">
        <v>148.80000000000001</v>
      </c>
      <c r="C99" s="261">
        <v>12</v>
      </c>
      <c r="D99" s="261">
        <v>13.2</v>
      </c>
      <c r="E99" s="260">
        <v>1</v>
      </c>
      <c r="F99" s="260"/>
      <c r="G99" s="260"/>
      <c r="H99" s="260"/>
      <c r="I99" s="53">
        <f t="shared" si="3"/>
        <v>1.5200000000000018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>
        <v>130</v>
      </c>
      <c r="B100" s="261">
        <v>149.5</v>
      </c>
      <c r="C100" s="261">
        <v>13</v>
      </c>
      <c r="D100" s="261">
        <v>12.5</v>
      </c>
      <c r="E100" s="260">
        <v>1</v>
      </c>
      <c r="F100" s="260"/>
      <c r="G100" s="260"/>
      <c r="H100" s="260"/>
      <c r="I100" s="53">
        <f t="shared" si="3"/>
        <v>1.3899999999999977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>
        <v>140</v>
      </c>
      <c r="B101" s="261">
        <v>149.80000000000001</v>
      </c>
      <c r="C101" s="261">
        <v>14</v>
      </c>
      <c r="D101" s="261">
        <v>11.8</v>
      </c>
      <c r="E101" s="260">
        <v>1</v>
      </c>
      <c r="F101" s="260"/>
      <c r="G101" s="260"/>
      <c r="H101" s="260"/>
      <c r="I101" s="53">
        <f t="shared" si="3"/>
        <v>1.2800000000000011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>
        <v>150</v>
      </c>
      <c r="B102" s="261">
        <v>149.9</v>
      </c>
      <c r="C102" s="261"/>
      <c r="D102" s="261"/>
      <c r="E102" s="260"/>
      <c r="F102" s="260"/>
      <c r="G102" s="260"/>
      <c r="H102" s="260"/>
      <c r="I102" s="53">
        <f t="shared" si="3"/>
        <v>1.1900000000000006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vert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>
        <v>30</v>
      </c>
      <c r="B114" s="261">
        <v>75.346153849999993</v>
      </c>
      <c r="C114" s="261"/>
      <c r="D114" s="261"/>
      <c r="E114" s="260"/>
      <c r="F114" s="260"/>
      <c r="G114" s="260"/>
      <c r="H114" s="260"/>
      <c r="I114" s="53">
        <f>IFERROR(B114/A114,"")</f>
        <v>2.5115384616666665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>
        <v>42</v>
      </c>
      <c r="B115" s="261">
        <v>171.96</v>
      </c>
      <c r="C115" s="261">
        <v>1</v>
      </c>
      <c r="D115" s="261">
        <v>43.21</v>
      </c>
      <c r="E115" s="260">
        <v>1</v>
      </c>
      <c r="F115" s="260"/>
      <c r="G115" s="260"/>
      <c r="H115" s="260"/>
      <c r="I115" s="53">
        <f t="shared" ref="I115:I133" si="4">IF(A115&lt;&gt;0,(B115-(B114-D114))/(A115-A114),"")</f>
        <v>8.0511538458333352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>
        <v>50</v>
      </c>
      <c r="B116" s="261">
        <v>208.33</v>
      </c>
      <c r="C116" s="261">
        <v>2</v>
      </c>
      <c r="D116" s="261">
        <v>35.58</v>
      </c>
      <c r="E116" s="260">
        <v>1</v>
      </c>
      <c r="F116" s="260"/>
      <c r="G116" s="260"/>
      <c r="H116" s="260"/>
      <c r="I116" s="53">
        <f t="shared" si="4"/>
        <v>9.9475000000000016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>
        <v>58</v>
      </c>
      <c r="B117" s="261">
        <v>253.7</v>
      </c>
      <c r="C117" s="261">
        <v>3</v>
      </c>
      <c r="D117" s="261">
        <v>44.93</v>
      </c>
      <c r="E117" s="260">
        <v>1</v>
      </c>
      <c r="F117" s="260"/>
      <c r="G117" s="260"/>
      <c r="H117" s="260"/>
      <c r="I117" s="53">
        <f t="shared" si="4"/>
        <v>10.118749999999999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>
        <v>66</v>
      </c>
      <c r="B118" s="261">
        <v>286.77</v>
      </c>
      <c r="C118" s="261">
        <v>4</v>
      </c>
      <c r="D118" s="261">
        <v>49.91</v>
      </c>
      <c r="E118" s="260">
        <v>1</v>
      </c>
      <c r="F118" s="260"/>
      <c r="G118" s="260"/>
      <c r="H118" s="260"/>
      <c r="I118" s="53">
        <f t="shared" si="4"/>
        <v>9.75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>
        <v>74</v>
      </c>
      <c r="B119" s="261">
        <v>310.95999999999998</v>
      </c>
      <c r="C119" s="261">
        <v>5</v>
      </c>
      <c r="D119" s="261">
        <v>47.4</v>
      </c>
      <c r="E119" s="260">
        <v>1</v>
      </c>
      <c r="F119" s="260"/>
      <c r="G119" s="260"/>
      <c r="H119" s="260"/>
      <c r="I119" s="53">
        <f t="shared" si="4"/>
        <v>9.2624999999999993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>
        <v>84</v>
      </c>
      <c r="B120" s="261">
        <v>355.09</v>
      </c>
      <c r="C120" s="261">
        <v>6</v>
      </c>
      <c r="D120" s="261">
        <v>61.47</v>
      </c>
      <c r="E120" s="260">
        <v>1</v>
      </c>
      <c r="F120" s="260"/>
      <c r="G120" s="260"/>
      <c r="H120" s="260"/>
      <c r="I120" s="53">
        <f t="shared" si="4"/>
        <v>9.1529999999999969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>
        <v>94</v>
      </c>
      <c r="B121" s="261">
        <v>380.13</v>
      </c>
      <c r="C121" s="261">
        <v>7</v>
      </c>
      <c r="D121" s="261">
        <v>61.85</v>
      </c>
      <c r="E121" s="260">
        <v>1</v>
      </c>
      <c r="F121" s="260"/>
      <c r="G121" s="260"/>
      <c r="H121" s="260"/>
      <c r="I121" s="53">
        <f t="shared" si="4"/>
        <v>8.6509999999999998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>
        <v>104</v>
      </c>
      <c r="B122" s="261">
        <v>402.2</v>
      </c>
      <c r="C122" s="261">
        <v>8</v>
      </c>
      <c r="D122" s="261">
        <v>60.19</v>
      </c>
      <c r="E122" s="260">
        <v>1</v>
      </c>
      <c r="F122" s="260"/>
      <c r="G122" s="260"/>
      <c r="H122" s="260"/>
      <c r="I122" s="53">
        <f t="shared" si="4"/>
        <v>8.3920000000000012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>
        <v>114</v>
      </c>
      <c r="B123" s="261">
        <v>424.56</v>
      </c>
      <c r="C123" s="261">
        <v>9</v>
      </c>
      <c r="D123" s="261">
        <v>56.07</v>
      </c>
      <c r="E123" s="260">
        <v>1</v>
      </c>
      <c r="F123" s="260"/>
      <c r="G123" s="260"/>
      <c r="H123" s="260"/>
      <c r="I123" s="53">
        <f t="shared" si="4"/>
        <v>8.2550000000000008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>
        <v>124</v>
      </c>
      <c r="B124" s="261">
        <v>451.86</v>
      </c>
      <c r="C124" s="261">
        <v>10</v>
      </c>
      <c r="D124" s="261">
        <v>52.53</v>
      </c>
      <c r="E124" s="260">
        <v>1</v>
      </c>
      <c r="F124" s="260"/>
      <c r="G124" s="260"/>
      <c r="H124" s="260"/>
      <c r="I124" s="53">
        <f t="shared" si="4"/>
        <v>8.3369999999999997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>
        <v>134</v>
      </c>
      <c r="B125" s="261">
        <v>484.28</v>
      </c>
      <c r="C125" s="261">
        <v>11</v>
      </c>
      <c r="D125" s="261">
        <v>54.95</v>
      </c>
      <c r="E125" s="260">
        <v>1</v>
      </c>
      <c r="F125" s="260"/>
      <c r="G125" s="260"/>
      <c r="H125" s="260"/>
      <c r="I125" s="53">
        <f t="shared" si="4"/>
        <v>8.4949999999999939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>
        <v>144</v>
      </c>
      <c r="B126" s="261">
        <v>514.94000000000005</v>
      </c>
      <c r="C126" s="261">
        <v>12</v>
      </c>
      <c r="D126" s="261">
        <v>56.01</v>
      </c>
      <c r="E126" s="260">
        <v>1</v>
      </c>
      <c r="F126" s="260"/>
      <c r="G126" s="260"/>
      <c r="H126" s="260"/>
      <c r="I126" s="53">
        <f t="shared" si="4"/>
        <v>8.561000000000007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>
        <v>154</v>
      </c>
      <c r="B127" s="261">
        <v>546.49</v>
      </c>
      <c r="C127" s="261">
        <v>13</v>
      </c>
      <c r="D127" s="261">
        <v>55.13</v>
      </c>
      <c r="E127" s="260">
        <v>1</v>
      </c>
      <c r="F127" s="260"/>
      <c r="G127" s="260"/>
      <c r="H127" s="260"/>
      <c r="I127" s="53">
        <f t="shared" si="4"/>
        <v>8.7559999999999949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>
        <v>164</v>
      </c>
      <c r="B128" s="261">
        <v>580.32000000000005</v>
      </c>
      <c r="C128" s="261">
        <v>14</v>
      </c>
      <c r="D128" s="261">
        <v>59.58</v>
      </c>
      <c r="E128" s="260">
        <v>1</v>
      </c>
      <c r="F128" s="260"/>
      <c r="G128" s="260"/>
      <c r="H128" s="260"/>
      <c r="I128" s="53">
        <f t="shared" si="4"/>
        <v>8.8960000000000043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>
        <v>174</v>
      </c>
      <c r="B129" s="261">
        <v>610.52</v>
      </c>
      <c r="C129" s="261">
        <v>15</v>
      </c>
      <c r="D129" s="261">
        <v>214.77</v>
      </c>
      <c r="E129" s="260">
        <v>1</v>
      </c>
      <c r="F129" s="260"/>
      <c r="G129" s="260"/>
      <c r="H129" s="260"/>
      <c r="I129" s="53">
        <f t="shared" si="4"/>
        <v>8.977999999999998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>
        <v>177</v>
      </c>
      <c r="B130" s="261">
        <v>388.94</v>
      </c>
      <c r="C130" s="261">
        <v>16</v>
      </c>
      <c r="D130" s="261">
        <v>115.19</v>
      </c>
      <c r="E130" s="260">
        <v>1</v>
      </c>
      <c r="F130" s="260"/>
      <c r="G130" s="260"/>
      <c r="H130" s="260"/>
      <c r="I130" s="53">
        <f t="shared" si="4"/>
        <v>-2.2700000000000009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>
        <v>180</v>
      </c>
      <c r="B131" s="261">
        <v>271.56</v>
      </c>
      <c r="C131" s="261">
        <v>17</v>
      </c>
      <c r="D131" s="261">
        <v>77.72</v>
      </c>
      <c r="E131" s="260">
        <v>1</v>
      </c>
      <c r="F131" s="260"/>
      <c r="G131" s="260"/>
      <c r="H131" s="260"/>
      <c r="I131" s="53">
        <f t="shared" si="4"/>
        <v>-0.72999999999999921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>
        <v>183</v>
      </c>
      <c r="B132" s="261">
        <v>191.47</v>
      </c>
      <c r="C132" s="261">
        <v>18</v>
      </c>
      <c r="D132" s="261">
        <v>169.76</v>
      </c>
      <c r="E132" s="260">
        <v>1</v>
      </c>
      <c r="F132" s="260"/>
      <c r="G132" s="260"/>
      <c r="H132" s="260"/>
      <c r="I132" s="53">
        <f t="shared" si="4"/>
        <v>-0.79000000000000148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Pin maritime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11</v>
      </c>
      <c r="B140" s="60">
        <v>83</v>
      </c>
      <c r="C140" s="50"/>
      <c r="D140" s="60"/>
      <c r="E140" s="51"/>
      <c r="F140" s="51"/>
      <c r="G140" s="51"/>
      <c r="H140" s="51"/>
      <c r="I140" s="57">
        <f>IFERROR(B140/A140,"")</f>
        <v>7.5454545454545459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12</v>
      </c>
      <c r="B141" s="60">
        <v>106</v>
      </c>
      <c r="C141" s="50">
        <v>1</v>
      </c>
      <c r="D141" s="60">
        <v>34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23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13</v>
      </c>
      <c r="B142" s="60">
        <v>89</v>
      </c>
      <c r="C142" s="50"/>
      <c r="D142" s="60"/>
      <c r="E142" s="51"/>
      <c r="F142" s="51"/>
      <c r="G142" s="51"/>
      <c r="H142" s="51"/>
      <c r="I142" s="57">
        <f t="shared" si="5"/>
        <v>17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14</v>
      </c>
      <c r="B143" s="60">
        <v>110</v>
      </c>
      <c r="C143" s="50"/>
      <c r="D143" s="60"/>
      <c r="E143" s="51"/>
      <c r="F143" s="51"/>
      <c r="G143" s="51"/>
      <c r="H143" s="51"/>
      <c r="I143" s="57">
        <f t="shared" si="5"/>
        <v>21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15</v>
      </c>
      <c r="B144" s="60">
        <v>131</v>
      </c>
      <c r="C144" s="50"/>
      <c r="D144" s="60"/>
      <c r="E144" s="51"/>
      <c r="F144" s="51"/>
      <c r="G144" s="51"/>
      <c r="H144" s="51"/>
      <c r="I144" s="57">
        <f t="shared" si="5"/>
        <v>21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16</v>
      </c>
      <c r="B145" s="60">
        <v>153</v>
      </c>
      <c r="C145" s="50"/>
      <c r="D145" s="60"/>
      <c r="E145" s="51"/>
      <c r="F145" s="51"/>
      <c r="G145" s="51"/>
      <c r="H145" s="51"/>
      <c r="I145" s="57">
        <f t="shared" si="5"/>
        <v>22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17</v>
      </c>
      <c r="B146" s="60">
        <v>176</v>
      </c>
      <c r="C146" s="50">
        <v>2</v>
      </c>
      <c r="D146" s="60">
        <v>43</v>
      </c>
      <c r="E146" s="51"/>
      <c r="F146" s="51">
        <v>1</v>
      </c>
      <c r="G146" s="51"/>
      <c r="H146" s="51"/>
      <c r="I146" s="57">
        <f t="shared" si="5"/>
        <v>23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18</v>
      </c>
      <c r="B147" s="60">
        <v>151</v>
      </c>
      <c r="C147" s="50"/>
      <c r="D147" s="60"/>
      <c r="E147" s="51"/>
      <c r="F147" s="51"/>
      <c r="G147" s="51"/>
      <c r="H147" s="51"/>
      <c r="I147" s="57">
        <f>IF(A147&lt;&gt;0,(B147-(B146-D146))/(A147-A146),"")</f>
        <v>18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19</v>
      </c>
      <c r="B148" s="60">
        <v>171</v>
      </c>
      <c r="C148" s="50"/>
      <c r="D148" s="60"/>
      <c r="E148" s="51"/>
      <c r="F148" s="51"/>
      <c r="G148" s="51"/>
      <c r="H148" s="51"/>
      <c r="I148" s="57">
        <f t="shared" si="5"/>
        <v>20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20</v>
      </c>
      <c r="B149" s="60">
        <v>192</v>
      </c>
      <c r="C149" s="50"/>
      <c r="D149" s="60"/>
      <c r="E149" s="51"/>
      <c r="F149" s="51"/>
      <c r="G149" s="51"/>
      <c r="H149" s="51"/>
      <c r="I149" s="57">
        <f t="shared" si="5"/>
        <v>21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21</v>
      </c>
      <c r="B150" s="60">
        <v>212</v>
      </c>
      <c r="C150" s="50"/>
      <c r="D150" s="60"/>
      <c r="E150" s="51"/>
      <c r="F150" s="51"/>
      <c r="G150" s="51"/>
      <c r="H150" s="51"/>
      <c r="I150" s="57">
        <f t="shared" si="5"/>
        <v>20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22</v>
      </c>
      <c r="B151" s="60">
        <v>232</v>
      </c>
      <c r="C151" s="50">
        <v>3</v>
      </c>
      <c r="D151" s="60">
        <v>56</v>
      </c>
      <c r="E151" s="51"/>
      <c r="F151" s="51">
        <v>1</v>
      </c>
      <c r="G151" s="51"/>
      <c r="H151" s="51"/>
      <c r="I151" s="57">
        <f t="shared" si="5"/>
        <v>20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23</v>
      </c>
      <c r="B152" s="60">
        <v>192</v>
      </c>
      <c r="C152" s="50"/>
      <c r="D152" s="60"/>
      <c r="E152" s="54"/>
      <c r="F152" s="54"/>
      <c r="G152" s="54"/>
      <c r="H152" s="54"/>
      <c r="I152" s="57">
        <f t="shared" si="5"/>
        <v>16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24</v>
      </c>
      <c r="B153" s="60">
        <v>209</v>
      </c>
      <c r="C153" s="50"/>
      <c r="D153" s="60"/>
      <c r="E153" s="54"/>
      <c r="F153" s="54"/>
      <c r="G153" s="54"/>
      <c r="H153" s="54"/>
      <c r="I153" s="57">
        <f t="shared" si="5"/>
        <v>17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25</v>
      </c>
      <c r="B154" s="56">
        <v>226</v>
      </c>
      <c r="C154" s="50"/>
      <c r="D154" s="50"/>
      <c r="E154" s="54"/>
      <c r="F154" s="54"/>
      <c r="G154" s="54"/>
      <c r="H154" s="54"/>
      <c r="I154" s="57">
        <f t="shared" si="5"/>
        <v>17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>
        <v>26</v>
      </c>
      <c r="B155" s="56">
        <v>244</v>
      </c>
      <c r="C155" s="50"/>
      <c r="D155" s="50"/>
      <c r="E155" s="54"/>
      <c r="F155" s="54"/>
      <c r="G155" s="54"/>
      <c r="H155" s="54"/>
      <c r="I155" s="57">
        <f t="shared" si="5"/>
        <v>18</v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>
        <v>27</v>
      </c>
      <c r="B156" s="56">
        <v>261</v>
      </c>
      <c r="C156" s="50"/>
      <c r="D156" s="50"/>
      <c r="E156" s="54"/>
      <c r="F156" s="54"/>
      <c r="G156" s="54"/>
      <c r="H156" s="54"/>
      <c r="I156" s="57">
        <f t="shared" si="5"/>
        <v>17</v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>
        <v>28</v>
      </c>
      <c r="B157" s="56">
        <v>277</v>
      </c>
      <c r="C157" s="50"/>
      <c r="D157" s="50"/>
      <c r="E157" s="54"/>
      <c r="F157" s="54"/>
      <c r="G157" s="54"/>
      <c r="H157" s="54"/>
      <c r="I157" s="57">
        <f t="shared" si="5"/>
        <v>16</v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>
        <v>29</v>
      </c>
      <c r="B158" s="56">
        <v>293</v>
      </c>
      <c r="C158" s="50"/>
      <c r="D158" s="50"/>
      <c r="E158" s="54"/>
      <c r="F158" s="54"/>
      <c r="G158" s="54"/>
      <c r="H158" s="54"/>
      <c r="I158" s="57">
        <f t="shared" si="5"/>
        <v>16</v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>
        <v>30</v>
      </c>
      <c r="B159" s="56">
        <v>309</v>
      </c>
      <c r="C159" s="50">
        <v>4</v>
      </c>
      <c r="D159" s="58">
        <v>309</v>
      </c>
      <c r="E159" s="54"/>
      <c r="F159" s="54">
        <v>1</v>
      </c>
      <c r="G159" s="54"/>
      <c r="H159" s="54"/>
      <c r="I159" s="57">
        <f t="shared" si="5"/>
        <v>16</v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Robinier faux-acacia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5</v>
      </c>
      <c r="B166" s="60">
        <v>41</v>
      </c>
      <c r="C166" s="60">
        <v>1</v>
      </c>
      <c r="D166" s="60">
        <v>8</v>
      </c>
      <c r="E166" s="51"/>
      <c r="F166" s="51"/>
      <c r="G166" s="51"/>
      <c r="H166" s="51">
        <v>1</v>
      </c>
      <c r="I166" s="49">
        <f>IFERROR(B166/A166,"")</f>
        <v>8.1999999999999993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10</v>
      </c>
      <c r="B167" s="60">
        <v>121</v>
      </c>
      <c r="C167" s="60">
        <v>2</v>
      </c>
      <c r="D167" s="60">
        <v>37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17.600000000000001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15</v>
      </c>
      <c r="B168" s="60">
        <v>170</v>
      </c>
      <c r="C168" s="60">
        <v>3</v>
      </c>
      <c r="D168" s="60">
        <v>29</v>
      </c>
      <c r="E168" s="51"/>
      <c r="F168" s="51"/>
      <c r="G168" s="51"/>
      <c r="H168" s="51">
        <v>1</v>
      </c>
      <c r="I168" s="49">
        <f t="shared" si="6"/>
        <v>17.2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20</v>
      </c>
      <c r="B169" s="60">
        <v>217</v>
      </c>
      <c r="C169" s="60">
        <v>4</v>
      </c>
      <c r="D169" s="60">
        <v>23</v>
      </c>
      <c r="E169" s="51"/>
      <c r="F169" s="51"/>
      <c r="G169" s="51"/>
      <c r="H169" s="51">
        <v>1</v>
      </c>
      <c r="I169" s="49">
        <f t="shared" si="6"/>
        <v>15.2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25</v>
      </c>
      <c r="B170" s="60">
        <v>259</v>
      </c>
      <c r="C170" s="60">
        <v>5</v>
      </c>
      <c r="D170" s="60">
        <v>18</v>
      </c>
      <c r="E170" s="51"/>
      <c r="F170" s="51"/>
      <c r="G170" s="51"/>
      <c r="H170" s="51">
        <v>1</v>
      </c>
      <c r="I170" s="49">
        <f t="shared" si="6"/>
        <v>13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30</v>
      </c>
      <c r="B171" s="60">
        <v>294</v>
      </c>
      <c r="C171" s="60">
        <v>6</v>
      </c>
      <c r="D171" s="60">
        <v>14</v>
      </c>
      <c r="E171" s="51"/>
      <c r="F171" s="51"/>
      <c r="G171" s="51"/>
      <c r="H171" s="51">
        <v>1</v>
      </c>
      <c r="I171" s="49">
        <f t="shared" si="6"/>
        <v>10.6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35</v>
      </c>
      <c r="B172" s="60">
        <v>323</v>
      </c>
      <c r="C172" s="60">
        <v>7</v>
      </c>
      <c r="D172" s="60">
        <v>11</v>
      </c>
      <c r="E172" s="51">
        <v>1</v>
      </c>
      <c r="F172" s="51"/>
      <c r="G172" s="51"/>
      <c r="H172" s="51"/>
      <c r="I172" s="49">
        <f t="shared" si="6"/>
        <v>8.6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40</v>
      </c>
      <c r="B173" s="50">
        <v>350</v>
      </c>
      <c r="C173" s="50">
        <v>8</v>
      </c>
      <c r="D173" s="50">
        <v>9</v>
      </c>
      <c r="E173" s="51">
        <v>1</v>
      </c>
      <c r="F173" s="51"/>
      <c r="G173" s="51"/>
      <c r="H173" s="51"/>
      <c r="I173" s="49">
        <f t="shared" si="6"/>
        <v>7.6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45</v>
      </c>
      <c r="B174" s="50">
        <v>378</v>
      </c>
      <c r="C174" s="50">
        <v>9</v>
      </c>
      <c r="D174" s="50">
        <v>9</v>
      </c>
      <c r="E174" s="51">
        <v>1</v>
      </c>
      <c r="F174" s="51"/>
      <c r="G174" s="51"/>
      <c r="H174" s="51"/>
      <c r="I174" s="49">
        <f t="shared" si="6"/>
        <v>7.4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Chêne-liège</v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30</v>
      </c>
      <c r="B192" s="60">
        <v>75.346153849999993</v>
      </c>
      <c r="C192" s="60"/>
      <c r="D192" s="60"/>
      <c r="E192" s="51"/>
      <c r="F192" s="51"/>
      <c r="G192" s="51"/>
      <c r="H192" s="51"/>
      <c r="I192" s="49">
        <f>IFERROR(B192/A192,"")</f>
        <v>2.5115384616666665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42</v>
      </c>
      <c r="B193" s="60">
        <v>171.96</v>
      </c>
      <c r="C193" s="60">
        <v>1</v>
      </c>
      <c r="D193" s="60">
        <v>43.21</v>
      </c>
      <c r="E193" s="51">
        <v>1</v>
      </c>
      <c r="F193" s="51"/>
      <c r="G193" s="51"/>
      <c r="H193" s="51"/>
      <c r="I193" s="49">
        <f t="shared" ref="I193:I211" si="7">IF(A193&lt;&gt;0,(B193-(B192-D192))/(A193-A192),"")</f>
        <v>8.0511538458333352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50</v>
      </c>
      <c r="B194" s="60">
        <v>208.33</v>
      </c>
      <c r="C194" s="60">
        <v>2</v>
      </c>
      <c r="D194" s="60">
        <v>35.58</v>
      </c>
      <c r="E194" s="51">
        <v>1</v>
      </c>
      <c r="F194" s="51"/>
      <c r="G194" s="51"/>
      <c r="H194" s="51"/>
      <c r="I194" s="49">
        <f t="shared" si="7"/>
        <v>9.9475000000000016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58</v>
      </c>
      <c r="B195" s="60">
        <v>253.7</v>
      </c>
      <c r="C195" s="60">
        <v>3</v>
      </c>
      <c r="D195" s="60">
        <v>44.93</v>
      </c>
      <c r="E195" s="51">
        <v>1</v>
      </c>
      <c r="F195" s="51"/>
      <c r="G195" s="51"/>
      <c r="H195" s="51"/>
      <c r="I195" s="49">
        <f t="shared" si="7"/>
        <v>10.118749999999999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66</v>
      </c>
      <c r="B196" s="60">
        <v>286.77</v>
      </c>
      <c r="C196" s="60">
        <v>4</v>
      </c>
      <c r="D196" s="60">
        <v>49.91</v>
      </c>
      <c r="E196" s="51">
        <v>1</v>
      </c>
      <c r="F196" s="51"/>
      <c r="G196" s="51"/>
      <c r="H196" s="51"/>
      <c r="I196" s="49">
        <f t="shared" si="7"/>
        <v>9.75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74</v>
      </c>
      <c r="B197" s="60">
        <v>310.95999999999998</v>
      </c>
      <c r="C197" s="60">
        <v>5</v>
      </c>
      <c r="D197" s="60">
        <v>47.4</v>
      </c>
      <c r="E197" s="51">
        <v>1</v>
      </c>
      <c r="F197" s="51"/>
      <c r="G197" s="51"/>
      <c r="H197" s="51"/>
      <c r="I197" s="49">
        <f t="shared" si="7"/>
        <v>9.2624999999999993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84</v>
      </c>
      <c r="B198" s="60">
        <v>355.09</v>
      </c>
      <c r="C198" s="60">
        <v>6</v>
      </c>
      <c r="D198" s="60">
        <v>61.47</v>
      </c>
      <c r="E198" s="51">
        <v>1</v>
      </c>
      <c r="F198" s="51"/>
      <c r="G198" s="51"/>
      <c r="H198" s="51"/>
      <c r="I198" s="49">
        <f t="shared" si="7"/>
        <v>9.1529999999999969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94</v>
      </c>
      <c r="B199" s="50">
        <v>380.13</v>
      </c>
      <c r="C199" s="50">
        <v>7</v>
      </c>
      <c r="D199" s="50">
        <v>61.85</v>
      </c>
      <c r="E199" s="51">
        <v>1</v>
      </c>
      <c r="F199" s="51"/>
      <c r="G199" s="51"/>
      <c r="H199" s="51"/>
      <c r="I199" s="49">
        <f t="shared" si="7"/>
        <v>8.6509999999999998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>
        <v>104</v>
      </c>
      <c r="B200" s="50">
        <v>402.2</v>
      </c>
      <c r="C200" s="50">
        <v>8</v>
      </c>
      <c r="D200" s="50">
        <v>60.19</v>
      </c>
      <c r="E200" s="51">
        <v>1</v>
      </c>
      <c r="F200" s="51"/>
      <c r="G200" s="51"/>
      <c r="H200" s="51"/>
      <c r="I200" s="49">
        <f t="shared" si="7"/>
        <v>8.3920000000000012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>
        <v>114</v>
      </c>
      <c r="B201" s="50">
        <v>424.56</v>
      </c>
      <c r="C201" s="50">
        <v>9</v>
      </c>
      <c r="D201" s="50">
        <v>56.07</v>
      </c>
      <c r="E201" s="51">
        <v>1</v>
      </c>
      <c r="F201" s="51"/>
      <c r="G201" s="51"/>
      <c r="H201" s="51"/>
      <c r="I201" s="49">
        <f t="shared" si="7"/>
        <v>8.2550000000000008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>
        <v>124</v>
      </c>
      <c r="B202" s="50">
        <v>451.86</v>
      </c>
      <c r="C202" s="50">
        <v>10</v>
      </c>
      <c r="D202" s="50">
        <v>52.53</v>
      </c>
      <c r="E202" s="51">
        <v>1</v>
      </c>
      <c r="F202" s="51"/>
      <c r="G202" s="51"/>
      <c r="H202" s="51"/>
      <c r="I202" s="49">
        <f t="shared" si="7"/>
        <v>8.3369999999999997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>
        <v>134</v>
      </c>
      <c r="B203" s="50">
        <v>484.28</v>
      </c>
      <c r="C203" s="50">
        <v>11</v>
      </c>
      <c r="D203" s="50">
        <v>54.95</v>
      </c>
      <c r="E203" s="51">
        <v>1</v>
      </c>
      <c r="F203" s="51"/>
      <c r="G203" s="51"/>
      <c r="H203" s="51"/>
      <c r="I203" s="49">
        <f t="shared" si="7"/>
        <v>8.4949999999999939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>
        <v>144</v>
      </c>
      <c r="B204" s="50">
        <v>514.94000000000005</v>
      </c>
      <c r="C204" s="50">
        <v>12</v>
      </c>
      <c r="D204" s="50">
        <v>56.01</v>
      </c>
      <c r="E204" s="51">
        <v>1</v>
      </c>
      <c r="F204" s="51"/>
      <c r="G204" s="51"/>
      <c r="H204" s="51"/>
      <c r="I204" s="49">
        <f t="shared" si="7"/>
        <v>8.561000000000007</v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>
        <v>154</v>
      </c>
      <c r="B205" s="50">
        <v>546.49</v>
      </c>
      <c r="C205" s="50">
        <v>13</v>
      </c>
      <c r="D205" s="50">
        <v>55.13</v>
      </c>
      <c r="E205" s="51">
        <v>1</v>
      </c>
      <c r="F205" s="51"/>
      <c r="G205" s="51"/>
      <c r="H205" s="51"/>
      <c r="I205" s="49">
        <f t="shared" si="7"/>
        <v>8.7559999999999949</v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>
        <v>164</v>
      </c>
      <c r="B206" s="50">
        <v>580.32000000000005</v>
      </c>
      <c r="C206" s="50">
        <v>14</v>
      </c>
      <c r="D206" s="50">
        <v>59.58</v>
      </c>
      <c r="E206" s="51">
        <v>1</v>
      </c>
      <c r="F206" s="51"/>
      <c r="G206" s="51"/>
      <c r="H206" s="51"/>
      <c r="I206" s="49">
        <f t="shared" si="7"/>
        <v>8.8960000000000043</v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>
        <v>174</v>
      </c>
      <c r="B207" s="50">
        <v>610.52</v>
      </c>
      <c r="C207" s="50">
        <v>15</v>
      </c>
      <c r="D207" s="50">
        <v>214.77</v>
      </c>
      <c r="E207" s="51">
        <v>1</v>
      </c>
      <c r="F207" s="51"/>
      <c r="G207" s="51"/>
      <c r="H207" s="51"/>
      <c r="I207" s="49">
        <f t="shared" si="7"/>
        <v>8.977999999999998</v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>
        <v>177</v>
      </c>
      <c r="B208" s="50">
        <v>388.94</v>
      </c>
      <c r="C208" s="50">
        <v>16</v>
      </c>
      <c r="D208" s="50">
        <v>115.19</v>
      </c>
      <c r="E208" s="51">
        <v>1</v>
      </c>
      <c r="F208" s="51"/>
      <c r="G208" s="51"/>
      <c r="H208" s="51"/>
      <c r="I208" s="49">
        <f t="shared" si="7"/>
        <v>-2.2700000000000009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>
        <v>180</v>
      </c>
      <c r="B209" s="50">
        <v>271.56</v>
      </c>
      <c r="C209" s="50">
        <v>17</v>
      </c>
      <c r="D209" s="50">
        <v>77.72</v>
      </c>
      <c r="E209" s="51">
        <v>1</v>
      </c>
      <c r="F209" s="51"/>
      <c r="G209" s="51"/>
      <c r="H209" s="51"/>
      <c r="I209" s="49">
        <f t="shared" si="7"/>
        <v>-0.72999999999999921</v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>
        <v>183</v>
      </c>
      <c r="B210" s="50">
        <v>191.47</v>
      </c>
      <c r="C210" s="50">
        <v>18</v>
      </c>
      <c r="D210" s="50">
        <v>169.76</v>
      </c>
      <c r="E210" s="51">
        <v>1</v>
      </c>
      <c r="F210" s="51"/>
      <c r="G210" s="51"/>
      <c r="H210" s="51"/>
      <c r="I210" s="49">
        <f t="shared" si="7"/>
        <v>-0.79000000000000148</v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3" zoomScale="115" zoomScaleNormal="115" workbookViewId="0">
      <selection activeCell="B18" sqref="B18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0.6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0.4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 sessile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>Pin pignon</v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>Chêne vert</v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>Pin maritime</v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>Robinier faux-acacia</v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>Chêne-liège</v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3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11</v>
      </c>
      <c r="H3" s="66">
        <f>(B3+E3+F3)*44/12+(C3+D3)*0.475*44/12</f>
        <v>212.66666666666666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201.66666666666666</v>
      </c>
      <c r="S3" s="59">
        <f ca="1">AVERAGE(OFFSET($R$3,0,0,'Données projet'!$E$9+1,1))-AVERAGE(OFFSET($H$3,0,0,'Données projet'!$E$9+1,1))</f>
        <v>188.98184340090461</v>
      </c>
      <c r="T3" s="59">
        <f>IF('Données projet'!E9&gt;30,$R$33-$H$33,LOOKUP('Données projet'!$E$9,$A$3:$A$203,R3:R203)-LOOKUP('Données projet'!$E$9,$A$3:$A$203,$H$3:$H$203))</f>
        <v>450.74604661797798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201.66666666666666</v>
      </c>
      <c r="AN3" s="59">
        <f ca="1">AVERAGE(OFFSET($AM$3,0,0,'Données projet'!$E$10+1,1))-AVERAGE(OFFSET($H$3,0,0,'Données projet'!$E$10+1,1))</f>
        <v>725.60981534362895</v>
      </c>
      <c r="AO3" s="59">
        <f>IF('Données projet'!E10&gt;30,$AM$33-$H$33,LOOKUP('Données projet'!$E$10,$A$3:$A$203,AM3:AM203)-LOOKUP('Données projet'!$E$10,$A$3:$A$203,$H$3:$H$203))</f>
        <v>265.16078167969272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201.66666666666666</v>
      </c>
      <c r="BI3" s="59">
        <f ca="1">AVERAGE(OFFSET($BH$3,0,0,'Données projet'!$E$11+1,1))-AVERAGE(OFFSET($H$3,0,0,'Données projet'!$E$11+1,1))</f>
        <v>332.93090933713466</v>
      </c>
      <c r="BJ3" s="59">
        <f>IF('Données projet'!E11&gt;30,$BH$33-$H$33,LOOKUP('Données projet'!$E$11,$A$3:$A$203,BH3:BH203)-LOOKUP('Données projet'!$E$11,$A$3:$A$203,$H$3:$H$203))</f>
        <v>251.83579649532973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201.66666666666666</v>
      </c>
      <c r="CD3" s="59">
        <f ca="1">AVERAGE(OFFSET($CC$3,0,0,'Données projet'!$E$12+1,1))-AVERAGE(OFFSET($H$3,0,0,'Données projet'!$E$12+1,1))</f>
        <v>797.57191672067393</v>
      </c>
      <c r="CE3" s="59">
        <f>IF('Données projet'!E12&gt;30,$CC$33-$H$33,LOOKUP('Données projet'!$E$12,$A$3:$A$203,CC3:CC203)-LOOKUP('Données projet'!$E$12,$A$3:$A$203,$H$3:$H$203))</f>
        <v>238.59056544987126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201.66666666666666</v>
      </c>
      <c r="CY3" s="59">
        <f ca="1">AVERAGE(OFFSET($CX$3,0,0,'Données projet'!$E$13+1,1))-AVERAGE(OFFSET($H$3,0,0,'Données projet'!$E$13+1,1))</f>
        <v>188.98184340090461</v>
      </c>
      <c r="CZ3" s="59">
        <f>IF('Données projet'!E13&gt;30,$CX$33-$H$33,LOOKUP('Données projet'!$E$13,$A$3:$A$203,CX3:CX203)-LOOKUP('Données projet'!$E$13,$A$3:$A$203,$H$3:$H$203))</f>
        <v>450.74604661797798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201.66666666666666</v>
      </c>
      <c r="DT3" s="59">
        <f ca="1">AVERAGE(OFFSET($DS$3,0,0,'Données projet'!$E$14+1,1))-AVERAGE(OFFSET($H$3,0,0,'Données projet'!$E$14+1,1))</f>
        <v>442.34161202733173</v>
      </c>
      <c r="DU3" s="59">
        <f>IF('Données projet'!E14&gt;30,$DS$33-$H$33,LOOKUP('Données projet'!$E$14,$A$3:$A$203,DS3:DS203)-LOOKUP('Données projet'!$E$14,$A$3:$A$203,$H$3:$H$203))</f>
        <v>622.90413492324399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201.66666666666666</v>
      </c>
      <c r="EO3" s="59">
        <f ca="1">AVERAGE(OFFSET($EN$3,0,0,'Données projet'!$E$15+1,1))-AVERAGE(OFFSET($H$3,0,0,'Données projet'!$E$15+1,1))</f>
        <v>767.9449852393318</v>
      </c>
      <c r="EP3" s="59">
        <f>IF('Données projet'!E15&gt;30,$EN$33-$H$33,LOOKUP('Données projet'!$E$15,$A$3:$A$203,EN3:EN203)-LOOKUP('Données projet'!$E$15,$A$3:$A$203,$H$3:$H$203))</f>
        <v>230.95605490295961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55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3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11</v>
      </c>
      <c r="H4" s="66">
        <f t="shared" ref="H4:H67" si="1">(B4+E4+F4)*44/12+(C4+D4)*0.475*44/12</f>
        <v>212.66666666666666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206.12615551041651</v>
      </c>
      <c r="S4" s="59">
        <f ca="1">AVERAGE(OFFSET($R$3,0,0,'Données projet'!$E$9+1,1))-AVERAGE(OFFSET($H$3,0,0,'Données projet'!$E$9+1,1))</f>
        <v>188.98184340090461</v>
      </c>
      <c r="T4" s="59">
        <f>$T$3</f>
        <v>450.74604661797798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3.6141025633333332</v>
      </c>
      <c r="AI4" s="13">
        <f>IF('Données projet'!$A$62&gt;35,AI3+AH4-AQ3,IF(A4&lt;'Données projet'!$A$62,$AF$205^A4,IF(A4='Données projet'!$A$62,'Données projet'!$B$62,AI3+AH4-AQ3)))</f>
        <v>1.1690615875887691</v>
      </c>
      <c r="AJ4" s="13">
        <f>AI4*VLOOKUP('Données projet'!$B$10,Paramètres!$A$1:$I$89,3,0)*VLOOKUP('Données projet'!$B$10,Paramètres!$A$1:$I$89,5,0)</f>
        <v>1.0577669244503183</v>
      </c>
      <c r="AK4" s="13">
        <f>EXP(-1.0587+0.8836*LN(AJ4)+0.284)</f>
        <v>0.48428727044743541</v>
      </c>
      <c r="AL4" s="20">
        <f t="shared" ref="AL4:AL67" si="4">(AJ4+AK4)*0.475*44/12</f>
        <v>2.6857443894469211</v>
      </c>
      <c r="AM4" s="59">
        <f t="shared" ref="AM4:AM67" si="5">AL4+(AD4+AE4)*44/12</f>
        <v>206.5287603167568</v>
      </c>
      <c r="AN4" s="59">
        <f ca="1">AVERAGE(OFFSET($AM$3,0,0,'Données projet'!$E$10+1,1))-AVERAGE(OFFSET($H$3,0,0,'Données projet'!$E$10+1,1))</f>
        <v>725.60981534362895</v>
      </c>
      <c r="AO4" s="59">
        <f>$AO$3</f>
        <v>265.16078167969272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2.16</v>
      </c>
      <c r="BD4" s="12">
        <f>IF('Données projet'!$A$88&gt;35,BD3+BC4-BL3,IF(A4&lt;'Données projet'!$A$88,$BA$205^A4,IF(A4='Données projet'!$A$88,'Données projet'!$B$88,BD3+BC4-BL3)))</f>
        <v>1.3597071306791426</v>
      </c>
      <c r="BE4" s="13">
        <f>BD4*VLOOKUP('Données projet'!$B$11,Paramètres!$A$1:$I$89,3,0)*VLOOKUP('Données projet'!$B$11,Paramètres!$A$1:$I$89,5,0)</f>
        <v>1.5663826145423723</v>
      </c>
      <c r="BF4" s="13">
        <f>EXP(-1.0587+0.8836*LN(BE4)+0.284)</f>
        <v>0.68511552487372362</v>
      </c>
      <c r="BG4" s="20">
        <f t="shared" ref="BG4:BG67" si="7">(BE4+BF4)*0.475*44/12</f>
        <v>3.9213592594830331</v>
      </c>
      <c r="BH4" s="59">
        <f t="shared" ref="BH4:BH67" si="8">BG4+(AY4+AZ4)*44/12</f>
        <v>207.76437518679293</v>
      </c>
      <c r="BI4" s="59">
        <f ca="1">AVERAGE(OFFSET($BH$3,0,0,'Données projet'!$E$11+1,1))-AVERAGE(OFFSET($H$3,0,0,'Données projet'!$E$11+1,1))</f>
        <v>332.93090933713466</v>
      </c>
      <c r="BJ4" s="59">
        <f>$BJ$3</f>
        <v>251.83579649532973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2.5115384616666665</v>
      </c>
      <c r="BY4" s="12">
        <f>IF('Données projet'!$A$114&gt;35,BY3+BX4-CG3,IF(A4&lt;'Données projet'!$A$114,$BV$205^A4,IF(A4='Données projet'!$A$114,'Données projet'!$B$114,BY3+BX4-CG3)))</f>
        <v>1.1549646791293957</v>
      </c>
      <c r="BZ4" s="13">
        <f>BY4*VLOOKUP('Données projet'!$B$12,Paramètres!$A$1:$I$89,3,0)*VLOOKUP('Données projet'!$B$12,Paramètres!$A$1:$I$89,5,0)</f>
        <v>1.3152737765925557</v>
      </c>
      <c r="CA4" s="13">
        <f>EXP(-1.0587+0.8836*LN(BZ4)+0.284)</f>
        <v>0.58710360229799052</v>
      </c>
      <c r="CB4" s="20">
        <f t="shared" ref="CB4:CB67" si="10">(BZ4+CA4)*0.475*44/12</f>
        <v>3.3133072682343681</v>
      </c>
      <c r="CC4" s="59">
        <f t="shared" ref="CC4:CC67" si="11">CB4+(BT4+BU4)*44/12</f>
        <v>207.15632319554425</v>
      </c>
      <c r="CD4" s="59">
        <f ca="1">AVERAGE(OFFSET($CC$3,0,0,'Données projet'!$E$12+1,1))-AVERAGE(OFFSET($H$3,0,0,'Données projet'!$E$12+1,1))</f>
        <v>797.57191672067393</v>
      </c>
      <c r="CE4" s="59">
        <f>$CE$3</f>
        <v>238.59056544987126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7.5454545454545459</v>
      </c>
      <c r="CT4" s="12">
        <f>IF('Données projet'!$A$140&gt;35,CT3+CS4-DB3,IF(A4&lt;'Données projet'!$A$140,$CQ$205^A4,IF(A4='Données projet'!$A$140,'Données projet'!$B$140,CT3+CS4-DB3)))</f>
        <v>1.4943820583928935</v>
      </c>
      <c r="CU4" s="17">
        <f>CT4*VLOOKUP('Données projet'!$B$13,Paramètres!$A$1:$I$89,3,0)*VLOOKUP('Données projet'!$B$13,Paramètres!$A$1:$I$89,5,0)</f>
        <v>0.89364047091895038</v>
      </c>
      <c r="CV4" s="13">
        <f>EXP(-1.0587+0.8836*LN(CU4)+0.284)</f>
        <v>0.41725306962072783</v>
      </c>
      <c r="CW4" s="20">
        <f t="shared" ref="CW4:CW67" si="13">(CU4+CV4)*0.475*44/12</f>
        <v>2.2831395831066059</v>
      </c>
      <c r="CX4" s="59">
        <f t="shared" ref="CX4:CX67" si="14">CW4+(CO4+CP4)*44/12</f>
        <v>206.12615551041651</v>
      </c>
      <c r="CY4" s="59">
        <f ca="1">AVERAGE(OFFSET($CX$3,0,0,'Données projet'!$E$13+1,1))-AVERAGE(OFFSET($H$3,0,0,'Données projet'!$E$13+1,1))</f>
        <v>188.98184340090461</v>
      </c>
      <c r="CZ4" s="59">
        <f>$CZ$3</f>
        <v>450.74604661797798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8.1999999999999993</v>
      </c>
      <c r="DO4" s="12">
        <f>IF('Données projet'!$A$166&gt;35,DO3+DN4-DW3,IF(A4&lt;'Données projet'!$A$166,$DL$205^A4,IF(A4='Données projet'!$A$166,'Données projet'!$B$166,DO3+DN4-DW3)))</f>
        <v>2.1016324782757847</v>
      </c>
      <c r="DP4" s="17">
        <f>DO4*VLOOKUP('Données projet'!$B$14,Paramètres!$A$1:$I$89,3,0)*VLOOKUP('Données projet'!$B$14,Paramètres!$A$1:$I$89,5,0)</f>
        <v>1.9015570663439298</v>
      </c>
      <c r="DQ4" s="13">
        <f>EXP(-1.0587+0.8836*LN(DP4)+0.284)</f>
        <v>0.81315455339418119</v>
      </c>
      <c r="DR4" s="20">
        <f t="shared" ref="DR4:DR67" si="16">(DP4+DQ4)*0.475*44/12</f>
        <v>4.7281227377105433</v>
      </c>
      <c r="DS4" s="59">
        <f t="shared" ref="DS4:DS67" si="17">DR4+(DJ4+DK4)*44/12</f>
        <v>208.57113866502044</v>
      </c>
      <c r="DT4" s="59">
        <f ca="1">AVERAGE(OFFSET($DS$3,0,0,'Données projet'!$E$14+1,1))-AVERAGE(OFFSET($H$3,0,0,'Données projet'!$E$14+1,1))</f>
        <v>442.34161202733173</v>
      </c>
      <c r="DU4" s="59">
        <f>$DU$3</f>
        <v>622.90413492324399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2.5115384616666665</v>
      </c>
      <c r="EJ4" s="12">
        <f>IF('Données projet'!$A$192&gt;35,EJ3+EI4-ER3,IF(A4&lt;'Données projet'!$A$192,$EG$205^A4,IF(A4='Données projet'!$A$192,'Données projet'!$B$192,EJ3+EI4-ER3)))</f>
        <v>1.1549646791293957</v>
      </c>
      <c r="EK4" s="17">
        <f>EJ4*VLOOKUP('Données projet'!$B$15,Paramètres!$A$1:$I$89,3,0)*VLOOKUP('Données projet'!$B$15,Paramètres!$A$1:$I$89,5,0)</f>
        <v>1.2612214296093001</v>
      </c>
      <c r="EL4" s="13">
        <f>EXP(-1.0587+0.8836*LN(EK4)+0.284)</f>
        <v>0.56573271544873638</v>
      </c>
      <c r="EM4" s="20">
        <f t="shared" ref="EM4:EM67" si="19">(EK4+EL4)*0.475*44/12</f>
        <v>3.1819451359760804</v>
      </c>
      <c r="EN4" s="59">
        <f t="shared" ref="EN4:EN67" si="20">EM4+(EE4+EF4)*44/12</f>
        <v>207.02496106328599</v>
      </c>
      <c r="EO4" s="59">
        <f ca="1">AVERAGE(OFFSET($EN$3,0,0,'Données projet'!$E$15+1,1))-AVERAGE(OFFSET($H$3,0,0,'Données projet'!$E$15+1,1))</f>
        <v>767.9449852393318</v>
      </c>
      <c r="EP4" s="59">
        <f>$EP$3</f>
        <v>230.95605490295961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55.260216465023902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3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11</v>
      </c>
      <c r="H5" s="66">
        <f t="shared" si="1"/>
        <v>212.66666666666666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209.36508473008058</v>
      </c>
      <c r="S5" s="59">
        <f ca="1">AVERAGE(OFFSET($R$3,0,0,'Données projet'!$E$9+1,1))-AVERAGE(OFFSET($H$3,0,0,'Données projet'!$E$9+1,1))</f>
        <v>188.98184340090461</v>
      </c>
      <c r="T5" s="59">
        <f t="shared" ref="T5:T68" si="34">$T$3</f>
        <v>450.74604661797798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3.6141025633333332</v>
      </c>
      <c r="AI5" s="13">
        <f>IF('Données projet'!$A$62&gt;35,AI4+AH5-AQ4,IF(A5&lt;'Données projet'!$A$62,$AF$205^A5,IF(A5='Données projet'!$A$62,'Données projet'!$B$62,AI4+AH5-AQ4)))</f>
        <v>1.3667049955755732</v>
      </c>
      <c r="AJ5" s="13">
        <f>AI5*VLOOKUP('Données projet'!$B$10,Paramètres!$A$1:$I$89,3,0)*VLOOKUP('Données projet'!$B$10,Paramètres!$A$1:$I$89,5,0)</f>
        <v>1.2365946799967786</v>
      </c>
      <c r="AK5" s="13">
        <f t="shared" ref="AK5:AK68" si="35">EXP(-1.0587+0.8836*LN(AJ5)+0.284)</f>
        <v>0.55596080147783444</v>
      </c>
      <c r="AL5" s="20">
        <f t="shared" si="4"/>
        <v>3.122034130234951</v>
      </c>
      <c r="AM5" s="59">
        <f t="shared" si="5"/>
        <v>209.12484734717987</v>
      </c>
      <c r="AN5" s="59">
        <f ca="1">AVERAGE(OFFSET($AM$3,0,0,'Données projet'!$E$10+1,1))-AVERAGE(OFFSET($H$3,0,0,'Données projet'!$E$10+1,1))</f>
        <v>725.60981534362895</v>
      </c>
      <c r="AO5" s="59">
        <f t="shared" ref="AO5:AO68" si="36">$AO$3</f>
        <v>265.16078167969272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2.16</v>
      </c>
      <c r="BD5" s="12">
        <f>IF('Données projet'!$A$88&gt;35,BD4+BC5-BL4,IF(A5&lt;'Données projet'!$A$88,$BA$205^A5,IF(A5='Données projet'!$A$88,'Données projet'!$B$88,BD4+BC5-BL4)))</f>
        <v>1.8488034812197069</v>
      </c>
      <c r="BE5" s="13">
        <f>BD5*VLOOKUP('Données projet'!$B$11,Paramètres!$A$1:$I$89,3,0)*VLOOKUP('Données projet'!$B$11,Paramètres!$A$1:$I$89,5,0)</f>
        <v>2.1298216103651022</v>
      </c>
      <c r="BF5" s="13">
        <f t="shared" ref="BF5:BF68" si="37">EXP(-1.0587+0.8836*LN(BE5)+0.284)</f>
        <v>0.89882706729143236</v>
      </c>
      <c r="BG5" s="20">
        <f t="shared" si="7"/>
        <v>5.274896446918464</v>
      </c>
      <c r="BH5" s="59">
        <f t="shared" si="8"/>
        <v>211.27770966386339</v>
      </c>
      <c r="BI5" s="59">
        <f ca="1">AVERAGE(OFFSET($BH$3,0,0,'Données projet'!$E$11+1,1))-AVERAGE(OFFSET($H$3,0,0,'Données projet'!$E$11+1,1))</f>
        <v>332.93090933713466</v>
      </c>
      <c r="BJ5" s="59">
        <f t="shared" ref="BJ5:BJ68" si="38">$BJ$3</f>
        <v>251.83579649532973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2.5115384616666665</v>
      </c>
      <c r="BY5" s="12">
        <f>IF('Données projet'!$A$114&gt;35,BY4+BX5-CG4,IF(A5&lt;'Données projet'!$A$114,$BV$205^A5,IF(A5='Données projet'!$A$114,'Données projet'!$B$114,BY4+BX5-CG4)))</f>
        <v>1.333943410036468</v>
      </c>
      <c r="BZ5" s="13">
        <f>BY5*VLOOKUP('Données projet'!$B$12,Paramètres!$A$1:$I$89,3,0)*VLOOKUP('Données projet'!$B$12,Paramètres!$A$1:$I$89,5,0)</f>
        <v>1.5190947553495298</v>
      </c>
      <c r="CA5" s="13">
        <f t="shared" ref="CA5:CA68" si="39">EXP(-1.0587+0.8836*LN(BZ5)+0.284)</f>
        <v>0.66680746167695093</v>
      </c>
      <c r="CB5" s="20">
        <f t="shared" si="10"/>
        <v>3.8071130279877874</v>
      </c>
      <c r="CC5" s="59">
        <f t="shared" si="11"/>
        <v>209.80992624493271</v>
      </c>
      <c r="CD5" s="59">
        <f ca="1">AVERAGE(OFFSET($CC$3,0,0,'Données projet'!$E$12+1,1))-AVERAGE(OFFSET($H$3,0,0,'Données projet'!$E$12+1,1))</f>
        <v>797.57191672067393</v>
      </c>
      <c r="CE5" s="59">
        <f t="shared" ref="CE5:CE68" si="40">$CE$3</f>
        <v>238.59056544987126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7.5454545454545459</v>
      </c>
      <c r="CT5" s="12">
        <f>IF('Données projet'!$A$140&gt;35,CT4+CS5-DB4,IF(A5&lt;'Données projet'!$A$140,$CQ$205^A5,IF(A5='Données projet'!$A$140,'Données projet'!$B$140,CT4+CS5-DB4)))</f>
        <v>2.2331777364465815</v>
      </c>
      <c r="CU5" s="17">
        <f>CT5*VLOOKUP('Données projet'!$B$13,Paramètres!$A$1:$I$89,3,0)*VLOOKUP('Données projet'!$B$13,Paramètres!$A$1:$I$89,5,0)</f>
        <v>1.3354402863950559</v>
      </c>
      <c r="CV5" s="13">
        <f t="shared" ref="CV5:CV68" si="41">EXP(-1.0587+0.8836*LN(CU5)+0.284)</f>
        <v>0.59505053454406853</v>
      </c>
      <c r="CW5" s="20">
        <f t="shared" si="13"/>
        <v>3.3622715131356418</v>
      </c>
      <c r="CX5" s="59">
        <f t="shared" si="14"/>
        <v>209.36508473008058</v>
      </c>
      <c r="CY5" s="59">
        <f ca="1">AVERAGE(OFFSET($CX$3,0,0,'Données projet'!$E$13+1,1))-AVERAGE(OFFSET($H$3,0,0,'Données projet'!$E$13+1,1))</f>
        <v>188.98184340090461</v>
      </c>
      <c r="CZ5" s="59">
        <f t="shared" ref="CZ5:CZ68" si="42">$CZ$3</f>
        <v>450.74604661797798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8.1999999999999993</v>
      </c>
      <c r="DO5" s="12">
        <f>IF('Données projet'!$A$166&gt;35,DO4+DN5-DW4,IF(A5&lt;'Données projet'!$A$166,$DL$205^A5,IF(A5='Données projet'!$A$166,'Données projet'!$B$166,DO4+DN5-DW4)))</f>
        <v>4.4168590737436171</v>
      </c>
      <c r="DP5" s="17">
        <f>DO5*VLOOKUP('Données projet'!$B$14,Paramètres!$A$1:$I$89,3,0)*VLOOKUP('Données projet'!$B$14,Paramètres!$A$1:$I$89,5,0)</f>
        <v>3.9963740899232247</v>
      </c>
      <c r="DQ5" s="13">
        <f t="shared" ref="DQ5:DQ68" si="43">EXP(-1.0587+0.8836*LN(DP5)+0.284)</f>
        <v>1.567415948479109</v>
      </c>
      <c r="DR5" s="20">
        <f t="shared" si="16"/>
        <v>9.6902676502173968</v>
      </c>
      <c r="DS5" s="59">
        <f t="shared" si="17"/>
        <v>215.69308086716234</v>
      </c>
      <c r="DT5" s="59">
        <f ca="1">AVERAGE(OFFSET($DS$3,0,0,'Données projet'!$E$14+1,1))-AVERAGE(OFFSET($H$3,0,0,'Données projet'!$E$14+1,1))</f>
        <v>442.34161202733173</v>
      </c>
      <c r="DU5" s="59">
        <f t="shared" ref="DU5:DU68" si="44">$DU$3</f>
        <v>622.90413492324399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2.5115384616666665</v>
      </c>
      <c r="EJ5" s="12">
        <f>IF('Données projet'!$A$192&gt;35,EJ4+EI5-ER4,IF(A5&lt;'Données projet'!$A$192,$EG$205^A5,IF(A5='Données projet'!$A$192,'Données projet'!$B$192,EJ4+EI5-ER4)))</f>
        <v>1.333943410036468</v>
      </c>
      <c r="EK5" s="17">
        <f>EJ5*VLOOKUP('Données projet'!$B$15,Paramètres!$A$1:$I$89,3,0)*VLOOKUP('Données projet'!$B$15,Paramètres!$A$1:$I$89,5,0)</f>
        <v>1.456666203759823</v>
      </c>
      <c r="EL5" s="13">
        <f t="shared" ref="EL5:EL68" si="45">EXP(-1.0587+0.8836*LN(EK5)+0.284)</f>
        <v>0.64253531148410714</v>
      </c>
      <c r="EM5" s="20">
        <f t="shared" si="19"/>
        <v>3.656109305716511</v>
      </c>
      <c r="EN5" s="59">
        <f t="shared" si="20"/>
        <v>209.65892252266144</v>
      </c>
      <c r="EO5" s="59">
        <f ca="1">AVERAGE(OFFSET($EN$3,0,0,'Données projet'!$E$15+1,1))-AVERAGE(OFFSET($H$3,0,0,'Données projet'!$E$15+1,1))</f>
        <v>767.9449852393318</v>
      </c>
      <c r="EP5" s="59">
        <f t="shared" ref="EP5:EP68" si="46">$EP$3</f>
        <v>230.95605490295961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55.5159187561365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3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11</v>
      </c>
      <c r="H6" s="66">
        <f t="shared" si="1"/>
        <v>212.66666666666666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213.10011249593427</v>
      </c>
      <c r="S6" s="59">
        <f ca="1">AVERAGE(OFFSET($R$3,0,0,'Données projet'!$E$9+1,1))-AVERAGE(OFFSET($H$3,0,0,'Données projet'!$E$9+1,1))</f>
        <v>188.98184340090461</v>
      </c>
      <c r="T6" s="59">
        <f t="shared" si="34"/>
        <v>450.74604661797798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3.6141025633333332</v>
      </c>
      <c r="AI6" s="13">
        <f>IF('Données projet'!$A$62&gt;35,AI5+AH6-AQ5,IF(A6&lt;'Données projet'!$A$62,$AF$205^A6,IF(A6='Données projet'!$A$62,'Données projet'!$B$62,AI5+AH6-AQ5)))</f>
        <v>1.5977623118930813</v>
      </c>
      <c r="AJ6" s="13">
        <f>AI6*VLOOKUP('Données projet'!$B$10,Paramètres!$A$1:$I$89,3,0)*VLOOKUP('Données projet'!$B$10,Paramètres!$A$1:$I$89,5,0)</f>
        <v>1.4456553398008598</v>
      </c>
      <c r="AK6" s="13">
        <f t="shared" si="35"/>
        <v>0.63824186932335447</v>
      </c>
      <c r="AL6" s="20">
        <f t="shared" si="4"/>
        <v>3.6294543058913398</v>
      </c>
      <c r="AM6" s="59">
        <f t="shared" si="5"/>
        <v>211.77579998115559</v>
      </c>
      <c r="AN6" s="59">
        <f ca="1">AVERAGE(OFFSET($AM$3,0,0,'Données projet'!$E$10+1,1))-AVERAGE(OFFSET($H$3,0,0,'Données projet'!$E$10+1,1))</f>
        <v>725.60981534362895</v>
      </c>
      <c r="AO6" s="59">
        <f t="shared" si="36"/>
        <v>265.16078167969272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2.16</v>
      </c>
      <c r="BD6" s="12">
        <f>IF('Données projet'!$A$88&gt;35,BD5+BC6-BL5,IF(A6&lt;'Données projet'!$A$88,$BA$205^A6,IF(A6='Données projet'!$A$88,'Données projet'!$B$88,BD5+BC6-BL5)))</f>
        <v>2.5138312766388577</v>
      </c>
      <c r="BE6" s="13">
        <f>BD6*VLOOKUP('Données projet'!$B$11,Paramètres!$A$1:$I$89,3,0)*VLOOKUP('Données projet'!$B$11,Paramètres!$A$1:$I$89,5,0)</f>
        <v>2.8959336306879639</v>
      </c>
      <c r="BF6" s="13">
        <f t="shared" si="37"/>
        <v>1.1792027294150467</v>
      </c>
      <c r="BG6" s="20">
        <f t="shared" si="7"/>
        <v>7.0975291605127451</v>
      </c>
      <c r="BH6" s="59">
        <f t="shared" si="8"/>
        <v>215.24387483577701</v>
      </c>
      <c r="BI6" s="59">
        <f ca="1">AVERAGE(OFFSET($BH$3,0,0,'Données projet'!$E$11+1,1))-AVERAGE(OFFSET($H$3,0,0,'Données projet'!$E$11+1,1))</f>
        <v>332.93090933713466</v>
      </c>
      <c r="BJ6" s="59">
        <f t="shared" si="38"/>
        <v>251.83579649532973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2.5115384616666665</v>
      </c>
      <c r="BY6" s="12">
        <f>IF('Données projet'!$A$114&gt;35,BY5+BX6-CG5,IF(A6&lt;'Données projet'!$A$114,$BV$205^A6,IF(A6='Données projet'!$A$114,'Données projet'!$B$114,BY5+BX6-CG5)))</f>
        <v>1.5406575225495411</v>
      </c>
      <c r="BZ6" s="13">
        <f>BY6*VLOOKUP('Données projet'!$B$12,Paramètres!$A$1:$I$89,3,0)*VLOOKUP('Données projet'!$B$12,Paramètres!$A$1:$I$89,5,0)</f>
        <v>1.7545007866794173</v>
      </c>
      <c r="CA6" s="13">
        <f t="shared" si="39"/>
        <v>0.75733173703536683</v>
      </c>
      <c r="CB6" s="20">
        <f t="shared" si="10"/>
        <v>4.3747749788032486</v>
      </c>
      <c r="CC6" s="59">
        <f t="shared" si="11"/>
        <v>212.52112065406752</v>
      </c>
      <c r="CD6" s="59">
        <f ca="1">AVERAGE(OFFSET($CC$3,0,0,'Données projet'!$E$12+1,1))-AVERAGE(OFFSET($H$3,0,0,'Données projet'!$E$12+1,1))</f>
        <v>797.57191672067393</v>
      </c>
      <c r="CE6" s="59">
        <f t="shared" si="40"/>
        <v>238.59056544987126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7.5454545454545459</v>
      </c>
      <c r="CT6" s="12">
        <f>IF('Données projet'!$A$140&gt;35,CT5+CS6-DB5,IF(A6&lt;'Données projet'!$A$140,$CQ$205^A6,IF(A6='Données projet'!$A$140,'Données projet'!$B$140,CT5+CS6-DB5)))</f>
        <v>3.337220742548225</v>
      </c>
      <c r="CU6" s="17">
        <f>CT6*VLOOKUP('Données projet'!$B$13,Paramètres!$A$1:$I$89,3,0)*VLOOKUP('Données projet'!$B$13,Paramètres!$A$1:$I$89,5,0)</f>
        <v>1.9956580040438385</v>
      </c>
      <c r="CV6" s="13">
        <f t="shared" si="41"/>
        <v>0.84861002696285914</v>
      </c>
      <c r="CW6" s="20">
        <f t="shared" si="13"/>
        <v>4.9537668206699985</v>
      </c>
      <c r="CX6" s="59">
        <f t="shared" si="14"/>
        <v>213.10011249593427</v>
      </c>
      <c r="CY6" s="59">
        <f ca="1">AVERAGE(OFFSET($CX$3,0,0,'Données projet'!$E$13+1,1))-AVERAGE(OFFSET($H$3,0,0,'Données projet'!$E$13+1,1))</f>
        <v>188.98184340090461</v>
      </c>
      <c r="CZ6" s="59">
        <f t="shared" si="42"/>
        <v>450.74604661797798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8.1999999999999993</v>
      </c>
      <c r="DO6" s="12">
        <f>IF('Données projet'!$A$166&gt;35,DO5+DN6-DW5,IF(A6&lt;'Données projet'!$A$166,$DL$205^A6,IF(A6='Données projet'!$A$166,'Données projet'!$B$166,DO5+DN6-DW5)))</f>
        <v>9.282614481346684</v>
      </c>
      <c r="DP6" s="17">
        <f>DO6*VLOOKUP('Données projet'!$B$14,Paramètres!$A$1:$I$89,3,0)*VLOOKUP('Données projet'!$B$14,Paramètres!$A$1:$I$89,5,0)</f>
        <v>8.3989095827224798</v>
      </c>
      <c r="DQ6" s="13">
        <f t="shared" si="43"/>
        <v>3.0213109491815406</v>
      </c>
      <c r="DR6" s="20">
        <f t="shared" si="16"/>
        <v>19.890217426399502</v>
      </c>
      <c r="DS6" s="59">
        <f t="shared" si="17"/>
        <v>228.03656310166377</v>
      </c>
      <c r="DT6" s="59">
        <f ca="1">AVERAGE(OFFSET($DS$3,0,0,'Données projet'!$E$14+1,1))-AVERAGE(OFFSET($H$3,0,0,'Données projet'!$E$14+1,1))</f>
        <v>442.34161202733173</v>
      </c>
      <c r="DU6" s="59">
        <f t="shared" si="44"/>
        <v>622.90413492324399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2.5115384616666665</v>
      </c>
      <c r="EJ6" s="12">
        <f>IF('Données projet'!$A$192&gt;35,EJ5+EI6-ER5,IF(A6&lt;'Données projet'!$A$192,$EG$205^A6,IF(A6='Données projet'!$A$192,'Données projet'!$B$192,EJ5+EI6-ER5)))</f>
        <v>1.5406575225495411</v>
      </c>
      <c r="EK6" s="17">
        <f>EJ6*VLOOKUP('Données projet'!$B$15,Paramètres!$A$1:$I$89,3,0)*VLOOKUP('Données projet'!$B$15,Paramètres!$A$1:$I$89,5,0)</f>
        <v>1.6823980146240989</v>
      </c>
      <c r="EL6" s="13">
        <f t="shared" si="45"/>
        <v>0.7297644545384061</v>
      </c>
      <c r="EM6" s="20">
        <f t="shared" si="19"/>
        <v>4.2011829671246952</v>
      </c>
      <c r="EN6" s="59">
        <f t="shared" si="20"/>
        <v>212.34752864238897</v>
      </c>
      <c r="EO6" s="59">
        <f ca="1">AVERAGE(OFFSET($EN$3,0,0,'Données projet'!$E$15+1,1))-AVERAGE(OFFSET($H$3,0,0,'Données projet'!$E$15+1,1))</f>
        <v>767.9449852393318</v>
      </c>
      <c r="EP6" s="59">
        <f t="shared" si="46"/>
        <v>230.95605490295961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55.767185184162983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3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11</v>
      </c>
      <c r="H7" s="66">
        <f t="shared" si="1"/>
        <v>212.66666666666666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217.5758161358967</v>
      </c>
      <c r="S7" s="59">
        <f ca="1">AVERAGE(OFFSET($R$3,0,0,'Données projet'!$E$9+1,1))-AVERAGE(OFFSET($H$3,0,0,'Données projet'!$E$9+1,1))</f>
        <v>188.98184340090461</v>
      </c>
      <c r="T7" s="59">
        <f t="shared" si="34"/>
        <v>450.74604661797798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3.6141025633333332</v>
      </c>
      <c r="AI7" s="13">
        <f>IF('Données projet'!$A$62&gt;35,AI6+AH7-AQ6,IF(A7&lt;'Données projet'!$A$62,$AF$205^A7,IF(A7='Données projet'!$A$62,'Données projet'!$B$62,AI6+AH7-AQ6)))</f>
        <v>1.8678825449312277</v>
      </c>
      <c r="AJ7" s="13">
        <f>AI7*VLOOKUP('Données projet'!$B$10,Paramètres!$A$1:$I$89,3,0)*VLOOKUP('Données projet'!$B$10,Paramètres!$A$1:$I$89,5,0)</f>
        <v>1.6900601266537749</v>
      </c>
      <c r="AK7" s="13">
        <f t="shared" si="35"/>
        <v>0.73270036785787795</v>
      </c>
      <c r="AL7" s="20">
        <f t="shared" si="4"/>
        <v>4.219641194607795</v>
      </c>
      <c r="AM7" s="59">
        <f t="shared" si="5"/>
        <v>214.49353665533621</v>
      </c>
      <c r="AN7" s="59">
        <f ca="1">AVERAGE(OFFSET($AM$3,0,0,'Données projet'!$E$10+1,1))-AVERAGE(OFFSET($H$3,0,0,'Données projet'!$E$10+1,1))</f>
        <v>725.60981534362895</v>
      </c>
      <c r="AO7" s="59">
        <f t="shared" si="36"/>
        <v>265.16078167969272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2.16</v>
      </c>
      <c r="BD7" s="12">
        <f>IF('Données projet'!$A$88&gt;35,BD6+BC7-BL6,IF(A7&lt;'Données projet'!$A$88,$BA$205^A7,IF(A7='Données projet'!$A$88,'Données projet'!$B$88,BD6+BC7-BL6)))</f>
        <v>3.4180743121701074</v>
      </c>
      <c r="BE7" s="13">
        <f>BD7*VLOOKUP('Données projet'!$B$11,Paramètres!$A$1:$I$89,3,0)*VLOOKUP('Données projet'!$B$11,Paramètres!$A$1:$I$89,5,0)</f>
        <v>3.9376216076199637</v>
      </c>
      <c r="BF7" s="13">
        <f t="shared" si="37"/>
        <v>1.5470373864576097</v>
      </c>
      <c r="BG7" s="20">
        <f t="shared" si="7"/>
        <v>9.5524477480184409</v>
      </c>
      <c r="BH7" s="59">
        <f t="shared" si="8"/>
        <v>219.82634320874686</v>
      </c>
      <c r="BI7" s="59">
        <f ca="1">AVERAGE(OFFSET($BH$3,0,0,'Données projet'!$E$11+1,1))-AVERAGE(OFFSET($H$3,0,0,'Données projet'!$E$11+1,1))</f>
        <v>332.93090933713466</v>
      </c>
      <c r="BJ7" s="59">
        <f t="shared" si="38"/>
        <v>251.83579649532973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2.5115384616666665</v>
      </c>
      <c r="BY7" s="12">
        <f>IF('Données projet'!$A$114&gt;35,BY6+BX7-CG6,IF(A7&lt;'Données projet'!$A$114,$BV$205^A7,IF(A7='Données projet'!$A$114,'Données projet'!$B$114,BY6+BX7-CG6)))</f>
        <v>1.7794050211797205</v>
      </c>
      <c r="BZ7" s="13">
        <f>BY7*VLOOKUP('Données projet'!$B$12,Paramètres!$A$1:$I$89,3,0)*VLOOKUP('Données projet'!$B$12,Paramètres!$A$1:$I$89,5,0)</f>
        <v>2.0263864381194661</v>
      </c>
      <c r="CA7" s="13">
        <f t="shared" si="39"/>
        <v>0.86014538361431125</v>
      </c>
      <c r="CB7" s="20">
        <f t="shared" si="10"/>
        <v>5.0273762561863284</v>
      </c>
      <c r="CC7" s="59">
        <f t="shared" si="11"/>
        <v>215.30127171691475</v>
      </c>
      <c r="CD7" s="59">
        <f ca="1">AVERAGE(OFFSET($CC$3,0,0,'Données projet'!$E$12+1,1))-AVERAGE(OFFSET($H$3,0,0,'Données projet'!$E$12+1,1))</f>
        <v>797.57191672067393</v>
      </c>
      <c r="CE7" s="59">
        <f t="shared" si="40"/>
        <v>238.59056544987126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7.5454545454545459</v>
      </c>
      <c r="CT7" s="12">
        <f>IF('Données projet'!$A$140&gt;35,CT6+CS7-DB6,IF(A7&lt;'Données projet'!$A$140,$CQ$205^A7,IF(A7='Données projet'!$A$140,'Données projet'!$B$140,CT6+CS7-DB6)))</f>
        <v>4.9870828025606775</v>
      </c>
      <c r="CU7" s="17">
        <f>CT7*VLOOKUP('Données projet'!$B$13,Paramètres!$A$1:$I$89,3,0)*VLOOKUP('Données projet'!$B$13,Paramètres!$A$1:$I$89,5,0)</f>
        <v>2.9822755159312857</v>
      </c>
      <c r="CV7" s="13">
        <f t="shared" si="41"/>
        <v>1.2102148238782438</v>
      </c>
      <c r="CW7" s="20">
        <f t="shared" si="13"/>
        <v>7.3019206751682626</v>
      </c>
      <c r="CX7" s="59">
        <f t="shared" si="14"/>
        <v>217.5758161358967</v>
      </c>
      <c r="CY7" s="59">
        <f ca="1">AVERAGE(OFFSET($CX$3,0,0,'Données projet'!$E$13+1,1))-AVERAGE(OFFSET($H$3,0,0,'Données projet'!$E$13+1,1))</f>
        <v>188.98184340090461</v>
      </c>
      <c r="CZ7" s="59">
        <f t="shared" si="42"/>
        <v>450.74604661797798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8.1999999999999993</v>
      </c>
      <c r="DO7" s="12">
        <f>IF('Données projet'!$A$166&gt;35,DO6+DN7-DW6,IF(A7&lt;'Données projet'!$A$166,$DL$205^A7,IF(A7='Données projet'!$A$166,'Données projet'!$B$166,DO6+DN7-DW6)))</f>
        <v>19.508644077311324</v>
      </c>
      <c r="DP7" s="17">
        <f>DO7*VLOOKUP('Données projet'!$B$14,Paramètres!$A$1:$I$89,3,0)*VLOOKUP('Données projet'!$B$14,Paramètres!$A$1:$I$89,5,0)</f>
        <v>17.651421161151287</v>
      </c>
      <c r="DQ7" s="13">
        <f t="shared" si="43"/>
        <v>5.8238018188481702</v>
      </c>
      <c r="DR7" s="20">
        <f t="shared" si="16"/>
        <v>40.886013356832393</v>
      </c>
      <c r="DS7" s="59">
        <f t="shared" si="17"/>
        <v>251.15990881756082</v>
      </c>
      <c r="DT7" s="59">
        <f ca="1">AVERAGE(OFFSET($DS$3,0,0,'Données projet'!$E$14+1,1))-AVERAGE(OFFSET($H$3,0,0,'Données projet'!$E$14+1,1))</f>
        <v>442.34161202733173</v>
      </c>
      <c r="DU7" s="59">
        <f t="shared" si="44"/>
        <v>622.90413492324399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2.5115384616666665</v>
      </c>
      <c r="EJ7" s="12">
        <f>IF('Données projet'!$A$192&gt;35,EJ6+EI7-ER6,IF(A7&lt;'Données projet'!$A$192,$EG$205^A7,IF(A7='Données projet'!$A$192,'Données projet'!$B$192,EJ6+EI7-ER6)))</f>
        <v>1.7794050211797205</v>
      </c>
      <c r="EK7" s="17">
        <f>EJ7*VLOOKUP('Données projet'!$B$15,Paramètres!$A$1:$I$89,3,0)*VLOOKUP('Données projet'!$B$15,Paramètres!$A$1:$I$89,5,0)</f>
        <v>1.9431102831282547</v>
      </c>
      <c r="EL7" s="13">
        <f t="shared" si="45"/>
        <v>0.82883562909197428</v>
      </c>
      <c r="EM7" s="20">
        <f t="shared" si="19"/>
        <v>4.8278057971168984</v>
      </c>
      <c r="EN7" s="59">
        <f t="shared" si="20"/>
        <v>215.10170125784532</v>
      </c>
      <c r="EO7" s="59">
        <f ca="1">AVERAGE(OFFSET($EN$3,0,0,'Données projet'!$E$15+1,1))-AVERAGE(OFFSET($H$3,0,0,'Données projet'!$E$15+1,1))</f>
        <v>767.9449852393318</v>
      </c>
      <c r="EP7" s="59">
        <f t="shared" si="46"/>
        <v>230.95605490295961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56.014092701410775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3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11</v>
      </c>
      <c r="H8" s="66">
        <f t="shared" si="1"/>
        <v>212.66666666666666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223.15370475583771</v>
      </c>
      <c r="S8" s="59">
        <f ca="1">AVERAGE(OFFSET($R$3,0,0,'Données projet'!$E$9+1,1))-AVERAGE(OFFSET($H$3,0,0,'Données projet'!$E$9+1,1))</f>
        <v>188.98184340090461</v>
      </c>
      <c r="T8" s="59">
        <f t="shared" si="34"/>
        <v>450.74604661797798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3.6141025633333332</v>
      </c>
      <c r="AI8" s="13">
        <f>IF('Données projet'!$A$62&gt;35,AI7+AH8-AQ7,IF(A8&lt;'Données projet'!$A$62,$AF$205^A8,IF(A8='Données projet'!$A$62,'Données projet'!$B$62,AI7+AH8-AQ7)))</f>
        <v>2.1836697334066515</v>
      </c>
      <c r="AJ8" s="13">
        <f>AI8*VLOOKUP('Données projet'!$B$10,Paramètres!$A$1:$I$89,3,0)*VLOOKUP('Données projet'!$B$10,Paramètres!$A$1:$I$89,5,0)</f>
        <v>1.9757843747863384</v>
      </c>
      <c r="AK8" s="13">
        <f t="shared" si="35"/>
        <v>0.84113853205560163</v>
      </c>
      <c r="AL8" s="20">
        <f t="shared" si="4"/>
        <v>4.9061407294163786</v>
      </c>
      <c r="AM8" s="59">
        <f t="shared" si="5"/>
        <v>217.29188056639589</v>
      </c>
      <c r="AN8" s="59">
        <f ca="1">AVERAGE(OFFSET($AM$3,0,0,'Données projet'!$E$10+1,1))-AVERAGE(OFFSET($H$3,0,0,'Données projet'!$E$10+1,1))</f>
        <v>725.60981534362895</v>
      </c>
      <c r="AO8" s="59">
        <f t="shared" si="36"/>
        <v>265.16078167969272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2.16</v>
      </c>
      <c r="BD8" s="12">
        <f>IF('Données projet'!$A$88&gt;35,BD7+BC8-BL7,IF(A8&lt;'Données projet'!$A$88,$BA$205^A8,IF(A8='Données projet'!$A$88,'Données projet'!$B$88,BD7+BC8-BL7)))</f>
        <v>4.6475800154489004</v>
      </c>
      <c r="BE8" s="13">
        <f>BD8*VLOOKUP('Données projet'!$B$11,Paramètres!$A$1:$I$89,3,0)*VLOOKUP('Données projet'!$B$11,Paramètres!$A$1:$I$89,5,0)</f>
        <v>5.3540121777971326</v>
      </c>
      <c r="BF8" s="13">
        <f t="shared" si="37"/>
        <v>2.0296125639777141</v>
      </c>
      <c r="BG8" s="20">
        <f t="shared" si="7"/>
        <v>12.859813091924524</v>
      </c>
      <c r="BH8" s="59">
        <f t="shared" si="8"/>
        <v>225.24555292890403</v>
      </c>
      <c r="BI8" s="59">
        <f ca="1">AVERAGE(OFFSET($BH$3,0,0,'Données projet'!$E$11+1,1))-AVERAGE(OFFSET($H$3,0,0,'Données projet'!$E$11+1,1))</f>
        <v>332.93090933713466</v>
      </c>
      <c r="BJ8" s="59">
        <f t="shared" si="38"/>
        <v>251.83579649532973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2.5115384616666665</v>
      </c>
      <c r="BY8" s="12">
        <f>IF('Données projet'!$A$114&gt;35,BY7+BX8-CG7,IF(A8&lt;'Données projet'!$A$114,$BV$205^A8,IF(A8='Données projet'!$A$114,'Données projet'!$B$114,BY7+BX8-CG7)))</f>
        <v>2.0551499493280714</v>
      </c>
      <c r="BZ8" s="13">
        <f>BY8*VLOOKUP('Données projet'!$B$12,Paramètres!$A$1:$I$89,3,0)*VLOOKUP('Données projet'!$B$12,Paramètres!$A$1:$I$89,5,0)</f>
        <v>2.3404047622948077</v>
      </c>
      <c r="CA8" s="13">
        <f t="shared" si="39"/>
        <v>0.97691677870151117</v>
      </c>
      <c r="CB8" s="20">
        <f t="shared" si="10"/>
        <v>5.7776683505685886</v>
      </c>
      <c r="CC8" s="59">
        <f t="shared" si="11"/>
        <v>218.16340818754807</v>
      </c>
      <c r="CD8" s="59">
        <f ca="1">AVERAGE(OFFSET($CC$3,0,0,'Données projet'!$E$12+1,1))-AVERAGE(OFFSET($H$3,0,0,'Données projet'!$E$12+1,1))</f>
        <v>797.57191672067393</v>
      </c>
      <c r="CE8" s="59">
        <f t="shared" si="40"/>
        <v>238.59056544987126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7.5454545454545459</v>
      </c>
      <c r="CT8" s="12">
        <f>IF('Données projet'!$A$140&gt;35,CT7+CS8-DB7,IF(A8&lt;'Données projet'!$A$140,$CQ$205^A8,IF(A8='Données projet'!$A$140,'Données projet'!$B$140,CT7+CS8-DB7)))</f>
        <v>7.4526070638664255</v>
      </c>
      <c r="CU8" s="17">
        <f>CT8*VLOOKUP('Données projet'!$B$13,Paramètres!$A$1:$I$89,3,0)*VLOOKUP('Données projet'!$B$13,Paramètres!$A$1:$I$89,5,0)</f>
        <v>4.4566590241921231</v>
      </c>
      <c r="CV8" s="13">
        <f t="shared" si="41"/>
        <v>1.7259045655829262</v>
      </c>
      <c r="CW8" s="20">
        <f t="shared" si="13"/>
        <v>10.76796491885821</v>
      </c>
      <c r="CX8" s="59">
        <f t="shared" si="14"/>
        <v>223.15370475583771</v>
      </c>
      <c r="CY8" s="59">
        <f ca="1">AVERAGE(OFFSET($CX$3,0,0,'Données projet'!$E$13+1,1))-AVERAGE(OFFSET($H$3,0,0,'Données projet'!$E$13+1,1))</f>
        <v>188.98184340090461</v>
      </c>
      <c r="CZ8" s="59">
        <f t="shared" si="42"/>
        <v>450.74604661797798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>
        <f>VLOOKUP(A8,'Données projet'!$A$165:$I$185,2,0)</f>
        <v>41</v>
      </c>
      <c r="DM8" s="12">
        <f>VLOOKUP(A8,'Données projet'!$A$165:$I$185,9,0)</f>
        <v>8.1999999999999993</v>
      </c>
      <c r="DN8" s="12">
        <f t="array" ref="DN8">INDEX(DM:DM,MIN(IF(ISNUMBER(DM8:DM204),ROW(DM8:DM204),"")))</f>
        <v>8.1999999999999993</v>
      </c>
      <c r="DO8" s="12">
        <f>IF('Données projet'!$A$166&gt;35,DO7+DN8-DW7,IF(A8&lt;'Données projet'!$A$166,$DL$205^A8,IF(A8='Données projet'!$A$166,'Données projet'!$B$166,DO7+DN8-DW7)))</f>
        <v>41</v>
      </c>
      <c r="DP8" s="17">
        <f>DO8*VLOOKUP('Données projet'!$B$14,Paramètres!$A$1:$I$89,3,0)*VLOOKUP('Données projet'!$B$14,Paramètres!$A$1:$I$89,5,0)</f>
        <v>37.096799999999995</v>
      </c>
      <c r="DQ8" s="13">
        <f t="shared" si="43"/>
        <v>11.225811641270189</v>
      </c>
      <c r="DR8" s="20">
        <f t="shared" si="16"/>
        <v>84.161881941878903</v>
      </c>
      <c r="DS8" s="59">
        <f t="shared" si="17"/>
        <v>296.5476217788584</v>
      </c>
      <c r="DT8" s="59">
        <f ca="1">AVERAGE(OFFSET($DS$3,0,0,'Données projet'!$E$14+1,1))-AVERAGE(OFFSET($H$3,0,0,'Données projet'!$E$14+1,1))</f>
        <v>442.34161202733173</v>
      </c>
      <c r="DU8" s="59">
        <f t="shared" si="44"/>
        <v>622.90413492324399</v>
      </c>
      <c r="DV8" s="15">
        <f>IF(ISNA(VLOOKUP(A8,'Données projet'!$A$165:$I$185,3,0)),0,VLOOKUP(A8,'Données projet'!$A$165:$I$185,3,0))</f>
        <v>1</v>
      </c>
      <c r="DW8" s="15">
        <f>IF(ISNA(VLOOKUP(A8,'Données projet'!$A$165:$I$185,4,0)),0,VLOOKUP(A8,'Données projet'!$A$165:$I$185,4,0))</f>
        <v>8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2.5115384616666665</v>
      </c>
      <c r="EJ8" s="12">
        <f>IF('Données projet'!$A$192&gt;35,EJ7+EI8-ER7,IF(A8&lt;'Données projet'!$A$192,$EG$205^A8,IF(A8='Données projet'!$A$192,'Données projet'!$B$192,EJ7+EI8-ER7)))</f>
        <v>2.0551499493280714</v>
      </c>
      <c r="EK8" s="17">
        <f>EJ8*VLOOKUP('Données projet'!$B$15,Paramètres!$A$1:$I$89,3,0)*VLOOKUP('Données projet'!$B$15,Paramètres!$A$1:$I$89,5,0)</f>
        <v>2.2442237446662539</v>
      </c>
      <c r="EL8" s="13">
        <f t="shared" si="45"/>
        <v>0.94135648260206528</v>
      </c>
      <c r="EM8" s="20">
        <f t="shared" si="19"/>
        <v>5.5482188958256557</v>
      </c>
      <c r="EN8" s="59">
        <f t="shared" si="20"/>
        <v>217.93395873280514</v>
      </c>
      <c r="EO8" s="59">
        <f ca="1">AVERAGE(OFFSET($EN$3,0,0,'Données projet'!$E$15+1,1))-AVERAGE(OFFSET($H$3,0,0,'Données projet'!$E$15+1,1))</f>
        <v>767.9449852393318</v>
      </c>
      <c r="EP8" s="59">
        <f t="shared" si="46"/>
        <v>230.95605490295961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56.256716925236837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3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11</v>
      </c>
      <c r="H9" s="66">
        <f t="shared" si="1"/>
        <v>212.66666666666666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230.36839508829911</v>
      </c>
      <c r="S9" s="59">
        <f ca="1">AVERAGE(OFFSET($R$3,0,0,'Données projet'!$E$9+1,1))-AVERAGE(OFFSET($H$3,0,0,'Données projet'!$E$9+1,1))</f>
        <v>188.98184340090461</v>
      </c>
      <c r="T9" s="59">
        <f t="shared" si="34"/>
        <v>450.74604661797798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3.6141025633333332</v>
      </c>
      <c r="AI9" s="13">
        <f>IF('Données projet'!$A$62&gt;35,AI8+AH9-AQ8,IF(A9&lt;'Données projet'!$A$62,$AF$205^A9,IF(A9='Données projet'!$A$62,'Données projet'!$B$62,AI8+AH9-AQ8)))</f>
        <v>2.5528444053059243</v>
      </c>
      <c r="AJ9" s="13">
        <f>AI9*VLOOKUP('Données projet'!$B$10,Paramètres!$A$1:$I$89,3,0)*VLOOKUP('Données projet'!$B$10,Paramètres!$A$1:$I$89,5,0)</f>
        <v>2.3098136179208004</v>
      </c>
      <c r="AK9" s="13">
        <f t="shared" si="35"/>
        <v>0.96562532400132384</v>
      </c>
      <c r="AL9" s="20">
        <f t="shared" si="4"/>
        <v>5.7047228238476988</v>
      </c>
      <c r="AM9" s="59">
        <f t="shared" si="5"/>
        <v>220.18687408160309</v>
      </c>
      <c r="AN9" s="59">
        <f ca="1">AVERAGE(OFFSET($AM$3,0,0,'Données projet'!$E$10+1,1))-AVERAGE(OFFSET($H$3,0,0,'Données projet'!$E$10+1,1))</f>
        <v>725.60981534362895</v>
      </c>
      <c r="AO9" s="59">
        <f t="shared" si="36"/>
        <v>265.16078167969272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2.16</v>
      </c>
      <c r="BD9" s="12">
        <f>IF('Données projet'!$A$88&gt;35,BD8+BC9-BL8,IF(A9&lt;'Données projet'!$A$88,$BA$205^A9,IF(A9='Données projet'!$A$88,'Données projet'!$B$88,BD8+BC9-BL8)))</f>
        <v>6.3193476874077499</v>
      </c>
      <c r="BE9" s="13">
        <f>BD9*VLOOKUP('Données projet'!$B$11,Paramètres!$A$1:$I$89,3,0)*VLOOKUP('Données projet'!$B$11,Paramètres!$A$1:$I$89,5,0)</f>
        <v>7.2798885358937273</v>
      </c>
      <c r="BF9" s="13">
        <f t="shared" si="37"/>
        <v>2.6627198514501216</v>
      </c>
      <c r="BG9" s="20">
        <f t="shared" si="7"/>
        <v>17.316709607957204</v>
      </c>
      <c r="BH9" s="59">
        <f t="shared" si="8"/>
        <v>231.79886086571258</v>
      </c>
      <c r="BI9" s="59">
        <f ca="1">AVERAGE(OFFSET($BH$3,0,0,'Données projet'!$E$11+1,1))-AVERAGE(OFFSET($H$3,0,0,'Données projet'!$E$11+1,1))</f>
        <v>332.93090933713466</v>
      </c>
      <c r="BJ9" s="59">
        <f t="shared" si="38"/>
        <v>251.83579649532973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2.5115384616666665</v>
      </c>
      <c r="BY9" s="12">
        <f>IF('Données projet'!$A$114&gt;35,BY8+BX9-CG8,IF(A9&lt;'Données projet'!$A$114,$BV$205^A9,IF(A9='Données projet'!$A$114,'Données projet'!$B$114,BY8+BX9-CG8)))</f>
        <v>2.3736256017884898</v>
      </c>
      <c r="BZ9" s="13">
        <f>BY9*VLOOKUP('Données projet'!$B$12,Paramètres!$A$1:$I$89,3,0)*VLOOKUP('Données projet'!$B$12,Paramètres!$A$1:$I$89,5,0)</f>
        <v>2.7030848353167323</v>
      </c>
      <c r="CA9" s="13">
        <f t="shared" si="39"/>
        <v>1.1095407947181111</v>
      </c>
      <c r="CB9" s="20">
        <f t="shared" si="10"/>
        <v>6.6403229723106856</v>
      </c>
      <c r="CC9" s="59">
        <f t="shared" si="11"/>
        <v>221.12247423006608</v>
      </c>
      <c r="CD9" s="59">
        <f ca="1">AVERAGE(OFFSET($CC$3,0,0,'Données projet'!$E$12+1,1))-AVERAGE(OFFSET($H$3,0,0,'Données projet'!$E$12+1,1))</f>
        <v>797.57191672067393</v>
      </c>
      <c r="CE9" s="59">
        <f t="shared" si="40"/>
        <v>238.59056544987126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7.5454545454545459</v>
      </c>
      <c r="CT9" s="12">
        <f>IF('Données projet'!$A$140&gt;35,CT8+CS9-DB8,IF(A9&lt;'Données projet'!$A$140,$CQ$205^A9,IF(A9='Données projet'!$A$140,'Données projet'!$B$140,CT8+CS9-DB8)))</f>
        <v>11.137042284494127</v>
      </c>
      <c r="CU9" s="17">
        <f>CT9*VLOOKUP('Données projet'!$B$13,Paramètres!$A$1:$I$89,3,0)*VLOOKUP('Données projet'!$B$13,Paramètres!$A$1:$I$89,5,0)</f>
        <v>6.6599512861274883</v>
      </c>
      <c r="CV9" s="13">
        <f t="shared" si="41"/>
        <v>2.461337037629669</v>
      </c>
      <c r="CW9" s="20">
        <f t="shared" si="13"/>
        <v>15.886243830543714</v>
      </c>
      <c r="CX9" s="59">
        <f t="shared" si="14"/>
        <v>230.36839508829911</v>
      </c>
      <c r="CY9" s="59">
        <f ca="1">AVERAGE(OFFSET($CX$3,0,0,'Données projet'!$E$13+1,1))-AVERAGE(OFFSET($H$3,0,0,'Données projet'!$E$13+1,1))</f>
        <v>188.98184340090461</v>
      </c>
      <c r="CZ9" s="59">
        <f t="shared" si="42"/>
        <v>450.74604661797798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17.600000000000001</v>
      </c>
      <c r="DO9" s="12">
        <f>IF('Données projet'!$A$166&gt;35,DO8+DN9-DW8,IF(A9&lt;'Données projet'!$A$166,$DL$205^A9,IF(A9='Données projet'!$A$166,'Données projet'!$B$166,DO8+DN9-DW8)))</f>
        <v>50.6</v>
      </c>
      <c r="DP9" s="17">
        <f>DO9*VLOOKUP('Données projet'!$B$14,Paramètres!$A$1:$I$89,3,0)*VLOOKUP('Données projet'!$B$14,Paramètres!$A$1:$I$89,5,0)</f>
        <v>45.782879999999999</v>
      </c>
      <c r="DQ9" s="13">
        <f t="shared" si="43"/>
        <v>13.519148289060759</v>
      </c>
      <c r="DR9" s="20">
        <f t="shared" si="16"/>
        <v>103.28436593678082</v>
      </c>
      <c r="DS9" s="59">
        <f t="shared" si="17"/>
        <v>317.76651719453622</v>
      </c>
      <c r="DT9" s="59">
        <f ca="1">AVERAGE(OFFSET($DS$3,0,0,'Données projet'!$E$14+1,1))-AVERAGE(OFFSET($H$3,0,0,'Données projet'!$E$14+1,1))</f>
        <v>442.34161202733173</v>
      </c>
      <c r="DU9" s="59">
        <f t="shared" si="44"/>
        <v>622.90413492324399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2.5115384616666665</v>
      </c>
      <c r="EJ9" s="12">
        <f>IF('Données projet'!$A$192&gt;35,EJ8+EI9-ER8,IF(A9&lt;'Données projet'!$A$192,$EG$205^A9,IF(A9='Données projet'!$A$192,'Données projet'!$B$192,EJ8+EI9-ER8)))</f>
        <v>2.3736256017884898</v>
      </c>
      <c r="EK9" s="17">
        <f>EJ9*VLOOKUP('Données projet'!$B$15,Paramètres!$A$1:$I$89,3,0)*VLOOKUP('Données projet'!$B$15,Paramètres!$A$1:$I$89,5,0)</f>
        <v>2.591999157153031</v>
      </c>
      <c r="EL9" s="13">
        <f t="shared" si="45"/>
        <v>1.0691529131146917</v>
      </c>
      <c r="EM9" s="20">
        <f t="shared" si="19"/>
        <v>6.3765065223829502</v>
      </c>
      <c r="EN9" s="59">
        <f t="shared" si="20"/>
        <v>220.85865778013834</v>
      </c>
      <c r="EO9" s="59">
        <f ca="1">AVERAGE(OFFSET($EN$3,0,0,'Données projet'!$E$15+1,1))-AVERAGE(OFFSET($H$3,0,0,'Données projet'!$E$15+1,1))</f>
        <v>767.9449852393318</v>
      </c>
      <c r="EP9" s="59">
        <f t="shared" si="46"/>
        <v>230.95605490295961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56.495132161206016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3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</v>
      </c>
      <c r="H10" s="66">
        <f t="shared" si="1"/>
        <v>212.66666666666666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240.01086266463884</v>
      </c>
      <c r="S10" s="59">
        <f ca="1">AVERAGE(OFFSET($R$3,0,0,'Données projet'!$E$9+1,1))-AVERAGE(OFFSET($H$3,0,0,'Données projet'!$E$9+1,1))</f>
        <v>188.98184340090461</v>
      </c>
      <c r="T10" s="59">
        <f t="shared" si="34"/>
        <v>450.74604661797798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3.6141025633333332</v>
      </c>
      <c r="AI10" s="13">
        <f>IF('Données projet'!$A$62&gt;35,AI9+AH10-AQ9,IF(A10&lt;'Données projet'!$A$62,$AF$205^A10,IF(A10='Données projet'!$A$62,'Données projet'!$B$62,AI9+AH10-AQ9)))</f>
        <v>2.9844323333340506</v>
      </c>
      <c r="AJ10" s="13">
        <f>AI10*VLOOKUP('Données projet'!$B$10,Paramètres!$A$1:$I$89,3,0)*VLOOKUP('Données projet'!$B$10,Paramètres!$A$1:$I$89,5,0)</f>
        <v>2.7003143752006489</v>
      </c>
      <c r="AK10" s="13">
        <f t="shared" si="35"/>
        <v>1.108535907960313</v>
      </c>
      <c r="AL10" s="20">
        <f t="shared" si="4"/>
        <v>6.6337475765053417</v>
      </c>
      <c r="AM10" s="59">
        <f t="shared" si="5"/>
        <v>223.19714502683595</v>
      </c>
      <c r="AN10" s="59">
        <f ca="1">AVERAGE(OFFSET($AM$3,0,0,'Données projet'!$E$10+1,1))-AVERAGE(OFFSET($H$3,0,0,'Données projet'!$E$10+1,1))</f>
        <v>725.60981534362895</v>
      </c>
      <c r="AO10" s="59">
        <f t="shared" si="36"/>
        <v>265.16078167969272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2.16</v>
      </c>
      <c r="BD10" s="12">
        <f>IF('Données projet'!$A$88&gt;35,BD9+BC10-BL9,IF(A10&lt;'Données projet'!$A$88,$BA$205^A10,IF(A10='Données projet'!$A$88,'Données projet'!$B$88,BD9+BC10-BL9)))</f>
        <v>8.5924621118090663</v>
      </c>
      <c r="BE10" s="13">
        <f>BD10*VLOOKUP('Données projet'!$B$11,Paramètres!$A$1:$I$89,3,0)*VLOOKUP('Données projet'!$B$11,Paramètres!$A$1:$I$89,5,0)</f>
        <v>9.8985163528040445</v>
      </c>
      <c r="BF10" s="13">
        <f t="shared" si="37"/>
        <v>3.49331548944058</v>
      </c>
      <c r="BG10" s="20">
        <f t="shared" si="7"/>
        <v>23.324107125242719</v>
      </c>
      <c r="BH10" s="59">
        <f t="shared" si="8"/>
        <v>239.88750457557336</v>
      </c>
      <c r="BI10" s="59">
        <f ca="1">AVERAGE(OFFSET($BH$3,0,0,'Données projet'!$E$11+1,1))-AVERAGE(OFFSET($H$3,0,0,'Données projet'!$E$11+1,1))</f>
        <v>332.93090933713466</v>
      </c>
      <c r="BJ10" s="59">
        <f t="shared" si="38"/>
        <v>251.83579649532973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2.5115384616666665</v>
      </c>
      <c r="BY10" s="12">
        <f>IF('Données projet'!$A$114&gt;35,BY9+BX10-CG9,IF(A10&lt;'Données projet'!$A$114,$BV$205^A10,IF(A10='Données projet'!$A$114,'Données projet'!$B$114,BY9+BX10-CG9)))</f>
        <v>2.7414537315429621</v>
      </c>
      <c r="BZ10" s="13">
        <f>BY10*VLOOKUP('Données projet'!$B$12,Paramètres!$A$1:$I$89,3,0)*VLOOKUP('Données projet'!$B$12,Paramètres!$A$1:$I$89,5,0)</f>
        <v>3.1219675094811254</v>
      </c>
      <c r="CA10" s="13">
        <f t="shared" si="39"/>
        <v>1.2601695476865633</v>
      </c>
      <c r="CB10" s="20">
        <f t="shared" si="10"/>
        <v>7.6322220412337236</v>
      </c>
      <c r="CC10" s="59">
        <f t="shared" si="11"/>
        <v>224.19561949156434</v>
      </c>
      <c r="CD10" s="59">
        <f ca="1">AVERAGE(OFFSET($CC$3,0,0,'Données projet'!$E$12+1,1))-AVERAGE(OFFSET($H$3,0,0,'Données projet'!$E$12+1,1))</f>
        <v>797.57191672067393</v>
      </c>
      <c r="CE10" s="59">
        <f t="shared" si="40"/>
        <v>238.59056544987126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7.5454545454545459</v>
      </c>
      <c r="CT10" s="12">
        <f>IF('Données projet'!$A$140&gt;35,CT9+CS10-DB9,IF(A10&lt;'Données projet'!$A$140,$CQ$205^A10,IF(A10='Données projet'!$A$140,'Données projet'!$B$140,CT9+CS10-DB9)))</f>
        <v>16.642996173511026</v>
      </c>
      <c r="CU10" s="17">
        <f>CT10*VLOOKUP('Données projet'!$B$13,Paramètres!$A$1:$I$89,3,0)*VLOOKUP('Données projet'!$B$13,Paramètres!$A$1:$I$89,5,0)</f>
        <v>9.9525117117595947</v>
      </c>
      <c r="CV10" s="13">
        <f t="shared" si="41"/>
        <v>3.5101477414317164</v>
      </c>
      <c r="CW10" s="20">
        <f t="shared" si="13"/>
        <v>23.447465214308199</v>
      </c>
      <c r="CX10" s="59">
        <f t="shared" si="14"/>
        <v>240.01086266463884</v>
      </c>
      <c r="CY10" s="59">
        <f ca="1">AVERAGE(OFFSET($CX$3,0,0,'Données projet'!$E$13+1,1))-AVERAGE(OFFSET($H$3,0,0,'Données projet'!$E$13+1,1))</f>
        <v>188.98184340090461</v>
      </c>
      <c r="CZ10" s="59">
        <f t="shared" si="42"/>
        <v>450.74604661797798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17.600000000000001</v>
      </c>
      <c r="DO10" s="12">
        <f>IF('Données projet'!$A$166&gt;35,DO9+DN10-DW9,IF(A10&lt;'Données projet'!$A$166,$DL$205^A10,IF(A10='Données projet'!$A$166,'Données projet'!$B$166,DO9+DN10-DW9)))</f>
        <v>68.2</v>
      </c>
      <c r="DP10" s="17">
        <f>DO10*VLOOKUP('Données projet'!$B$14,Paramètres!$A$1:$I$89,3,0)*VLOOKUP('Données projet'!$B$14,Paramètres!$A$1:$I$89,5,0)</f>
        <v>61.707360000000001</v>
      </c>
      <c r="DQ10" s="13">
        <f t="shared" si="43"/>
        <v>17.599235734890414</v>
      </c>
      <c r="DR10" s="20">
        <f t="shared" si="16"/>
        <v>138.12565423826746</v>
      </c>
      <c r="DS10" s="59">
        <f t="shared" si="17"/>
        <v>354.68905168859806</v>
      </c>
      <c r="DT10" s="59">
        <f ca="1">AVERAGE(OFFSET($DS$3,0,0,'Données projet'!$E$14+1,1))-AVERAGE(OFFSET($H$3,0,0,'Données projet'!$E$14+1,1))</f>
        <v>442.34161202733173</v>
      </c>
      <c r="DU10" s="59">
        <f t="shared" si="44"/>
        <v>622.90413492324399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2.5115384616666665</v>
      </c>
      <c r="EJ10" s="12">
        <f>IF('Données projet'!$A$192&gt;35,EJ9+EI10-ER9,IF(A10&lt;'Données projet'!$A$192,$EG$205^A10,IF(A10='Données projet'!$A$192,'Données projet'!$B$192,EJ9+EI10-ER9)))</f>
        <v>2.7414537315429621</v>
      </c>
      <c r="EK10" s="17">
        <f>EJ10*VLOOKUP('Données projet'!$B$15,Paramètres!$A$1:$I$89,3,0)*VLOOKUP('Données projet'!$B$15,Paramètres!$A$1:$I$89,5,0)</f>
        <v>2.9936674748449144</v>
      </c>
      <c r="EL10" s="13">
        <f t="shared" si="45"/>
        <v>1.2142986984717488</v>
      </c>
      <c r="EM10" s="20">
        <f t="shared" si="19"/>
        <v>7.3288744185265209</v>
      </c>
      <c r="EN10" s="59">
        <f t="shared" si="20"/>
        <v>223.89227186885714</v>
      </c>
      <c r="EO10" s="59">
        <f ca="1">AVERAGE(OFFSET($EN$3,0,0,'Données projet'!$E$15+1,1))-AVERAGE(OFFSET($H$3,0,0,'Données projet'!$E$15+1,1))</f>
        <v>767.9449852393318</v>
      </c>
      <c r="EP10" s="59">
        <f t="shared" si="46"/>
        <v>230.95605490295961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56.729411425847744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3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11</v>
      </c>
      <c r="H11" s="66">
        <f t="shared" si="1"/>
        <v>212.66666666666666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253.25185687884925</v>
      </c>
      <c r="S11" s="59">
        <f ca="1">AVERAGE(OFFSET($R$3,0,0,'Données projet'!$E$9+1,1))-AVERAGE(OFFSET($H$3,0,0,'Données projet'!$E$9+1,1))</f>
        <v>188.98184340090461</v>
      </c>
      <c r="T11" s="59">
        <f t="shared" si="34"/>
        <v>450.74604661797798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3.6141025633333332</v>
      </c>
      <c r="AI11" s="13">
        <f>IF('Données projet'!$A$62&gt;35,AI10+AH11-AQ10,IF(A11&lt;'Données projet'!$A$62,$AF$205^A11,IF(A11='Données projet'!$A$62,'Données projet'!$B$62,AI10+AH11-AQ10)))</f>
        <v>3.4889852016587599</v>
      </c>
      <c r="AJ11" s="13">
        <f>AI11*VLOOKUP('Données projet'!$B$10,Paramètres!$A$1:$I$89,3,0)*VLOOKUP('Données projet'!$B$10,Paramètres!$A$1:$I$89,5,0)</f>
        <v>3.1568338104608458</v>
      </c>
      <c r="AK11" s="13">
        <f t="shared" si="35"/>
        <v>1.2725969676782332</v>
      </c>
      <c r="AL11" s="20">
        <f t="shared" si="4"/>
        <v>7.7145919385922284</v>
      </c>
      <c r="AM11" s="59">
        <f t="shared" si="5"/>
        <v>226.34433343610237</v>
      </c>
      <c r="AN11" s="59">
        <f ca="1">AVERAGE(OFFSET($AM$3,0,0,'Données projet'!$E$10+1,1))-AVERAGE(OFFSET($H$3,0,0,'Données projet'!$E$10+1,1))</f>
        <v>725.60981534362895</v>
      </c>
      <c r="AO11" s="59">
        <f t="shared" si="36"/>
        <v>265.16078167969272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2.16</v>
      </c>
      <c r="BD11" s="12">
        <f>IF('Données projet'!$A$88&gt;35,BD10+BC11-BL10,IF(A11&lt;'Données projet'!$A$88,$BA$205^A11,IF(A11='Données projet'!$A$88,'Données projet'!$B$88,BD10+BC11-BL10)))</f>
        <v>11.683232003517153</v>
      </c>
      <c r="BE11" s="13">
        <f>BD11*VLOOKUP('Données projet'!$B$11,Paramètres!$A$1:$I$89,3,0)*VLOOKUP('Données projet'!$B$11,Paramètres!$A$1:$I$89,5,0)</f>
        <v>13.459083268051758</v>
      </c>
      <c r="BF11" s="13">
        <f t="shared" si="37"/>
        <v>4.583003015551772</v>
      </c>
      <c r="BG11" s="20">
        <f t="shared" si="7"/>
        <v>31.423300277276144</v>
      </c>
      <c r="BH11" s="59">
        <f t="shared" si="8"/>
        <v>250.05304177478629</v>
      </c>
      <c r="BI11" s="59">
        <f ca="1">AVERAGE(OFFSET($BH$3,0,0,'Données projet'!$E$11+1,1))-AVERAGE(OFFSET($H$3,0,0,'Données projet'!$E$11+1,1))</f>
        <v>332.93090933713466</v>
      </c>
      <c r="BJ11" s="59">
        <f t="shared" si="38"/>
        <v>251.83579649532973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2.5115384616666665</v>
      </c>
      <c r="BY11" s="12">
        <f>IF('Données projet'!$A$114&gt;35,BY10+BX11-CG10,IF(A11&lt;'Données projet'!$A$114,$BV$205^A11,IF(A11='Données projet'!$A$114,'Données projet'!$B$114,BY10+BX11-CG10)))</f>
        <v>3.1662822293996018</v>
      </c>
      <c r="BZ11" s="13">
        <f>BY11*VLOOKUP('Données projet'!$B$12,Paramètres!$A$1:$I$89,3,0)*VLOOKUP('Données projet'!$B$12,Paramètres!$A$1:$I$89,5,0)</f>
        <v>3.6057622028402663</v>
      </c>
      <c r="CA11" s="13">
        <f t="shared" si="39"/>
        <v>1.4312473200410891</v>
      </c>
      <c r="CB11" s="20">
        <f t="shared" si="10"/>
        <v>8.7727915856850256</v>
      </c>
      <c r="CC11" s="59">
        <f t="shared" si="11"/>
        <v>227.40253308319515</v>
      </c>
      <c r="CD11" s="59">
        <f ca="1">AVERAGE(OFFSET($CC$3,0,0,'Données projet'!$E$12+1,1))-AVERAGE(OFFSET($H$3,0,0,'Données projet'!$E$12+1,1))</f>
        <v>797.57191672067393</v>
      </c>
      <c r="CE11" s="59">
        <f t="shared" si="40"/>
        <v>238.59056544987126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7.5454545454545459</v>
      </c>
      <c r="CT11" s="12">
        <f>IF('Données projet'!$A$140&gt;35,CT10+CS11-DB10,IF(A11&lt;'Données projet'!$A$140,$CQ$205^A11,IF(A11='Données projet'!$A$140,'Données projet'!$B$140,CT10+CS11-DB10)))</f>
        <v>24.870994879596463</v>
      </c>
      <c r="CU11" s="17">
        <f>CT11*VLOOKUP('Données projet'!$B$13,Paramètres!$A$1:$I$89,3,0)*VLOOKUP('Données projet'!$B$13,Paramètres!$A$1:$I$89,5,0)</f>
        <v>14.872854937998687</v>
      </c>
      <c r="CV11" s="13">
        <f t="shared" si="41"/>
        <v>5.0058715967414829</v>
      </c>
      <c r="CW11" s="20">
        <f t="shared" si="13"/>
        <v>34.622115381339128</v>
      </c>
      <c r="CX11" s="59">
        <f t="shared" si="14"/>
        <v>253.25185687884925</v>
      </c>
      <c r="CY11" s="59">
        <f ca="1">AVERAGE(OFFSET($CX$3,0,0,'Données projet'!$E$13+1,1))-AVERAGE(OFFSET($H$3,0,0,'Données projet'!$E$13+1,1))</f>
        <v>188.98184340090461</v>
      </c>
      <c r="CZ11" s="59">
        <f t="shared" si="42"/>
        <v>450.74604661797798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17.600000000000001</v>
      </c>
      <c r="DO11" s="12">
        <f>IF('Données projet'!$A$166&gt;35,DO10+DN11-DW10,IF(A11&lt;'Données projet'!$A$166,$DL$205^A11,IF(A11='Données projet'!$A$166,'Données projet'!$B$166,DO10+DN11-DW10)))</f>
        <v>85.800000000000011</v>
      </c>
      <c r="DP11" s="17">
        <f>DO11*VLOOKUP('Données projet'!$B$14,Paramètres!$A$1:$I$89,3,0)*VLOOKUP('Données projet'!$B$14,Paramètres!$A$1:$I$89,5,0)</f>
        <v>77.631840000000011</v>
      </c>
      <c r="DQ11" s="13">
        <f t="shared" si="43"/>
        <v>21.557147963295233</v>
      </c>
      <c r="DR11" s="20">
        <f t="shared" si="16"/>
        <v>172.75415403607255</v>
      </c>
      <c r="DS11" s="59">
        <f t="shared" si="17"/>
        <v>391.38389553358269</v>
      </c>
      <c r="DT11" s="59">
        <f ca="1">AVERAGE(OFFSET($DS$3,0,0,'Données projet'!$E$14+1,1))-AVERAGE(OFFSET($H$3,0,0,'Données projet'!$E$14+1,1))</f>
        <v>442.34161202733173</v>
      </c>
      <c r="DU11" s="59">
        <f t="shared" si="44"/>
        <v>622.90413492324399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2.5115384616666665</v>
      </c>
      <c r="EJ11" s="12">
        <f>IF('Données projet'!$A$192&gt;35,EJ10+EI11-ER10,IF(A11&lt;'Données projet'!$A$192,$EG$205^A11,IF(A11='Données projet'!$A$192,'Données projet'!$B$192,EJ10+EI11-ER10)))</f>
        <v>3.1662822293996018</v>
      </c>
      <c r="EK11" s="17">
        <f>EJ11*VLOOKUP('Données projet'!$B$15,Paramètres!$A$1:$I$89,3,0)*VLOOKUP('Données projet'!$B$15,Paramètres!$A$1:$I$89,5,0)</f>
        <v>3.4575801945043652</v>
      </c>
      <c r="EL11" s="13">
        <f t="shared" si="45"/>
        <v>1.3791491479123965</v>
      </c>
      <c r="EM11" s="20">
        <f t="shared" si="19"/>
        <v>8.4239702713758593</v>
      </c>
      <c r="EN11" s="59">
        <f t="shared" si="20"/>
        <v>227.05371176888599</v>
      </c>
      <c r="EO11" s="59">
        <f ca="1">AVERAGE(OFFSET($EN$3,0,0,'Données projet'!$E$15+1,1))-AVERAGE(OFFSET($H$3,0,0,'Données projet'!$E$15+1,1))</f>
        <v>767.9449852393318</v>
      </c>
      <c r="EP11" s="59">
        <f t="shared" si="46"/>
        <v>230.95605490295961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56.959626469017913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3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11</v>
      </c>
      <c r="H12" s="66">
        <f t="shared" si="1"/>
        <v>212.66666666666666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271.82491271437362</v>
      </c>
      <c r="S12" s="59">
        <f ca="1">AVERAGE(OFFSET($R$3,0,0,'Données projet'!$E$9+1,1))-AVERAGE(OFFSET($H$3,0,0,'Données projet'!$E$9+1,1))</f>
        <v>188.98184340090461</v>
      </c>
      <c r="T12" s="59">
        <f t="shared" si="34"/>
        <v>450.74604661797798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3.6141025633333332</v>
      </c>
      <c r="AI12" s="13">
        <f>IF('Données projet'!$A$62&gt;35,AI11+AH12-AQ11,IF(A12&lt;'Données projet'!$A$62,$AF$205^A12,IF(A12='Données projet'!$A$62,'Données projet'!$B$62,AI11+AH12-AQ11)))</f>
        <v>4.0788385789249118</v>
      </c>
      <c r="AJ12" s="13">
        <f>AI12*VLOOKUP('Données projet'!$B$10,Paramètres!$A$1:$I$89,3,0)*VLOOKUP('Données projet'!$B$10,Paramètres!$A$1:$I$89,5,0)</f>
        <v>3.6905331462112598</v>
      </c>
      <c r="AK12" s="13">
        <f t="shared" si="35"/>
        <v>1.4609387305492803</v>
      </c>
      <c r="AL12" s="20">
        <f t="shared" si="4"/>
        <v>8.9721468520246077</v>
      </c>
      <c r="AM12" s="59">
        <f t="shared" si="5"/>
        <v>229.65358877022487</v>
      </c>
      <c r="AN12" s="59">
        <f ca="1">AVERAGE(OFFSET($AM$3,0,0,'Données projet'!$E$10+1,1))-AVERAGE(OFFSET($H$3,0,0,'Données projet'!$E$10+1,1))</f>
        <v>725.60981534362895</v>
      </c>
      <c r="AO12" s="59">
        <f t="shared" si="36"/>
        <v>265.16078167969272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2.16</v>
      </c>
      <c r="BD12" s="12">
        <f>IF('Données projet'!$A$88&gt;35,BD11+BC12-BL11,IF(A12&lt;'Données projet'!$A$88,$BA$205^A12,IF(A12='Données projet'!$A$88,'Données projet'!$B$88,BD11+BC12-BL11)))</f>
        <v>15.885773864561038</v>
      </c>
      <c r="BE12" s="13">
        <f>BD12*VLOOKUP('Données projet'!$B$11,Paramètres!$A$1:$I$89,3,0)*VLOOKUP('Données projet'!$B$11,Paramètres!$A$1:$I$89,5,0)</f>
        <v>18.300411491974312</v>
      </c>
      <c r="BF12" s="13">
        <f t="shared" si="37"/>
        <v>6.012602269690853</v>
      </c>
      <c r="BG12" s="20">
        <f t="shared" si="7"/>
        <v>42.345165634900162</v>
      </c>
      <c r="BH12" s="59">
        <f t="shared" si="8"/>
        <v>263.0266075531004</v>
      </c>
      <c r="BI12" s="59">
        <f ca="1">AVERAGE(OFFSET($BH$3,0,0,'Données projet'!$E$11+1,1))-AVERAGE(OFFSET($H$3,0,0,'Données projet'!$E$11+1,1))</f>
        <v>332.93090933713466</v>
      </c>
      <c r="BJ12" s="59">
        <f t="shared" si="38"/>
        <v>251.83579649532973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2.5115384616666665</v>
      </c>
      <c r="BY12" s="12">
        <f>IF('Données projet'!$A$114&gt;35,BY11+BX12-CG11,IF(A12&lt;'Données projet'!$A$114,$BV$205^A12,IF(A12='Données projet'!$A$114,'Données projet'!$B$114,BY11+BX12-CG11)))</f>
        <v>3.6569441391116189</v>
      </c>
      <c r="BZ12" s="13">
        <f>BY12*VLOOKUP('Données projet'!$B$12,Paramètres!$A$1:$I$89,3,0)*VLOOKUP('Données projet'!$B$12,Paramètres!$A$1:$I$89,5,0)</f>
        <v>4.1645279856203112</v>
      </c>
      <c r="CA12" s="13">
        <f t="shared" si="39"/>
        <v>1.6255502244800379</v>
      </c>
      <c r="CB12" s="20">
        <f t="shared" si="10"/>
        <v>10.084386215924773</v>
      </c>
      <c r="CC12" s="59">
        <f t="shared" si="11"/>
        <v>230.76582813412503</v>
      </c>
      <c r="CD12" s="59">
        <f ca="1">AVERAGE(OFFSET($CC$3,0,0,'Données projet'!$E$12+1,1))-AVERAGE(OFFSET($H$3,0,0,'Données projet'!$E$12+1,1))</f>
        <v>797.57191672067393</v>
      </c>
      <c r="CE12" s="59">
        <f t="shared" si="40"/>
        <v>238.59056544987126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7.5454545454545459</v>
      </c>
      <c r="CT12" s="12">
        <f>IF('Données projet'!$A$140&gt;35,CT11+CS12-DB11,IF(A12&lt;'Données projet'!$A$140,$CQ$205^A12,IF(A12='Données projet'!$A$140,'Données projet'!$B$140,CT11+CS12-DB11)))</f>
        <v>37.166768522450475</v>
      </c>
      <c r="CU12" s="17">
        <f>CT12*VLOOKUP('Données projet'!$B$13,Paramètres!$A$1:$I$89,3,0)*VLOOKUP('Données projet'!$B$13,Paramètres!$A$1:$I$89,5,0)</f>
        <v>22.225727576425388</v>
      </c>
      <c r="CV12" s="13">
        <f t="shared" si="41"/>
        <v>7.1389446510425687</v>
      </c>
      <c r="CW12" s="20">
        <f t="shared" si="13"/>
        <v>51.143470796173354</v>
      </c>
      <c r="CX12" s="59">
        <f t="shared" si="14"/>
        <v>271.82491271437362</v>
      </c>
      <c r="CY12" s="59">
        <f ca="1">AVERAGE(OFFSET($CX$3,0,0,'Données projet'!$E$13+1,1))-AVERAGE(OFFSET($H$3,0,0,'Données projet'!$E$13+1,1))</f>
        <v>188.98184340090461</v>
      </c>
      <c r="CZ12" s="59">
        <f t="shared" si="42"/>
        <v>450.74604661797798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17.600000000000001</v>
      </c>
      <c r="DO12" s="12">
        <f>IF('Données projet'!$A$166&gt;35,DO11+DN12-DW11,IF(A12&lt;'Données projet'!$A$166,$DL$205^A12,IF(A12='Données projet'!$A$166,'Données projet'!$B$166,DO11+DN12-DW11)))</f>
        <v>103.4</v>
      </c>
      <c r="DP12" s="17">
        <f>DO12*VLOOKUP('Données projet'!$B$14,Paramètres!$A$1:$I$89,3,0)*VLOOKUP('Données projet'!$B$14,Paramètres!$A$1:$I$89,5,0)</f>
        <v>93.556319999999999</v>
      </c>
      <c r="DQ12" s="13">
        <f t="shared" si="43"/>
        <v>25.420979659258073</v>
      </c>
      <c r="DR12" s="20">
        <f t="shared" si="16"/>
        <v>207.21879690654114</v>
      </c>
      <c r="DS12" s="59">
        <f t="shared" si="17"/>
        <v>427.90023882474139</v>
      </c>
      <c r="DT12" s="59">
        <f ca="1">AVERAGE(OFFSET($DS$3,0,0,'Données projet'!$E$14+1,1))-AVERAGE(OFFSET($H$3,0,0,'Données projet'!$E$14+1,1))</f>
        <v>442.34161202733173</v>
      </c>
      <c r="DU12" s="59">
        <f t="shared" si="44"/>
        <v>622.90413492324399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2.5115384616666665</v>
      </c>
      <c r="EJ12" s="12">
        <f>IF('Données projet'!$A$192&gt;35,EJ11+EI12-ER11,IF(A12&lt;'Données projet'!$A$192,$EG$205^A12,IF(A12='Données projet'!$A$192,'Données projet'!$B$192,EJ11+EI12-ER11)))</f>
        <v>3.6569441391116189</v>
      </c>
      <c r="EK12" s="17">
        <f>EJ12*VLOOKUP('Données projet'!$B$15,Paramètres!$A$1:$I$89,3,0)*VLOOKUP('Données projet'!$B$15,Paramètres!$A$1:$I$89,5,0)</f>
        <v>3.9933829999098878</v>
      </c>
      <c r="EL12" s="13">
        <f t="shared" si="45"/>
        <v>1.5663793221398576</v>
      </c>
      <c r="EM12" s="20">
        <f t="shared" si="19"/>
        <v>9.6832527109033055</v>
      </c>
      <c r="EN12" s="59">
        <f t="shared" si="20"/>
        <v>230.36469462910355</v>
      </c>
      <c r="EO12" s="59">
        <f ca="1">AVERAGE(OFFSET($EN$3,0,0,'Données projet'!$E$15+1,1))-AVERAGE(OFFSET($H$3,0,0,'Données projet'!$E$15+1,1))</f>
        <v>767.9449852393318</v>
      </c>
      <c r="EP12" s="59">
        <f t="shared" si="46"/>
        <v>230.95605490295961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57.185847795872803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3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11</v>
      </c>
      <c r="H13" s="66">
        <f t="shared" si="1"/>
        <v>212.66666666666666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298.29781864364622</v>
      </c>
      <c r="S13" s="59">
        <f ca="1">AVERAGE(OFFSET($R$3,0,0,'Données projet'!$E$9+1,1))-AVERAGE(OFFSET($H$3,0,0,'Données projet'!$E$9+1,1))</f>
        <v>188.98184340090461</v>
      </c>
      <c r="T13" s="59">
        <f t="shared" si="34"/>
        <v>450.74604661797798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3.6141025633333332</v>
      </c>
      <c r="AI13" s="13">
        <f>IF('Données projet'!$A$62&gt;35,AI12+AH13-AQ12,IF(A13&lt;'Données projet'!$A$62,$AF$205^A13,IF(A13='Données projet'!$A$62,'Données projet'!$B$62,AI12+AH13-AQ12)))</f>
        <v>4.7684135045962757</v>
      </c>
      <c r="AJ13" s="13">
        <f>AI13*VLOOKUP('Données projet'!$B$10,Paramètres!$A$1:$I$89,3,0)*VLOOKUP('Données projet'!$B$10,Paramètres!$A$1:$I$89,5,0)</f>
        <v>4.3144605389587101</v>
      </c>
      <c r="AK13" s="13">
        <f t="shared" si="35"/>
        <v>1.6771546912553981</v>
      </c>
      <c r="AL13" s="20">
        <f t="shared" si="4"/>
        <v>10.435396525956238</v>
      </c>
      <c r="AM13" s="59">
        <f t="shared" si="5"/>
        <v>233.15414927253872</v>
      </c>
      <c r="AN13" s="59">
        <f ca="1">AVERAGE(OFFSET($AM$3,0,0,'Données projet'!$E$10+1,1))-AVERAGE(OFFSET($H$3,0,0,'Données projet'!$E$10+1,1))</f>
        <v>725.60981534362895</v>
      </c>
      <c r="AO13" s="59">
        <f t="shared" si="36"/>
        <v>265.16078167969272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21.6</v>
      </c>
      <c r="BB13" s="12">
        <f>VLOOKUP(A13,'Données projet'!$A$87:$I$107,9,0)</f>
        <v>2.16</v>
      </c>
      <c r="BC13" s="12">
        <f t="array" ref="BC13">INDEX(BB:BB,MIN(IF(ISNUMBER(BB13:BB209),ROW(BB13:BB209),"")))</f>
        <v>2.16</v>
      </c>
      <c r="BD13" s="12">
        <f>IF('Données projet'!$A$88&gt;35,BD12+BC13-BL12,IF(A13&lt;'Données projet'!$A$88,$BA$205^A13,IF(A13='Données projet'!$A$88,'Données projet'!$B$88,BD12+BC13-BL12)))</f>
        <v>21.6</v>
      </c>
      <c r="BE13" s="13">
        <f>BD13*VLOOKUP('Données projet'!$B$11,Paramètres!$A$1:$I$89,3,0)*VLOOKUP('Données projet'!$B$11,Paramètres!$A$1:$I$89,5,0)</f>
        <v>24.883199999999999</v>
      </c>
      <c r="BF13" s="13">
        <f t="shared" si="37"/>
        <v>7.8881436322029383</v>
      </c>
      <c r="BG13" s="20">
        <f t="shared" si="7"/>
        <v>57.076756826086772</v>
      </c>
      <c r="BH13" s="59">
        <f t="shared" si="8"/>
        <v>279.79550957266923</v>
      </c>
      <c r="BI13" s="59">
        <f ca="1">AVERAGE(OFFSET($BH$3,0,0,'Données projet'!$E$11+1,1))-AVERAGE(OFFSET($H$3,0,0,'Données projet'!$E$11+1,1))</f>
        <v>332.93090933713466</v>
      </c>
      <c r="BJ13" s="59">
        <f t="shared" si="38"/>
        <v>251.83579649532973</v>
      </c>
      <c r="BK13" s="15">
        <f>IF(ISNA(VLOOKUP(A13,'Données projet'!$A$87:$I$107,3,0)),0,VLOOKUP(A13,'Données projet'!$A$87:$I$107,3,0))</f>
        <v>1</v>
      </c>
      <c r="BL13" s="15">
        <f>IF(ISNA(VLOOKUP(A13,'Données projet'!$A$87:$I$107,4,0)),0,VLOOKUP(A13,'Données projet'!$A$87:$I$107,4,0))</f>
        <v>3.9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1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2.755400519260407</v>
      </c>
      <c r="BS13" s="22">
        <f t="shared" si="9"/>
        <v>2.755400519260407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2.5115384616666665</v>
      </c>
      <c r="BY13" s="12">
        <f>IF('Données projet'!$A$114&gt;35,BY12+BX13-CG12,IF(A13&lt;'Données projet'!$A$114,$BV$205^A13,IF(A13='Données projet'!$A$114,'Données projet'!$B$114,BY12+BX13-CG12)))</f>
        <v>4.2236413142231752</v>
      </c>
      <c r="BZ13" s="13">
        <f>BY13*VLOOKUP('Données projet'!$B$12,Paramètres!$A$1:$I$89,3,0)*VLOOKUP('Données projet'!$B$12,Paramètres!$A$1:$I$89,5,0)</f>
        <v>4.8098827286373522</v>
      </c>
      <c r="CA13" s="13">
        <f t="shared" si="39"/>
        <v>1.846231252493274</v>
      </c>
      <c r="CB13" s="20">
        <f t="shared" si="10"/>
        <v>11.592731850469173</v>
      </c>
      <c r="CC13" s="59">
        <f t="shared" si="11"/>
        <v>234.31148459705165</v>
      </c>
      <c r="CD13" s="59">
        <f ca="1">AVERAGE(OFFSET($CC$3,0,0,'Données projet'!$E$12+1,1))-AVERAGE(OFFSET($H$3,0,0,'Données projet'!$E$12+1,1))</f>
        <v>797.57191672067393</v>
      </c>
      <c r="CE13" s="59">
        <f t="shared" si="40"/>
        <v>238.59056544987126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7.5454545454545459</v>
      </c>
      <c r="CT13" s="12">
        <f>IF('Données projet'!$A$140&gt;35,CT12+CS13-DB12,IF(A13&lt;'Données projet'!$A$140,$CQ$205^A13,IF(A13='Données projet'!$A$140,'Données projet'!$B$140,CT12+CS13-DB12)))</f>
        <v>55.541352048391744</v>
      </c>
      <c r="CU13" s="17">
        <f>CT13*VLOOKUP('Données projet'!$B$13,Paramètres!$A$1:$I$89,3,0)*VLOOKUP('Données projet'!$B$13,Paramètres!$A$1:$I$89,5,0)</f>
        <v>33.213728524938269</v>
      </c>
      <c r="CV13" s="13">
        <f t="shared" si="41"/>
        <v>10.180950459021789</v>
      </c>
      <c r="CW13" s="20">
        <f t="shared" si="13"/>
        <v>75.579065897063757</v>
      </c>
      <c r="CX13" s="59">
        <f t="shared" si="14"/>
        <v>298.29781864364622</v>
      </c>
      <c r="CY13" s="59">
        <f ca="1">AVERAGE(OFFSET($CX$3,0,0,'Données projet'!$E$13+1,1))-AVERAGE(OFFSET($H$3,0,0,'Données projet'!$E$13+1,1))</f>
        <v>188.98184340090461</v>
      </c>
      <c r="CZ13" s="59">
        <f t="shared" si="42"/>
        <v>450.74604661797798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>
        <f>VLOOKUP(A13,'Données projet'!$A$165:$I$185,2,0)</f>
        <v>121</v>
      </c>
      <c r="DM13" s="12">
        <f>VLOOKUP(A13,'Données projet'!$A$165:$I$185,9,0)</f>
        <v>17.600000000000001</v>
      </c>
      <c r="DN13" s="12">
        <f t="array" ref="DN13">INDEX(DM:DM,MIN(IF(ISNUMBER(DM13:DM209),ROW(DM13:DM209),"")))</f>
        <v>17.600000000000001</v>
      </c>
      <c r="DO13" s="12">
        <f>IF('Données projet'!$A$166&gt;35,DO12+DN13-DW12,IF(A13&lt;'Données projet'!$A$166,$DL$205^A13,IF(A13='Données projet'!$A$166,'Données projet'!$B$166,DO12+DN13-DW12)))</f>
        <v>121</v>
      </c>
      <c r="DP13" s="17">
        <f>DO13*VLOOKUP('Données projet'!$B$14,Paramètres!$A$1:$I$89,3,0)*VLOOKUP('Données projet'!$B$14,Paramètres!$A$1:$I$89,5,0)</f>
        <v>109.48079999999999</v>
      </c>
      <c r="DQ13" s="13">
        <f t="shared" si="43"/>
        <v>29.208623339903898</v>
      </c>
      <c r="DR13" s="20">
        <f t="shared" si="16"/>
        <v>241.5507456503326</v>
      </c>
      <c r="DS13" s="59">
        <f t="shared" si="17"/>
        <v>464.26949839691508</v>
      </c>
      <c r="DT13" s="59">
        <f ca="1">AVERAGE(OFFSET($DS$3,0,0,'Données projet'!$E$14+1,1))-AVERAGE(OFFSET($H$3,0,0,'Données projet'!$E$14+1,1))</f>
        <v>442.34161202733173</v>
      </c>
      <c r="DU13" s="59">
        <f t="shared" si="44"/>
        <v>622.90413492324399</v>
      </c>
      <c r="DV13" s="15">
        <f>IF(ISNA(VLOOKUP(A13,'Données projet'!$A$165:$I$185,3,0)),0,VLOOKUP(A13,'Données projet'!$A$165:$I$185,3,0))</f>
        <v>2</v>
      </c>
      <c r="DW13" s="15">
        <f>IF(ISNA(VLOOKUP(A13,'Données projet'!$A$165:$I$185,4,0)),0,VLOOKUP(A13,'Données projet'!$A$165:$I$185,4,0))</f>
        <v>37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2.5115384616666665</v>
      </c>
      <c r="EJ13" s="12">
        <f>IF('Données projet'!$A$192&gt;35,EJ12+EI13-ER12,IF(A13&lt;'Données projet'!$A$192,$EG$205^A13,IF(A13='Données projet'!$A$192,'Données projet'!$B$192,EJ12+EI13-ER12)))</f>
        <v>4.2236413142231752</v>
      </c>
      <c r="EK13" s="17">
        <f>EJ13*VLOOKUP('Données projet'!$B$15,Paramètres!$A$1:$I$89,3,0)*VLOOKUP('Données projet'!$B$15,Paramètres!$A$1:$I$89,5,0)</f>
        <v>4.6122163151317075</v>
      </c>
      <c r="EL13" s="13">
        <f t="shared" si="45"/>
        <v>1.7790274420581875</v>
      </c>
      <c r="EM13" s="20">
        <f t="shared" si="19"/>
        <v>11.131416210439065</v>
      </c>
      <c r="EN13" s="59">
        <f t="shared" si="20"/>
        <v>233.85016895702154</v>
      </c>
      <c r="EO13" s="59">
        <f ca="1">AVERAGE(OFFSET($EN$3,0,0,'Données projet'!$E$15+1,1))-AVERAGE(OFFSET($H$3,0,0,'Données projet'!$E$15+1,1))</f>
        <v>767.9449852393318</v>
      </c>
      <c r="EP13" s="59">
        <f t="shared" si="46"/>
        <v>230.95605490295961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57.408144688461888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3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11</v>
      </c>
      <c r="H14" s="66">
        <f t="shared" si="1"/>
        <v>212.66666666666666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336.47541045581983</v>
      </c>
      <c r="S14" s="59">
        <f ca="1">AVERAGE(OFFSET($R$3,0,0,'Données projet'!$E$9+1,1))-AVERAGE(OFFSET($H$3,0,0,'Données projet'!$E$9+1,1))</f>
        <v>188.98184340090461</v>
      </c>
      <c r="T14" s="59">
        <f t="shared" si="34"/>
        <v>450.74604661797798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3.6141025633333332</v>
      </c>
      <c r="AI14" s="13">
        <f>IF('Données projet'!$A$62&gt;35,AI13+AH14-AQ13,IF(A14&lt;'Données projet'!$A$62,$AF$205^A14,IF(A14='Données projet'!$A$62,'Données projet'!$B$62,AI13+AH14-AQ13)))</f>
        <v>5.5745690619630484</v>
      </c>
      <c r="AJ14" s="13">
        <f>AI14*VLOOKUP('Données projet'!$B$10,Paramètres!$A$1:$I$89,3,0)*VLOOKUP('Données projet'!$B$10,Paramètres!$A$1:$I$89,5,0)</f>
        <v>5.0438700872641657</v>
      </c>
      <c r="AK14" s="13">
        <f t="shared" si="35"/>
        <v>1.925370174382619</v>
      </c>
      <c r="AL14" s="20">
        <f t="shared" si="4"/>
        <v>12.138093455701485</v>
      </c>
      <c r="AM14" s="59">
        <f t="shared" si="5"/>
        <v>236.8800170656144</v>
      </c>
      <c r="AN14" s="59">
        <f ca="1">AVERAGE(OFFSET($AM$3,0,0,'Données projet'!$E$10+1,1))-AVERAGE(OFFSET($H$3,0,0,'Données projet'!$E$10+1,1))</f>
        <v>725.60981534362895</v>
      </c>
      <c r="AO14" s="59">
        <f t="shared" si="36"/>
        <v>265.16078167969272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3.5599999999999996</v>
      </c>
      <c r="BD14" s="12">
        <f>IF('Données projet'!$A$88&gt;35,BD13+BC14-BL13,IF(A14&lt;'Données projet'!$A$88,$BA$205^A14,IF(A14='Données projet'!$A$88,'Données projet'!$B$88,BD13+BC14-BL13)))</f>
        <v>21.26</v>
      </c>
      <c r="BE14" s="13">
        <f>BD14*VLOOKUP('Données projet'!$B$11,Paramètres!$A$1:$I$89,3,0)*VLOOKUP('Données projet'!$B$11,Paramètres!$A$1:$I$89,5,0)</f>
        <v>24.491520000000001</v>
      </c>
      <c r="BF14" s="13">
        <f t="shared" si="37"/>
        <v>7.7783301379791538</v>
      </c>
      <c r="BG14" s="20">
        <f t="shared" si="7"/>
        <v>56.203322323647022</v>
      </c>
      <c r="BH14" s="59">
        <f t="shared" si="8"/>
        <v>280.94524593355993</v>
      </c>
      <c r="BI14" s="59">
        <f ca="1">AVERAGE(OFFSET($BH$3,0,0,'Données projet'!$E$11+1,1))-AVERAGE(OFFSET($H$3,0,0,'Données projet'!$E$11+1,1))</f>
        <v>332.93090933713466</v>
      </c>
      <c r="BJ14" s="59">
        <f t="shared" si="38"/>
        <v>251.83579649532973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1.9483623920539681</v>
      </c>
      <c r="BS14" s="22">
        <f t="shared" si="9"/>
        <v>1.9483623920539681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2.5115384616666665</v>
      </c>
      <c r="BY14" s="12">
        <f>IF('Données projet'!$A$114&gt;35,BY13+BX14-CG13,IF(A14&lt;'Données projet'!$A$114,$BV$205^A14,IF(A14='Données projet'!$A$114,'Données projet'!$B$114,BY13+BX14-CG13)))</f>
        <v>4.8781565352394285</v>
      </c>
      <c r="BZ14" s="13">
        <f>BY14*VLOOKUP('Données projet'!$B$12,Paramètres!$A$1:$I$89,3,0)*VLOOKUP('Données projet'!$B$12,Paramètres!$A$1:$I$89,5,0)</f>
        <v>5.5552446623306606</v>
      </c>
      <c r="CA14" s="13">
        <f t="shared" si="39"/>
        <v>2.0968714385759291</v>
      </c>
      <c r="CB14" s="20">
        <f t="shared" si="10"/>
        <v>13.327435542412308</v>
      </c>
      <c r="CC14" s="59">
        <f t="shared" si="11"/>
        <v>238.06935915232521</v>
      </c>
      <c r="CD14" s="59">
        <f ca="1">AVERAGE(OFFSET($CC$3,0,0,'Données projet'!$E$12+1,1))-AVERAGE(OFFSET($H$3,0,0,'Données projet'!$E$12+1,1))</f>
        <v>797.57191672067393</v>
      </c>
      <c r="CE14" s="59">
        <f t="shared" si="40"/>
        <v>238.59056544987126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>
        <f>VLOOKUP(A14,'Données projet'!$A$139:$I$159,2,0)</f>
        <v>83</v>
      </c>
      <c r="CR14" s="12">
        <f>VLOOKUP(A14,'Données projet'!$A$139:$I$159,9,0)</f>
        <v>7.5454545454545459</v>
      </c>
      <c r="CS14" s="12">
        <f t="array" ref="CS14">INDEX(CR:CR,MIN(IF(ISNUMBER(CR14:CR210),ROW(CR14:CR210),"")))</f>
        <v>7.5454545454545459</v>
      </c>
      <c r="CT14" s="12">
        <f>IF('Données projet'!$A$140&gt;35,CT13+CS14-DB13,IF(A14&lt;'Données projet'!$A$140,$CQ$205^A14,IF(A14='Données projet'!$A$140,'Données projet'!$B$140,CT13+CS14-DB13)))</f>
        <v>83</v>
      </c>
      <c r="CU14" s="17">
        <f>CT14*VLOOKUP('Données projet'!$B$13,Paramètres!$A$1:$I$89,3,0)*VLOOKUP('Données projet'!$B$13,Paramètres!$A$1:$I$89,5,0)</f>
        <v>49.634</v>
      </c>
      <c r="CV14" s="13">
        <f t="shared" si="41"/>
        <v>14.519198189037462</v>
      </c>
      <c r="CW14" s="20">
        <f t="shared" si="13"/>
        <v>111.73348684590691</v>
      </c>
      <c r="CX14" s="59">
        <f t="shared" si="14"/>
        <v>336.47541045581983</v>
      </c>
      <c r="CY14" s="59">
        <f ca="1">AVERAGE(OFFSET($CX$3,0,0,'Données projet'!$E$13+1,1))-AVERAGE(OFFSET($H$3,0,0,'Données projet'!$E$13+1,1))</f>
        <v>188.98184340090461</v>
      </c>
      <c r="CZ14" s="59">
        <f t="shared" si="42"/>
        <v>450.74604661797798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17.2</v>
      </c>
      <c r="DO14" s="12">
        <f>IF('Données projet'!$A$166&gt;35,DO13+DN14-DW13,IF(A14&lt;'Données projet'!$A$166,$DL$205^A14,IF(A14='Données projet'!$A$166,'Données projet'!$B$166,DO13+DN14-DW13)))</f>
        <v>101.19999999999999</v>
      </c>
      <c r="DP14" s="17">
        <f>DO14*VLOOKUP('Données projet'!$B$14,Paramètres!$A$1:$I$89,3,0)*VLOOKUP('Données projet'!$B$14,Paramètres!$A$1:$I$89,5,0)</f>
        <v>91.565759999999983</v>
      </c>
      <c r="DQ14" s="13">
        <f t="shared" si="43"/>
        <v>24.942468702082348</v>
      </c>
      <c r="DR14" s="20">
        <f t="shared" si="16"/>
        <v>202.9184983227934</v>
      </c>
      <c r="DS14" s="59">
        <f t="shared" si="17"/>
        <v>427.6604219327063</v>
      </c>
      <c r="DT14" s="59">
        <f ca="1">AVERAGE(OFFSET($DS$3,0,0,'Données projet'!$E$14+1,1))-AVERAGE(OFFSET($H$3,0,0,'Données projet'!$E$14+1,1))</f>
        <v>442.34161202733173</v>
      </c>
      <c r="DU14" s="59">
        <f t="shared" si="44"/>
        <v>622.90413492324399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2.5115384616666665</v>
      </c>
      <c r="EJ14" s="12">
        <f>IF('Données projet'!$A$192&gt;35,EJ13+EI14-ER13,IF(A14&lt;'Données projet'!$A$192,$EG$205^A14,IF(A14='Données projet'!$A$192,'Données projet'!$B$192,EJ13+EI14-ER13)))</f>
        <v>4.8781565352394285</v>
      </c>
      <c r="EK14" s="17">
        <f>EJ14*VLOOKUP('Données projet'!$B$15,Paramètres!$A$1:$I$89,3,0)*VLOOKUP('Données projet'!$B$15,Paramètres!$A$1:$I$89,5,0)</f>
        <v>5.3269469364814563</v>
      </c>
      <c r="EL14" s="13">
        <f t="shared" si="45"/>
        <v>2.0205441905811297</v>
      </c>
      <c r="EM14" s="20">
        <f t="shared" si="19"/>
        <v>12.796880379634004</v>
      </c>
      <c r="EN14" s="59">
        <f t="shared" si="20"/>
        <v>237.53880398954692</v>
      </c>
      <c r="EO14" s="59">
        <f ca="1">AVERAGE(OFFSET($EN$3,0,0,'Données projet'!$E$15+1,1))-AVERAGE(OFFSET($H$3,0,0,'Données projet'!$E$15+1,1))</f>
        <v>767.9449852393318</v>
      </c>
      <c r="EP14" s="59">
        <f t="shared" si="46"/>
        <v>230.95605490295961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57.626585226945949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3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</v>
      </c>
      <c r="H15" s="66">
        <f t="shared" si="1"/>
        <v>212.66666666666666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368.54046441975322</v>
      </c>
      <c r="S15" s="59">
        <f ca="1">AVERAGE(OFFSET($R$3,0,0,'Données projet'!$E$9+1,1))-AVERAGE(OFFSET($H$3,0,0,'Données projet'!$E$9+1,1))</f>
        <v>188.98184340090461</v>
      </c>
      <c r="T15" s="59">
        <f t="shared" si="34"/>
        <v>450.74604661797798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3.6141025633333332</v>
      </c>
      <c r="AI15" s="13">
        <f>IF('Données projet'!$A$62&gt;35,AI14+AH15-AQ14,IF(A15&lt;'Données projet'!$A$62,$AF$205^A15,IF(A15='Données projet'!$A$62,'Données projet'!$B$62,AI14+AH15-AQ14)))</f>
        <v>6.5170145577017573</v>
      </c>
      <c r="AJ15" s="13">
        <f>AI15*VLOOKUP('Données projet'!$B$10,Paramètres!$A$1:$I$89,3,0)*VLOOKUP('Données projet'!$B$10,Paramètres!$A$1:$I$89,5,0)</f>
        <v>5.8965947718085499</v>
      </c>
      <c r="AK15" s="13">
        <f t="shared" si="35"/>
        <v>2.2103210441651773</v>
      </c>
      <c r="AL15" s="20">
        <f t="shared" si="4"/>
        <v>14.119545046154242</v>
      </c>
      <c r="AM15" s="59">
        <f t="shared" si="5"/>
        <v>240.87074485112726</v>
      </c>
      <c r="AN15" s="59">
        <f ca="1">AVERAGE(OFFSET($AM$3,0,0,'Données projet'!$E$10+1,1))-AVERAGE(OFFSET($H$3,0,0,'Données projet'!$E$10+1,1))</f>
        <v>725.60981534362895</v>
      </c>
      <c r="AO15" s="59">
        <f t="shared" si="36"/>
        <v>265.16078167969272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3.5599999999999996</v>
      </c>
      <c r="BD15" s="12">
        <f>IF('Données projet'!$A$88&gt;35,BD14+BC15-BL14,IF(A15&lt;'Données projet'!$A$88,$BA$205^A15,IF(A15='Données projet'!$A$88,'Données projet'!$B$88,BD14+BC15-BL14)))</f>
        <v>24.82</v>
      </c>
      <c r="BE15" s="13">
        <f>BD15*VLOOKUP('Données projet'!$B$11,Paramètres!$A$1:$I$89,3,0)*VLOOKUP('Données projet'!$B$11,Paramètres!$A$1:$I$89,5,0)</f>
        <v>28.592639999999996</v>
      </c>
      <c r="BF15" s="13">
        <f t="shared" si="37"/>
        <v>8.9186336680844125</v>
      </c>
      <c r="BG15" s="20">
        <f t="shared" si="7"/>
        <v>65.332134971913675</v>
      </c>
      <c r="BH15" s="59">
        <f t="shared" si="8"/>
        <v>292.08333477688672</v>
      </c>
      <c r="BI15" s="59">
        <f ca="1">AVERAGE(OFFSET($BH$3,0,0,'Données projet'!$E$11+1,1))-AVERAGE(OFFSET($H$3,0,0,'Données projet'!$E$11+1,1))</f>
        <v>332.93090933713466</v>
      </c>
      <c r="BJ15" s="59">
        <f t="shared" si="38"/>
        <v>251.83579649532973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1.3777002596302037</v>
      </c>
      <c r="BS15" s="22">
        <f t="shared" si="9"/>
        <v>1.3777002596302037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2.5115384616666665</v>
      </c>
      <c r="BY15" s="12">
        <f>IF('Données projet'!$A$114&gt;35,BY14+BX15-CG14,IF(A15&lt;'Données projet'!$A$114,$BV$205^A15,IF(A15='Données projet'!$A$114,'Données projet'!$B$114,BY14+BX15-CG14)))</f>
        <v>5.6340984974657715</v>
      </c>
      <c r="BZ15" s="13">
        <f>BY15*VLOOKUP('Données projet'!$B$12,Paramètres!$A$1:$I$89,3,0)*VLOOKUP('Données projet'!$B$12,Paramètres!$A$1:$I$89,5,0)</f>
        <v>6.4161113689140201</v>
      </c>
      <c r="CA15" s="13">
        <f t="shared" si="39"/>
        <v>2.381537970380287</v>
      </c>
      <c r="CB15" s="20">
        <f t="shared" si="10"/>
        <v>15.322572599270915</v>
      </c>
      <c r="CC15" s="59">
        <f t="shared" si="11"/>
        <v>242.07377240424395</v>
      </c>
      <c r="CD15" s="59">
        <f ca="1">AVERAGE(OFFSET($CC$3,0,0,'Données projet'!$E$12+1,1))-AVERAGE(OFFSET($H$3,0,0,'Données projet'!$E$12+1,1))</f>
        <v>797.57191672067393</v>
      </c>
      <c r="CE15" s="59">
        <f t="shared" si="40"/>
        <v>238.59056544987126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>
        <f>VLOOKUP(A15,'Données projet'!$A$139:$I$159,2,0)</f>
        <v>106</v>
      </c>
      <c r="CR15" s="12">
        <f>VLOOKUP(A15,'Données projet'!$A$139:$I$159,9,0)</f>
        <v>23</v>
      </c>
      <c r="CS15" s="12">
        <f t="array" ref="CS15">INDEX(CR:CR,MIN(IF(ISNUMBER(CR15:CR211),ROW(CR15:CR211),"")))</f>
        <v>23</v>
      </c>
      <c r="CT15" s="12">
        <f>IF('Données projet'!$A$140&gt;35,CT14+CS15-DB14,IF(A15&lt;'Données projet'!$A$140,$CQ$205^A15,IF(A15='Données projet'!$A$140,'Données projet'!$B$140,CT14+CS15-DB14)))</f>
        <v>106</v>
      </c>
      <c r="CU15" s="17">
        <f>CT15*VLOOKUP('Données projet'!$B$13,Paramètres!$A$1:$I$89,3,0)*VLOOKUP('Données projet'!$B$13,Paramètres!$A$1:$I$89,5,0)</f>
        <v>63.388000000000012</v>
      </c>
      <c r="CV15" s="13">
        <f t="shared" si="41"/>
        <v>18.022104085041263</v>
      </c>
      <c r="CW15" s="20">
        <f t="shared" si="13"/>
        <v>141.78926461478019</v>
      </c>
      <c r="CX15" s="59">
        <f t="shared" si="14"/>
        <v>368.54046441975322</v>
      </c>
      <c r="CY15" s="59">
        <f ca="1">AVERAGE(OFFSET($CX$3,0,0,'Données projet'!$E$13+1,1))-AVERAGE(OFFSET($H$3,0,0,'Données projet'!$E$13+1,1))</f>
        <v>188.98184340090461</v>
      </c>
      <c r="CZ15" s="59">
        <f t="shared" si="42"/>
        <v>450.74604661797798</v>
      </c>
      <c r="DA15" s="15">
        <f>IF(ISNA(VLOOKUP(A15,'Données projet'!$A$139:$I$159,3,0)),0,VLOOKUP(A15,'Données projet'!$A$139:$I$159,3,0))</f>
        <v>1</v>
      </c>
      <c r="DB15" s="15">
        <f>IF(ISNA(VLOOKUP(A15,'Données projet'!$A$139:$I$159,4,0)),0,VLOOKUP(A15,'Données projet'!$A$139:$I$159,4,0))</f>
        <v>34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1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23.020547073308105</v>
      </c>
      <c r="DI15" s="22">
        <f t="shared" si="15"/>
        <v>23.020547073308105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17.2</v>
      </c>
      <c r="DO15" s="12">
        <f>IF('Données projet'!$A$166&gt;35,DO14+DN15-DW14,IF(A15&lt;'Données projet'!$A$166,$DL$205^A15,IF(A15='Données projet'!$A$166,'Données projet'!$B$166,DO14+DN15-DW14)))</f>
        <v>118.39999999999999</v>
      </c>
      <c r="DP15" s="17">
        <f>DO15*VLOOKUP('Données projet'!$B$14,Paramètres!$A$1:$I$89,3,0)*VLOOKUP('Données projet'!$B$14,Paramètres!$A$1:$I$89,5,0)</f>
        <v>107.12832</v>
      </c>
      <c r="DQ15" s="13">
        <f t="shared" si="43"/>
        <v>28.653356241593332</v>
      </c>
      <c r="DR15" s="20">
        <f t="shared" si="16"/>
        <v>236.48641945410841</v>
      </c>
      <c r="DS15" s="59">
        <f t="shared" si="17"/>
        <v>463.23761925908144</v>
      </c>
      <c r="DT15" s="59">
        <f ca="1">AVERAGE(OFFSET($DS$3,0,0,'Données projet'!$E$14+1,1))-AVERAGE(OFFSET($H$3,0,0,'Données projet'!$E$14+1,1))</f>
        <v>442.34161202733173</v>
      </c>
      <c r="DU15" s="59">
        <f t="shared" si="44"/>
        <v>622.90413492324399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2.5115384616666665</v>
      </c>
      <c r="EJ15" s="12">
        <f>IF('Données projet'!$A$192&gt;35,EJ14+EI15-ER14,IF(A15&lt;'Données projet'!$A$192,$EG$205^A15,IF(A15='Données projet'!$A$192,'Données projet'!$B$192,EJ14+EI15-ER14)))</f>
        <v>5.6340984974657715</v>
      </c>
      <c r="EK15" s="17">
        <f>EJ15*VLOOKUP('Données projet'!$B$15,Paramètres!$A$1:$I$89,3,0)*VLOOKUP('Données projet'!$B$15,Paramètres!$A$1:$I$89,5,0)</f>
        <v>6.1524355592326216</v>
      </c>
      <c r="EL15" s="13">
        <f t="shared" si="45"/>
        <v>2.2948487075432205</v>
      </c>
      <c r="EM15" s="20">
        <f t="shared" si="19"/>
        <v>14.712353431301258</v>
      </c>
      <c r="EN15" s="59">
        <f t="shared" si="20"/>
        <v>241.46355323627429</v>
      </c>
      <c r="EO15" s="59">
        <f ca="1">AVERAGE(OFFSET($EN$3,0,0,'Données projet'!$E$15+1,1))-AVERAGE(OFFSET($H$3,0,0,'Données projet'!$E$15+1,1))</f>
        <v>767.9449852393318</v>
      </c>
      <c r="EP15" s="59">
        <f t="shared" si="46"/>
        <v>230.95605490295961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57.841236310447194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3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11</v>
      </c>
      <c r="H16" s="66">
        <f t="shared" si="1"/>
        <v>212.66666666666666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348.33802772031345</v>
      </c>
      <c r="S16" s="59">
        <f ca="1">AVERAGE(OFFSET($R$3,0,0,'Données projet'!$E$9+1,1))-AVERAGE(OFFSET($H$3,0,0,'Données projet'!$E$9+1,1))</f>
        <v>188.98184340090461</v>
      </c>
      <c r="T16" s="59">
        <f t="shared" si="34"/>
        <v>450.74604661797798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3.6141025633333332</v>
      </c>
      <c r="AI16" s="13">
        <f>IF('Données projet'!$A$62&gt;35,AI15+AH16-AQ15,IF(A16&lt;'Données projet'!$A$62,$AF$205^A16,IF(A16='Données projet'!$A$62,'Données projet'!$B$62,AI15+AH16-AQ15)))</f>
        <v>7.6187913851659363</v>
      </c>
      <c r="AJ16" s="13">
        <f>AI16*VLOOKUP('Données projet'!$B$10,Paramètres!$A$1:$I$89,3,0)*VLOOKUP('Données projet'!$B$10,Paramètres!$A$1:$I$89,5,0)</f>
        <v>6.8934824452981394</v>
      </c>
      <c r="AK16" s="13">
        <f t="shared" si="35"/>
        <v>2.5374440631116602</v>
      </c>
      <c r="AL16" s="20">
        <f t="shared" si="4"/>
        <v>16.425530335480399</v>
      </c>
      <c r="AM16" s="59">
        <f t="shared" si="5"/>
        <v>245.17235270867391</v>
      </c>
      <c r="AN16" s="59">
        <f ca="1">AVERAGE(OFFSET($AM$3,0,0,'Données projet'!$E$10+1,1))-AVERAGE(OFFSET($H$3,0,0,'Données projet'!$E$10+1,1))</f>
        <v>725.60981534362895</v>
      </c>
      <c r="AO16" s="59">
        <f t="shared" si="36"/>
        <v>265.16078167969272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3.5599999999999996</v>
      </c>
      <c r="BD16" s="12">
        <f>IF('Données projet'!$A$88&gt;35,BD15+BC16-BL15,IF(A16&lt;'Données projet'!$A$88,$BA$205^A16,IF(A16='Données projet'!$A$88,'Données projet'!$B$88,BD15+BC16-BL15)))</f>
        <v>28.38</v>
      </c>
      <c r="BE16" s="13">
        <f>BD16*VLOOKUP('Données projet'!$B$11,Paramètres!$A$1:$I$89,3,0)*VLOOKUP('Données projet'!$B$11,Paramètres!$A$1:$I$89,5,0)</f>
        <v>32.693759999999997</v>
      </c>
      <c r="BF16" s="13">
        <f t="shared" si="37"/>
        <v>10.03998870404012</v>
      </c>
      <c r="BG16" s="20">
        <f t="shared" si="7"/>
        <v>74.427945659536533</v>
      </c>
      <c r="BH16" s="59">
        <f t="shared" si="8"/>
        <v>303.17476803273007</v>
      </c>
      <c r="BI16" s="59">
        <f ca="1">AVERAGE(OFFSET($BH$3,0,0,'Données projet'!$E$11+1,1))-AVERAGE(OFFSET($H$3,0,0,'Données projet'!$E$11+1,1))</f>
        <v>332.93090933713466</v>
      </c>
      <c r="BJ16" s="59">
        <f t="shared" si="38"/>
        <v>251.83579649532973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0.97418119602698428</v>
      </c>
      <c r="BS16" s="22">
        <f t="shared" si="9"/>
        <v>0.97418119602698428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2.5115384616666665</v>
      </c>
      <c r="BY16" s="12">
        <f>IF('Données projet'!$A$114&gt;35,BY15+BX16-CG15,IF(A16&lt;'Données projet'!$A$114,$BV$205^A16,IF(A16='Données projet'!$A$114,'Données projet'!$B$114,BY15+BX16-CG15)))</f>
        <v>6.5071847633089641</v>
      </c>
      <c r="BZ16" s="13">
        <f>BY16*VLOOKUP('Données projet'!$B$12,Paramètres!$A$1:$I$89,3,0)*VLOOKUP('Données projet'!$B$12,Paramètres!$A$1:$I$89,5,0)</f>
        <v>7.4103820084562493</v>
      </c>
      <c r="CA16" s="13">
        <f t="shared" si="39"/>
        <v>2.704850187770671</v>
      </c>
      <c r="CB16" s="20">
        <f t="shared" si="10"/>
        <v>17.617362741761884</v>
      </c>
      <c r="CC16" s="59">
        <f t="shared" si="11"/>
        <v>246.3641851149554</v>
      </c>
      <c r="CD16" s="59">
        <f ca="1">AVERAGE(OFFSET($CC$3,0,0,'Données projet'!$E$12+1,1))-AVERAGE(OFFSET($H$3,0,0,'Données projet'!$E$12+1,1))</f>
        <v>797.57191672067393</v>
      </c>
      <c r="CE16" s="59">
        <f t="shared" si="40"/>
        <v>238.59056544987126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>
        <f>VLOOKUP(A16,'Données projet'!$A$139:$I$159,2,0)</f>
        <v>89</v>
      </c>
      <c r="CR16" s="12">
        <f>VLOOKUP(A16,'Données projet'!$A$139:$I$159,9,0)</f>
        <v>17</v>
      </c>
      <c r="CS16" s="12">
        <f t="array" ref="CS16">INDEX(CR:CR,MIN(IF(ISNUMBER(CR16:CR212),ROW(CR16:CR212),"")))</f>
        <v>17</v>
      </c>
      <c r="CT16" s="12">
        <f>IF('Données projet'!$A$140&gt;35,CT15+CS16-DB15,IF(A16&lt;'Données projet'!$A$140,$CQ$205^A16,IF(A16='Données projet'!$A$140,'Données projet'!$B$140,CT15+CS16-DB15)))</f>
        <v>89</v>
      </c>
      <c r="CU16" s="17">
        <f>CT16*VLOOKUP('Données projet'!$B$13,Paramètres!$A$1:$I$89,3,0)*VLOOKUP('Données projet'!$B$13,Paramètres!$A$1:$I$89,5,0)</f>
        <v>53.222000000000008</v>
      </c>
      <c r="CV16" s="13">
        <f t="shared" si="41"/>
        <v>15.442806897867877</v>
      </c>
      <c r="CW16" s="20">
        <f t="shared" si="13"/>
        <v>119.59120534711991</v>
      </c>
      <c r="CX16" s="59">
        <f t="shared" si="14"/>
        <v>348.33802772031345</v>
      </c>
      <c r="CY16" s="59">
        <f ca="1">AVERAGE(OFFSET($CX$3,0,0,'Données projet'!$E$13+1,1))-AVERAGE(OFFSET($H$3,0,0,'Données projet'!$E$13+1,1))</f>
        <v>188.98184340090461</v>
      </c>
      <c r="CZ16" s="59">
        <f t="shared" si="42"/>
        <v>450.74604661797798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16.277984942160291</v>
      </c>
      <c r="DI16" s="22">
        <f t="shared" si="15"/>
        <v>16.277984942160291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17.2</v>
      </c>
      <c r="DO16" s="12">
        <f>IF('Données projet'!$A$166&gt;35,DO15+DN16-DW15,IF(A16&lt;'Données projet'!$A$166,$DL$205^A16,IF(A16='Données projet'!$A$166,'Données projet'!$B$166,DO15+DN16-DW15)))</f>
        <v>135.6</v>
      </c>
      <c r="DP16" s="17">
        <f>DO16*VLOOKUP('Données projet'!$B$14,Paramètres!$A$1:$I$89,3,0)*VLOOKUP('Données projet'!$B$14,Paramètres!$A$1:$I$89,5,0)</f>
        <v>122.69087999999999</v>
      </c>
      <c r="DQ16" s="13">
        <f t="shared" si="43"/>
        <v>32.301790548935521</v>
      </c>
      <c r="DR16" s="20">
        <f t="shared" si="16"/>
        <v>269.94556787272933</v>
      </c>
      <c r="DS16" s="59">
        <f t="shared" si="17"/>
        <v>498.69239024592287</v>
      </c>
      <c r="DT16" s="59">
        <f ca="1">AVERAGE(OFFSET($DS$3,0,0,'Données projet'!$E$14+1,1))-AVERAGE(OFFSET($H$3,0,0,'Données projet'!$E$14+1,1))</f>
        <v>442.34161202733173</v>
      </c>
      <c r="DU16" s="59">
        <f t="shared" si="44"/>
        <v>622.90413492324399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2.5115384616666665</v>
      </c>
      <c r="EJ16" s="12">
        <f>IF('Données projet'!$A$192&gt;35,EJ15+EI16-ER15,IF(A16&lt;'Données projet'!$A$192,$EG$205^A16,IF(A16='Données projet'!$A$192,'Données projet'!$B$192,EJ15+EI16-ER15)))</f>
        <v>6.5071847633089641</v>
      </c>
      <c r="EK16" s="17">
        <f>EJ16*VLOOKUP('Données projet'!$B$15,Paramètres!$A$1:$I$89,3,0)*VLOOKUP('Données projet'!$B$15,Paramètres!$A$1:$I$89,5,0)</f>
        <v>7.1058457615333888</v>
      </c>
      <c r="EL16" s="13">
        <f t="shared" si="45"/>
        <v>2.6063921863535864</v>
      </c>
      <c r="EM16" s="20">
        <f t="shared" si="19"/>
        <v>16.915481092569816</v>
      </c>
      <c r="EN16" s="59">
        <f t="shared" si="20"/>
        <v>245.66230346576333</v>
      </c>
      <c r="EO16" s="59">
        <f ca="1">AVERAGE(OFFSET($EN$3,0,0,'Données projet'!$E$15+1,1))-AVERAGE(OFFSET($H$3,0,0,'Données projet'!$E$15+1,1))</f>
        <v>767.9449852393318</v>
      </c>
      <c r="EP16" s="59">
        <f t="shared" si="46"/>
        <v>230.95605490295961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58.052163677537621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3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</v>
      </c>
      <c r="H17" s="66">
        <f t="shared" si="1"/>
        <v>212.66666666666666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377.72869165988715</v>
      </c>
      <c r="S17" s="59">
        <f ca="1">AVERAGE(OFFSET($R$3,0,0,'Données projet'!$E$9+1,1))-AVERAGE(OFFSET($H$3,0,0,'Données projet'!$E$9+1,1))</f>
        <v>188.98184340090461</v>
      </c>
      <c r="T17" s="59">
        <f t="shared" si="34"/>
        <v>450.74604661797798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3.6141025633333332</v>
      </c>
      <c r="AI17" s="13">
        <f>IF('Données projet'!$A$62&gt;35,AI16+AH17-AQ16,IF(A17&lt;'Données projet'!$A$62,$AF$205^A17,IF(A17='Données projet'!$A$62,'Données projet'!$B$62,AI16+AH17-AQ16)))</f>
        <v>8.9068363522497265</v>
      </c>
      <c r="AJ17" s="13">
        <f>AI17*VLOOKUP('Données projet'!$B$10,Paramètres!$A$1:$I$89,3,0)*VLOOKUP('Données projet'!$B$10,Paramètres!$A$1:$I$89,5,0)</f>
        <v>8.0589055315155527</v>
      </c>
      <c r="AK17" s="13">
        <f t="shared" si="35"/>
        <v>2.9129806235240516</v>
      </c>
      <c r="AL17" s="20">
        <f t="shared" si="4"/>
        <v>19.109368386693976</v>
      </c>
      <c r="AM17" s="59">
        <f t="shared" si="5"/>
        <v>249.83839656116899</v>
      </c>
      <c r="AN17" s="59">
        <f ca="1">AVERAGE(OFFSET($AM$3,0,0,'Données projet'!$E$10+1,1))-AVERAGE(OFFSET($H$3,0,0,'Données projet'!$E$10+1,1))</f>
        <v>725.60981534362895</v>
      </c>
      <c r="AO17" s="59">
        <f t="shared" si="36"/>
        <v>265.16078167969272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3.5599999999999996</v>
      </c>
      <c r="BD17" s="12">
        <f>IF('Données projet'!$A$88&gt;35,BD16+BC17-BL16,IF(A17&lt;'Données projet'!$A$88,$BA$205^A17,IF(A17='Données projet'!$A$88,'Données projet'!$B$88,BD16+BC17-BL16)))</f>
        <v>31.939999999999998</v>
      </c>
      <c r="BE17" s="13">
        <f>BD17*VLOOKUP('Données projet'!$B$11,Paramètres!$A$1:$I$89,3,0)*VLOOKUP('Données projet'!$B$11,Paramètres!$A$1:$I$89,5,0)</f>
        <v>36.794879999999999</v>
      </c>
      <c r="BF17" s="13">
        <f t="shared" si="37"/>
        <v>11.145044412397295</v>
      </c>
      <c r="BG17" s="20">
        <f t="shared" si="7"/>
        <v>83.495368351591949</v>
      </c>
      <c r="BH17" s="59">
        <f t="shared" si="8"/>
        <v>314.22439652606698</v>
      </c>
      <c r="BI17" s="59">
        <f ca="1">AVERAGE(OFFSET($BH$3,0,0,'Données projet'!$E$11+1,1))-AVERAGE(OFFSET($H$3,0,0,'Données projet'!$E$11+1,1))</f>
        <v>332.93090933713466</v>
      </c>
      <c r="BJ17" s="59">
        <f t="shared" si="38"/>
        <v>251.83579649532973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0.68885012981510196</v>
      </c>
      <c r="BS17" s="22">
        <f t="shared" si="9"/>
        <v>0.68885012981510196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2.5115384616666665</v>
      </c>
      <c r="BY17" s="12">
        <f>IF('Données projet'!$A$114&gt;35,BY16+BX17-CG16,IF(A17&lt;'Données projet'!$A$114,$BV$205^A17,IF(A17='Données projet'!$A$114,'Données projet'!$B$114,BY16+BX17-CG16)))</f>
        <v>7.5155685621908308</v>
      </c>
      <c r="BZ17" s="13">
        <f>BY17*VLOOKUP('Données projet'!$B$12,Paramètres!$A$1:$I$89,3,0)*VLOOKUP('Données projet'!$B$12,Paramètres!$A$1:$I$89,5,0)</f>
        <v>8.5587294786229187</v>
      </c>
      <c r="CA17" s="13">
        <f t="shared" si="39"/>
        <v>3.0720545417609992</v>
      </c>
      <c r="CB17" s="20">
        <f t="shared" si="10"/>
        <v>20.256948835501987</v>
      </c>
      <c r="CC17" s="59">
        <f t="shared" si="11"/>
        <v>250.98597700997701</v>
      </c>
      <c r="CD17" s="59">
        <f ca="1">AVERAGE(OFFSET($CC$3,0,0,'Données projet'!$E$12+1,1))-AVERAGE(OFFSET($H$3,0,0,'Données projet'!$E$12+1,1))</f>
        <v>797.57191672067393</v>
      </c>
      <c r="CE17" s="59">
        <f t="shared" si="40"/>
        <v>238.59056544987126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>
        <f>VLOOKUP(A17,'Données projet'!$A$139:$I$159,2,0)</f>
        <v>110</v>
      </c>
      <c r="CR17" s="12">
        <f>VLOOKUP(A17,'Données projet'!$A$139:$I$159,9,0)</f>
        <v>21</v>
      </c>
      <c r="CS17" s="12">
        <f t="array" ref="CS17">INDEX(CR:CR,MIN(IF(ISNUMBER(CR17:CR213),ROW(CR17:CR213),"")))</f>
        <v>21</v>
      </c>
      <c r="CT17" s="12">
        <f>IF('Données projet'!$A$140&gt;35,CT16+CS17-DB16,IF(A17&lt;'Données projet'!$A$140,$CQ$205^A17,IF(A17='Données projet'!$A$140,'Données projet'!$B$140,CT16+CS17-DB16)))</f>
        <v>110</v>
      </c>
      <c r="CU17" s="17">
        <f>CT17*VLOOKUP('Données projet'!$B$13,Paramètres!$A$1:$I$89,3,0)*VLOOKUP('Données projet'!$B$13,Paramètres!$A$1:$I$89,5,0)</f>
        <v>65.78</v>
      </c>
      <c r="CV17" s="13">
        <f t="shared" si="41"/>
        <v>18.621720661480644</v>
      </c>
      <c r="CW17" s="20">
        <f t="shared" si="13"/>
        <v>146.99966348541213</v>
      </c>
      <c r="CX17" s="59">
        <f t="shared" si="14"/>
        <v>377.72869165988715</v>
      </c>
      <c r="CY17" s="59">
        <f ca="1">AVERAGE(OFFSET($CX$3,0,0,'Données projet'!$E$13+1,1))-AVERAGE(OFFSET($H$3,0,0,'Données projet'!$E$13+1,1))</f>
        <v>188.98184340090461</v>
      </c>
      <c r="CZ17" s="59">
        <f t="shared" si="42"/>
        <v>450.74604661797798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11.510273536654053</v>
      </c>
      <c r="DI17" s="22">
        <f t="shared" si="15"/>
        <v>11.510273536654053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17.2</v>
      </c>
      <c r="DO17" s="12">
        <f>IF('Données projet'!$A$166&gt;35,DO16+DN17-DW16,IF(A17&lt;'Données projet'!$A$166,$DL$205^A17,IF(A17='Données projet'!$A$166,'Données projet'!$B$166,DO16+DN17-DW16)))</f>
        <v>152.79999999999998</v>
      </c>
      <c r="DP17" s="17">
        <f>DO17*VLOOKUP('Données projet'!$B$14,Paramètres!$A$1:$I$89,3,0)*VLOOKUP('Données projet'!$B$14,Paramètres!$A$1:$I$89,5,0)</f>
        <v>138.25343999999998</v>
      </c>
      <c r="DQ17" s="13">
        <f t="shared" si="43"/>
        <v>35.896601257774428</v>
      </c>
      <c r="DR17" s="20">
        <f t="shared" si="16"/>
        <v>303.31132185729041</v>
      </c>
      <c r="DS17" s="59">
        <f t="shared" si="17"/>
        <v>534.04035003176546</v>
      </c>
      <c r="DT17" s="59">
        <f ca="1">AVERAGE(OFFSET($DS$3,0,0,'Données projet'!$E$14+1,1))-AVERAGE(OFFSET($H$3,0,0,'Données projet'!$E$14+1,1))</f>
        <v>442.34161202733173</v>
      </c>
      <c r="DU17" s="59">
        <f t="shared" si="44"/>
        <v>622.90413492324399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2.5115384616666665</v>
      </c>
      <c r="EJ17" s="12">
        <f>IF('Données projet'!$A$192&gt;35,EJ16+EI17-ER16,IF(A17&lt;'Données projet'!$A$192,$EG$205^A17,IF(A17='Données projet'!$A$192,'Données projet'!$B$192,EJ16+EI17-ER16)))</f>
        <v>7.5155685621908308</v>
      </c>
      <c r="EK17" s="17">
        <f>EJ17*VLOOKUP('Données projet'!$B$15,Paramètres!$A$1:$I$89,3,0)*VLOOKUP('Données projet'!$B$15,Paramètres!$A$1:$I$89,5,0)</f>
        <v>8.2070008699123882</v>
      </c>
      <c r="EL17" s="13">
        <f t="shared" si="45"/>
        <v>2.9602301043878678</v>
      </c>
      <c r="EM17" s="20">
        <f t="shared" si="19"/>
        <v>19.44959394690628</v>
      </c>
      <c r="EN17" s="59">
        <f t="shared" si="20"/>
        <v>250.1786221213813</v>
      </c>
      <c r="EO17" s="59">
        <f ca="1">AVERAGE(OFFSET($EN$3,0,0,'Données projet'!$E$15+1,1))-AVERAGE(OFFSET($H$3,0,0,'Données projet'!$E$15+1,1))</f>
        <v>767.9449852393318</v>
      </c>
      <c r="EP17" s="59">
        <f t="shared" si="46"/>
        <v>230.95605490295961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58.259431926371974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3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11</v>
      </c>
      <c r="H18" s="66">
        <f t="shared" si="1"/>
        <v>212.66666666666666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406.98370956833855</v>
      </c>
      <c r="S18" s="59">
        <f ca="1">AVERAGE(OFFSET($R$3,0,0,'Données projet'!$E$9+1,1))-AVERAGE(OFFSET($H$3,0,0,'Données projet'!$E$9+1,1))</f>
        <v>188.98184340090461</v>
      </c>
      <c r="T18" s="59">
        <f t="shared" si="34"/>
        <v>450.74604661797798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3.6141025633333332</v>
      </c>
      <c r="AI18" s="13">
        <f>IF('Données projet'!$A$62&gt;35,AI17+AH18-AQ17,IF(A18&lt;'Données projet'!$A$62,$AF$205^A18,IF(A18='Données projet'!$A$62,'Données projet'!$B$62,AI17+AH18-AQ17)))</f>
        <v>10.412640246354426</v>
      </c>
      <c r="AJ18" s="13">
        <f>AI18*VLOOKUP('Données projet'!$B$10,Paramètres!$A$1:$I$89,3,0)*VLOOKUP('Données projet'!$B$10,Paramètres!$A$1:$I$89,5,0)</f>
        <v>9.4213568949014839</v>
      </c>
      <c r="AK18" s="13">
        <f t="shared" si="35"/>
        <v>3.3440958310706095</v>
      </c>
      <c r="AL18" s="20">
        <f t="shared" si="4"/>
        <v>22.233163497734726</v>
      </c>
      <c r="AM18" s="59">
        <f t="shared" si="5"/>
        <v>254.93121345746331</v>
      </c>
      <c r="AN18" s="59">
        <f ca="1">AVERAGE(OFFSET($AM$3,0,0,'Données projet'!$E$10+1,1))-AVERAGE(OFFSET($H$3,0,0,'Données projet'!$E$10+1,1))</f>
        <v>725.60981534362895</v>
      </c>
      <c r="AO18" s="59">
        <f t="shared" si="36"/>
        <v>265.16078167969272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3.5599999999999996</v>
      </c>
      <c r="BD18" s="12">
        <f>IF('Données projet'!$A$88&gt;35,BD17+BC18-BL17,IF(A18&lt;'Données projet'!$A$88,$BA$205^A18,IF(A18='Données projet'!$A$88,'Données projet'!$B$88,BD17+BC18-BL17)))</f>
        <v>35.5</v>
      </c>
      <c r="BE18" s="13">
        <f>BD18*VLOOKUP('Données projet'!$B$11,Paramètres!$A$1:$I$89,3,0)*VLOOKUP('Données projet'!$B$11,Paramètres!$A$1:$I$89,5,0)</f>
        <v>40.895999999999994</v>
      </c>
      <c r="BF18" s="13">
        <f t="shared" si="37"/>
        <v>12.235824751724032</v>
      </c>
      <c r="BG18" s="20">
        <f t="shared" si="7"/>
        <v>92.537928109252675</v>
      </c>
      <c r="BH18" s="59">
        <f t="shared" si="8"/>
        <v>325.23597806898124</v>
      </c>
      <c r="BI18" s="59">
        <f ca="1">AVERAGE(OFFSET($BH$3,0,0,'Données projet'!$E$11+1,1))-AVERAGE(OFFSET($H$3,0,0,'Données projet'!$E$11+1,1))</f>
        <v>332.93090933713466</v>
      </c>
      <c r="BJ18" s="59">
        <f t="shared" si="38"/>
        <v>251.83579649532973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0.48709059801349219</v>
      </c>
      <c r="BS18" s="22">
        <f t="shared" si="9"/>
        <v>0.48709059801349219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2.5115384616666665</v>
      </c>
      <c r="BY18" s="12">
        <f>IF('Données projet'!$A$114&gt;35,BY17+BX18-CG17,IF(A18&lt;'Données projet'!$A$114,$BV$205^A18,IF(A18='Données projet'!$A$114,'Données projet'!$B$114,BY17+BX18-CG17)))</f>
        <v>8.6802162329057069</v>
      </c>
      <c r="BZ18" s="13">
        <f>BY18*VLOOKUP('Données projet'!$B$12,Paramètres!$A$1:$I$89,3,0)*VLOOKUP('Données projet'!$B$12,Paramètres!$A$1:$I$89,5,0)</f>
        <v>9.8850302460330184</v>
      </c>
      <c r="CA18" s="13">
        <f t="shared" si="39"/>
        <v>3.4891097297084519</v>
      </c>
      <c r="CB18" s="20">
        <f t="shared" si="10"/>
        <v>23.293293791083059</v>
      </c>
      <c r="CC18" s="59">
        <f t="shared" si="11"/>
        <v>255.99134375081167</v>
      </c>
      <c r="CD18" s="59">
        <f ca="1">AVERAGE(OFFSET($CC$3,0,0,'Données projet'!$E$12+1,1))-AVERAGE(OFFSET($H$3,0,0,'Données projet'!$E$12+1,1))</f>
        <v>797.57191672067393</v>
      </c>
      <c r="CE18" s="59">
        <f t="shared" si="40"/>
        <v>238.59056544987126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131</v>
      </c>
      <c r="CR18" s="12">
        <f>VLOOKUP(A18,'Données projet'!$A$139:$I$159,9,0)</f>
        <v>21</v>
      </c>
      <c r="CS18" s="12">
        <f t="array" ref="CS18">INDEX(CR:CR,MIN(IF(ISNUMBER(CR18:CR214),ROW(CR18:CR214),"")))</f>
        <v>21</v>
      </c>
      <c r="CT18" s="12">
        <f>IF('Données projet'!$A$140&gt;35,CT17+CS18-DB17,IF(A18&lt;'Données projet'!$A$140,$CQ$205^A18,IF(A18='Données projet'!$A$140,'Données projet'!$B$140,CT17+CS18-DB17)))</f>
        <v>131</v>
      </c>
      <c r="CU18" s="17">
        <f>CT18*VLOOKUP('Données projet'!$B$13,Paramètres!$A$1:$I$89,3,0)*VLOOKUP('Données projet'!$B$13,Paramètres!$A$1:$I$89,5,0)</f>
        <v>78.338000000000008</v>
      </c>
      <c r="CV18" s="13">
        <f t="shared" si="41"/>
        <v>21.730321306378922</v>
      </c>
      <c r="CW18" s="20">
        <f t="shared" si="13"/>
        <v>174.28565960860999</v>
      </c>
      <c r="CX18" s="59">
        <f t="shared" si="14"/>
        <v>406.98370956833855</v>
      </c>
      <c r="CY18" s="59">
        <f ca="1">AVERAGE(OFFSET($CX$3,0,0,'Données projet'!$E$13+1,1))-AVERAGE(OFFSET($H$3,0,0,'Données projet'!$E$13+1,1))</f>
        <v>188.98184340090461</v>
      </c>
      <c r="CZ18" s="59">
        <f t="shared" si="42"/>
        <v>450.74604661797798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8.1389924710801456</v>
      </c>
      <c r="DI18" s="22">
        <f t="shared" si="15"/>
        <v>8.1389924710801456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>
        <f>VLOOKUP(A18,'Données projet'!$A$165:$I$185,2,0)</f>
        <v>170</v>
      </c>
      <c r="DM18" s="12">
        <f>VLOOKUP(A18,'Données projet'!$A$165:$I$185,9,0)</f>
        <v>17.2</v>
      </c>
      <c r="DN18" s="12">
        <f t="array" ref="DN18">INDEX(DM:DM,MIN(IF(ISNUMBER(DM18:DM214),ROW(DM18:DM214),"")))</f>
        <v>17.2</v>
      </c>
      <c r="DO18" s="12">
        <f>IF('Données projet'!$A$166&gt;35,DO17+DN18-DW17,IF(A18&lt;'Données projet'!$A$166,$DL$205^A18,IF(A18='Données projet'!$A$166,'Données projet'!$B$166,DO17+DN18-DW17)))</f>
        <v>169.99999999999997</v>
      </c>
      <c r="DP18" s="17">
        <f>DO18*VLOOKUP('Données projet'!$B$14,Paramètres!$A$1:$I$89,3,0)*VLOOKUP('Données projet'!$B$14,Paramètres!$A$1:$I$89,5,0)</f>
        <v>153.81599999999997</v>
      </c>
      <c r="DQ18" s="13">
        <f t="shared" si="43"/>
        <v>39.444513325737063</v>
      </c>
      <c r="DR18" s="20">
        <f t="shared" si="16"/>
        <v>336.59539404232532</v>
      </c>
      <c r="DS18" s="59">
        <f t="shared" si="17"/>
        <v>569.29344400205389</v>
      </c>
      <c r="DT18" s="59">
        <f ca="1">AVERAGE(OFFSET($DS$3,0,0,'Données projet'!$E$14+1,1))-AVERAGE(OFFSET($H$3,0,0,'Données projet'!$E$14+1,1))</f>
        <v>442.34161202733173</v>
      </c>
      <c r="DU18" s="59">
        <f t="shared" si="44"/>
        <v>622.90413492324399</v>
      </c>
      <c r="DV18" s="15">
        <f>IF(ISNA(VLOOKUP(A18,'Données projet'!$A$165:$I$185,3,0)),0,VLOOKUP(A18,'Données projet'!$A$165:$I$185,3,0))</f>
        <v>3</v>
      </c>
      <c r="DW18" s="15">
        <f>IF(ISNA(VLOOKUP(A18,'Données projet'!$A$165:$I$185,4,0)),0,VLOOKUP(A18,'Données projet'!$A$165:$I$185,4,0))</f>
        <v>29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2.5115384616666665</v>
      </c>
      <c r="EJ18" s="12">
        <f>IF('Données projet'!$A$192&gt;35,EJ17+EI18-ER17,IF(A18&lt;'Données projet'!$A$192,$EG$205^A18,IF(A18='Données projet'!$A$192,'Données projet'!$B$192,EJ17+EI18-ER17)))</f>
        <v>8.6802162329057069</v>
      </c>
      <c r="EK18" s="17">
        <f>EJ18*VLOOKUP('Données projet'!$B$15,Paramètres!$A$1:$I$89,3,0)*VLOOKUP('Données projet'!$B$15,Paramètres!$A$1:$I$89,5,0)</f>
        <v>9.478796126333032</v>
      </c>
      <c r="EL18" s="13">
        <f t="shared" si="45"/>
        <v>3.362104259215045</v>
      </c>
      <c r="EM18" s="20">
        <f t="shared" si="19"/>
        <v>22.364568171496231</v>
      </c>
      <c r="EN18" s="59">
        <f t="shared" si="20"/>
        <v>255.06261813122484</v>
      </c>
      <c r="EO18" s="59">
        <f ca="1">AVERAGE(OFFSET($EN$3,0,0,'Données projet'!$E$15+1,1))-AVERAGE(OFFSET($H$3,0,0,'Données projet'!$E$15+1,1))</f>
        <v>767.9449852393318</v>
      </c>
      <c r="EP18" s="59">
        <f t="shared" si="46"/>
        <v>230.95605490295961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58.463104534471441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3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11</v>
      </c>
      <c r="H19" s="66">
        <f t="shared" si="1"/>
        <v>212.66666666666666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437.41754919838547</v>
      </c>
      <c r="S19" s="59">
        <f ca="1">AVERAGE(OFFSET($R$3,0,0,'Données projet'!$E$9+1,1))-AVERAGE(OFFSET($H$3,0,0,'Données projet'!$E$9+1,1))</f>
        <v>188.98184340090461</v>
      </c>
      <c r="T19" s="59">
        <f t="shared" si="34"/>
        <v>450.74604661797798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3.6141025633333332</v>
      </c>
      <c r="AI19" s="13">
        <f>IF('Données projet'!$A$62&gt;35,AI18+AH19-AQ18,IF(A19&lt;'Données projet'!$A$62,$AF$205^A19,IF(A19='Données projet'!$A$62,'Données projet'!$B$62,AI18+AH19-AQ18)))</f>
        <v>12.173017737393817</v>
      </c>
      <c r="AJ19" s="13">
        <f>AI19*VLOOKUP('Données projet'!$B$10,Paramètres!$A$1:$I$89,3,0)*VLOOKUP('Données projet'!$B$10,Paramètres!$A$1:$I$89,5,0)</f>
        <v>11.014146448793925</v>
      </c>
      <c r="AK19" s="13">
        <f t="shared" si="35"/>
        <v>3.8390152124853296</v>
      </c>
      <c r="AL19" s="20">
        <f t="shared" si="4"/>
        <v>25.86925656006137</v>
      </c>
      <c r="AM19" s="59">
        <f t="shared" si="5"/>
        <v>260.5233730022187</v>
      </c>
      <c r="AN19" s="59">
        <f ca="1">AVERAGE(OFFSET($AM$3,0,0,'Données projet'!$E$10+1,1))-AVERAGE(OFFSET($H$3,0,0,'Données projet'!$E$10+1,1))</f>
        <v>725.60981534362895</v>
      </c>
      <c r="AO19" s="59">
        <f t="shared" si="36"/>
        <v>265.16078167969272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3.5599999999999996</v>
      </c>
      <c r="BD19" s="12">
        <f>IF('Données projet'!$A$88&gt;35,BD18+BC19-BL18,IF(A19&lt;'Données projet'!$A$88,$BA$205^A19,IF(A19='Données projet'!$A$88,'Données projet'!$B$88,BD18+BC19-BL18)))</f>
        <v>39.06</v>
      </c>
      <c r="BE19" s="13">
        <f>BD19*VLOOKUP('Données projet'!$B$11,Paramètres!$A$1:$I$89,3,0)*VLOOKUP('Données projet'!$B$11,Paramètres!$A$1:$I$89,5,0)</f>
        <v>44.997119999999995</v>
      </c>
      <c r="BF19" s="13">
        <f t="shared" si="37"/>
        <v>13.31392425118244</v>
      </c>
      <c r="BG19" s="20">
        <f t="shared" si="7"/>
        <v>101.55840207080939</v>
      </c>
      <c r="BH19" s="59">
        <f t="shared" si="8"/>
        <v>336.21251851296677</v>
      </c>
      <c r="BI19" s="59">
        <f ca="1">AVERAGE(OFFSET($BH$3,0,0,'Données projet'!$E$11+1,1))-AVERAGE(OFFSET($H$3,0,0,'Données projet'!$E$11+1,1))</f>
        <v>332.93090933713466</v>
      </c>
      <c r="BJ19" s="59">
        <f t="shared" si="38"/>
        <v>251.83579649532973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0.34442506490755104</v>
      </c>
      <c r="BS19" s="22">
        <f t="shared" si="9"/>
        <v>0.34442506490755104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2.5115384616666665</v>
      </c>
      <c r="BY19" s="12">
        <f>IF('Données projet'!$A$114&gt;35,BY18+BX19-CG18,IF(A19&lt;'Données projet'!$A$114,$BV$205^A19,IF(A19='Données projet'!$A$114,'Données projet'!$B$114,BY18+BX19-CG18)))</f>
        <v>10.025343156211713</v>
      </c>
      <c r="BZ19" s="13">
        <f>BY19*VLOOKUP('Données projet'!$B$12,Paramètres!$A$1:$I$89,3,0)*VLOOKUP('Données projet'!$B$12,Paramètres!$A$1:$I$89,5,0)</f>
        <v>11.416860786293899</v>
      </c>
      <c r="CA19" s="13">
        <f t="shared" si="39"/>
        <v>3.9627833882687944</v>
      </c>
      <c r="CB19" s="20">
        <f t="shared" si="10"/>
        <v>26.786213604030024</v>
      </c>
      <c r="CC19" s="59">
        <f t="shared" si="11"/>
        <v>261.44033004618734</v>
      </c>
      <c r="CD19" s="59">
        <f ca="1">AVERAGE(OFFSET($CC$3,0,0,'Données projet'!$E$12+1,1))-AVERAGE(OFFSET($H$3,0,0,'Données projet'!$E$12+1,1))</f>
        <v>797.57191672067393</v>
      </c>
      <c r="CE19" s="59">
        <f t="shared" si="40"/>
        <v>238.59056544987126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>
        <f>VLOOKUP(A19,'Données projet'!$A$139:$I$159,2,0)</f>
        <v>153</v>
      </c>
      <c r="CR19" s="12">
        <f>VLOOKUP(A19,'Données projet'!$A$139:$I$159,9,0)</f>
        <v>22</v>
      </c>
      <c r="CS19" s="12">
        <f t="array" ref="CS19">INDEX(CR:CR,MIN(IF(ISNUMBER(CR19:CR215),ROW(CR19:CR215),"")))</f>
        <v>22</v>
      </c>
      <c r="CT19" s="12">
        <f>IF('Données projet'!$A$140&gt;35,CT18+CS19-DB18,IF(A19&lt;'Données projet'!$A$140,$CQ$205^A19,IF(A19='Données projet'!$A$140,'Données projet'!$B$140,CT18+CS19-DB18)))</f>
        <v>153</v>
      </c>
      <c r="CU19" s="17">
        <f>CT19*VLOOKUP('Données projet'!$B$13,Paramètres!$A$1:$I$89,3,0)*VLOOKUP('Données projet'!$B$13,Paramètres!$A$1:$I$89,5,0)</f>
        <v>91.494000000000014</v>
      </c>
      <c r="CV19" s="13">
        <f t="shared" si="41"/>
        <v>24.925195840896542</v>
      </c>
      <c r="CW19" s="20">
        <f t="shared" si="13"/>
        <v>202.76343275622813</v>
      </c>
      <c r="CX19" s="59">
        <f t="shared" si="14"/>
        <v>437.41754919838547</v>
      </c>
      <c r="CY19" s="59">
        <f ca="1">AVERAGE(OFFSET($CX$3,0,0,'Données projet'!$E$13+1,1))-AVERAGE(OFFSET($H$3,0,0,'Données projet'!$E$13+1,1))</f>
        <v>188.98184340090461</v>
      </c>
      <c r="CZ19" s="59">
        <f t="shared" si="42"/>
        <v>450.74604661797798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5.7551367683270263</v>
      </c>
      <c r="DI19" s="22">
        <f t="shared" si="15"/>
        <v>5.7551367683270263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15.2</v>
      </c>
      <c r="DO19" s="12">
        <f>IF('Données projet'!$A$166&gt;35,DO18+DN19-DW18,IF(A19&lt;'Données projet'!$A$166,$DL$205^A19,IF(A19='Données projet'!$A$166,'Données projet'!$B$166,DO18+DN19-DW18)))</f>
        <v>156.19999999999996</v>
      </c>
      <c r="DP19" s="17">
        <f>DO19*VLOOKUP('Données projet'!$B$14,Paramètres!$A$1:$I$89,3,0)*VLOOKUP('Données projet'!$B$14,Paramètres!$A$1:$I$89,5,0)</f>
        <v>141.32975999999996</v>
      </c>
      <c r="DQ19" s="13">
        <f t="shared" si="43"/>
        <v>36.601467030988793</v>
      </c>
      <c r="DR19" s="20">
        <f t="shared" si="16"/>
        <v>309.89688707897204</v>
      </c>
      <c r="DS19" s="59">
        <f t="shared" si="17"/>
        <v>544.55100352112936</v>
      </c>
      <c r="DT19" s="59">
        <f ca="1">AVERAGE(OFFSET($DS$3,0,0,'Données projet'!$E$14+1,1))-AVERAGE(OFFSET($H$3,0,0,'Données projet'!$E$14+1,1))</f>
        <v>442.34161202733173</v>
      </c>
      <c r="DU19" s="59">
        <f t="shared" si="44"/>
        <v>622.90413492324399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2.5115384616666665</v>
      </c>
      <c r="EJ19" s="12">
        <f>IF('Données projet'!$A$192&gt;35,EJ18+EI19-ER18,IF(A19&lt;'Données projet'!$A$192,$EG$205^A19,IF(A19='Données projet'!$A$192,'Données projet'!$B$192,EJ18+EI19-ER18)))</f>
        <v>10.025343156211713</v>
      </c>
      <c r="EK19" s="17">
        <f>EJ19*VLOOKUP('Données projet'!$B$15,Paramètres!$A$1:$I$89,3,0)*VLOOKUP('Données projet'!$B$15,Paramètres!$A$1:$I$89,5,0)</f>
        <v>10.947674726583191</v>
      </c>
      <c r="EL19" s="13">
        <f t="shared" si="45"/>
        <v>3.8185359418771911</v>
      </c>
      <c r="EM19" s="20">
        <f t="shared" si="19"/>
        <v>25.717816914235161</v>
      </c>
      <c r="EN19" s="59">
        <f t="shared" si="20"/>
        <v>260.3719333563925</v>
      </c>
      <c r="EO19" s="59">
        <f ca="1">AVERAGE(OFFSET($EN$3,0,0,'Données projet'!$E$15+1,1))-AVERAGE(OFFSET($H$3,0,0,'Données projet'!$E$15+1,1))</f>
        <v>767.9449852393318</v>
      </c>
      <c r="EP19" s="59">
        <f t="shared" si="46"/>
        <v>230.95605490295961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58.663243878164117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3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11</v>
      </c>
      <c r="H20" s="66">
        <f t="shared" si="1"/>
        <v>212.66666666666666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469.03421604030274</v>
      </c>
      <c r="S20" s="59">
        <f ca="1">AVERAGE(OFFSET($R$3,0,0,'Données projet'!$E$9+1,1))-AVERAGE(OFFSET($H$3,0,0,'Données projet'!$E$9+1,1))</f>
        <v>188.98184340090461</v>
      </c>
      <c r="T20" s="59">
        <f t="shared" si="34"/>
        <v>450.74604661797798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3.6141025633333332</v>
      </c>
      <c r="AI20" s="13">
        <f>IF('Données projet'!$A$62&gt;35,AI19+AH20-AQ19,IF(A20&lt;'Données projet'!$A$62,$AF$205^A20,IF(A20='Données projet'!$A$62,'Données projet'!$B$62,AI19+AH20-AQ19)))</f>
        <v>14.231007441823861</v>
      </c>
      <c r="AJ20" s="13">
        <f>AI20*VLOOKUP('Données projet'!$B$10,Paramètres!$A$1:$I$89,3,0)*VLOOKUP('Données projet'!$B$10,Paramètres!$A$1:$I$89,5,0)</f>
        <v>12.876215533362229</v>
      </c>
      <c r="AK20" s="13">
        <f t="shared" si="35"/>
        <v>4.4071816557288699</v>
      </c>
      <c r="AL20" s="20">
        <f t="shared" si="4"/>
        <v>30.101916771000322</v>
      </c>
      <c r="AM20" s="59">
        <f t="shared" si="5"/>
        <v>266.69936913830173</v>
      </c>
      <c r="AN20" s="59">
        <f ca="1">AVERAGE(OFFSET($AM$3,0,0,'Données projet'!$E$10+1,1))-AVERAGE(OFFSET($H$3,0,0,'Données projet'!$E$10+1,1))</f>
        <v>725.60981534362895</v>
      </c>
      <c r="AO20" s="59">
        <f t="shared" si="36"/>
        <v>265.16078167969272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3.5599999999999996</v>
      </c>
      <c r="BD20" s="12">
        <f>IF('Données projet'!$A$88&gt;35,BD19+BC20-BL19,IF(A20&lt;'Données projet'!$A$88,$BA$205^A20,IF(A20='Données projet'!$A$88,'Données projet'!$B$88,BD19+BC20-BL19)))</f>
        <v>42.620000000000005</v>
      </c>
      <c r="BE20" s="13">
        <f>BD20*VLOOKUP('Données projet'!$B$11,Paramètres!$A$1:$I$89,3,0)*VLOOKUP('Données projet'!$B$11,Paramètres!$A$1:$I$89,5,0)</f>
        <v>49.098240000000004</v>
      </c>
      <c r="BF20" s="13">
        <f t="shared" si="37"/>
        <v>14.380630108853252</v>
      </c>
      <c r="BG20" s="20">
        <f t="shared" si="7"/>
        <v>110.55903210625274</v>
      </c>
      <c r="BH20" s="59">
        <f t="shared" si="8"/>
        <v>347.1564844735542</v>
      </c>
      <c r="BI20" s="59">
        <f ca="1">AVERAGE(OFFSET($BH$3,0,0,'Données projet'!$E$11+1,1))-AVERAGE(OFFSET($H$3,0,0,'Données projet'!$E$11+1,1))</f>
        <v>332.93090933713466</v>
      </c>
      <c r="BJ20" s="59">
        <f t="shared" si="38"/>
        <v>251.83579649532973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0.24354529900674612</v>
      </c>
      <c r="BS20" s="22">
        <f t="shared" si="9"/>
        <v>0.24354529900674612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2.5115384616666665</v>
      </c>
      <c r="BY20" s="12">
        <f>IF('Données projet'!$A$114&gt;35,BY19+BX20-CG19,IF(A20&lt;'Données projet'!$A$114,$BV$205^A20,IF(A20='Données projet'!$A$114,'Données projet'!$B$114,BY19+BX20-CG19)))</f>
        <v>11.578917241576145</v>
      </c>
      <c r="BZ20" s="13">
        <f>BY20*VLOOKUP('Données projet'!$B$12,Paramètres!$A$1:$I$89,3,0)*VLOOKUP('Données projet'!$B$12,Paramètres!$A$1:$I$89,5,0)</f>
        <v>13.186070954706913</v>
      </c>
      <c r="CA20" s="13">
        <f t="shared" si="39"/>
        <v>4.5007619131689776</v>
      </c>
      <c r="CB20" s="20">
        <f t="shared" si="10"/>
        <v>30.804567244883845</v>
      </c>
      <c r="CC20" s="59">
        <f t="shared" si="11"/>
        <v>267.40201961218526</v>
      </c>
      <c r="CD20" s="59">
        <f ca="1">AVERAGE(OFFSET($CC$3,0,0,'Données projet'!$E$12+1,1))-AVERAGE(OFFSET($H$3,0,0,'Données projet'!$E$12+1,1))</f>
        <v>797.57191672067393</v>
      </c>
      <c r="CE20" s="59">
        <f t="shared" si="40"/>
        <v>238.59056544987126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>
        <f>VLOOKUP(A20,'Données projet'!$A$139:$I$159,2,0)</f>
        <v>176</v>
      </c>
      <c r="CR20" s="12">
        <f>VLOOKUP(A20,'Données projet'!$A$139:$I$159,9,0)</f>
        <v>23</v>
      </c>
      <c r="CS20" s="12">
        <f t="array" ref="CS20">INDEX(CR:CR,MIN(IF(ISNUMBER(CR20:CR216),ROW(CR20:CR216),"")))</f>
        <v>23</v>
      </c>
      <c r="CT20" s="12">
        <f>IF('Données projet'!$A$140&gt;35,CT19+CS20-DB19,IF(A20&lt;'Données projet'!$A$140,$CQ$205^A20,IF(A20='Données projet'!$A$140,'Données projet'!$B$140,CT19+CS20-DB19)))</f>
        <v>176</v>
      </c>
      <c r="CU20" s="17">
        <f>CT20*VLOOKUP('Données projet'!$B$13,Paramètres!$A$1:$I$89,3,0)*VLOOKUP('Données projet'!$B$13,Paramètres!$A$1:$I$89,5,0)</f>
        <v>105.24800000000002</v>
      </c>
      <c r="CV20" s="13">
        <f t="shared" si="41"/>
        <v>28.208515027560551</v>
      </c>
      <c r="CW20" s="20">
        <f t="shared" si="13"/>
        <v>232.43676367300131</v>
      </c>
      <c r="CX20" s="59">
        <f t="shared" si="14"/>
        <v>469.03421604030274</v>
      </c>
      <c r="CY20" s="59">
        <f ca="1">AVERAGE(OFFSET($CX$3,0,0,'Données projet'!$E$13+1,1))-AVERAGE(OFFSET($H$3,0,0,'Données projet'!$E$13+1,1))</f>
        <v>188.98184340090461</v>
      </c>
      <c r="CZ20" s="59">
        <f t="shared" si="42"/>
        <v>450.74604661797798</v>
      </c>
      <c r="DA20" s="15">
        <f>IF(ISNA(VLOOKUP(A20,'Données projet'!$A$139:$I$159,3,0)),0,VLOOKUP(A20,'Données projet'!$A$139:$I$159,3,0))</f>
        <v>2</v>
      </c>
      <c r="DB20" s="15">
        <f>IF(ISNA(VLOOKUP(A20,'Données projet'!$A$139:$I$159,4,0)),0,VLOOKUP(A20,'Données projet'!$A$139:$I$159,4,0))</f>
        <v>43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0.45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15.289636188000259</v>
      </c>
      <c r="DH20" s="21">
        <f>EXP(-LN(2)/2)*DH19+(1-EXP(-LN(2)/2))/(LN(2)/2)*DB20*DE20*VLOOKUP('Données projet'!$B$13,Paramètres!$A$1:$I$89,3,0)*0.475*44/12</f>
        <v>4.0694962355400728</v>
      </c>
      <c r="DI20" s="22">
        <f t="shared" si="15"/>
        <v>19.359132423540331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15.2</v>
      </c>
      <c r="DO20" s="12">
        <f>IF('Données projet'!$A$166&gt;35,DO19+DN20-DW19,IF(A20&lt;'Données projet'!$A$166,$DL$205^A20,IF(A20='Données projet'!$A$166,'Données projet'!$B$166,DO19+DN20-DW19)))</f>
        <v>171.39999999999995</v>
      </c>
      <c r="DP20" s="17">
        <f>DO20*VLOOKUP('Données projet'!$B$14,Paramètres!$A$1:$I$89,3,0)*VLOOKUP('Données projet'!$B$14,Paramètres!$A$1:$I$89,5,0)</f>
        <v>155.08271999999994</v>
      </c>
      <c r="DQ20" s="13">
        <f t="shared" si="43"/>
        <v>39.731402297721985</v>
      </c>
      <c r="DR20" s="20">
        <f t="shared" si="16"/>
        <v>339.30126300186566</v>
      </c>
      <c r="DS20" s="59">
        <f t="shared" si="17"/>
        <v>575.89871536916712</v>
      </c>
      <c r="DT20" s="59">
        <f ca="1">AVERAGE(OFFSET($DS$3,0,0,'Données projet'!$E$14+1,1))-AVERAGE(OFFSET($H$3,0,0,'Données projet'!$E$14+1,1))</f>
        <v>442.34161202733173</v>
      </c>
      <c r="DU20" s="59">
        <f t="shared" si="44"/>
        <v>622.90413492324399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2.5115384616666665</v>
      </c>
      <c r="EJ20" s="12">
        <f>IF('Données projet'!$A$192&gt;35,EJ19+EI20-ER19,IF(A20&lt;'Données projet'!$A$192,$EG$205^A20,IF(A20='Données projet'!$A$192,'Données projet'!$B$192,EJ19+EI20-ER19)))</f>
        <v>11.578917241576145</v>
      </c>
      <c r="EK20" s="17">
        <f>EJ20*VLOOKUP('Données projet'!$B$15,Paramètres!$A$1:$I$89,3,0)*VLOOKUP('Données projet'!$B$15,Paramètres!$A$1:$I$89,5,0)</f>
        <v>12.644177627801151</v>
      </c>
      <c r="EL20" s="13">
        <f t="shared" si="45"/>
        <v>4.336931759163301</v>
      </c>
      <c r="EM20" s="20">
        <f t="shared" si="19"/>
        <v>29.575432182296421</v>
      </c>
      <c r="EN20" s="59">
        <f t="shared" si="20"/>
        <v>266.17288454959782</v>
      </c>
      <c r="EO20" s="59">
        <f ca="1">AVERAGE(OFFSET($EN$3,0,0,'Données projet'!$E$15+1,1))-AVERAGE(OFFSET($H$3,0,0,'Données projet'!$E$15+1,1))</f>
        <v>767.9449852393318</v>
      </c>
      <c r="EP20" s="59">
        <f t="shared" si="46"/>
        <v>230.95605490295961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58.859911251688267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3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</v>
      </c>
      <c r="H21" s="66">
        <f t="shared" si="1"/>
        <v>212.66666666666666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438.70687900944358</v>
      </c>
      <c r="S21" s="59">
        <f ca="1">AVERAGE(OFFSET($R$3,0,0,'Données projet'!$E$9+1,1))-AVERAGE(OFFSET($H$3,0,0,'Données projet'!$E$9+1,1))</f>
        <v>188.98184340090461</v>
      </c>
      <c r="T21" s="59">
        <f t="shared" si="34"/>
        <v>450.74604661797798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3.6141025633333332</v>
      </c>
      <c r="AI21" s="13">
        <f>IF('Données projet'!$A$62&gt;35,AI20+AH21-AQ20,IF(A21&lt;'Données projet'!$A$62,$AF$205^A21,IF(A21='Données projet'!$A$62,'Données projet'!$B$62,AI20+AH21-AQ20)))</f>
        <v>16.636924152926191</v>
      </c>
      <c r="AJ21" s="13">
        <f>AI21*VLOOKUP('Données projet'!$B$10,Paramètres!$A$1:$I$89,3,0)*VLOOKUP('Données projet'!$B$10,Paramètres!$A$1:$I$89,5,0)</f>
        <v>15.053088973567618</v>
      </c>
      <c r="AK21" s="13">
        <f t="shared" si="35"/>
        <v>5.0594355769741002</v>
      </c>
      <c r="AL21" s="20">
        <f t="shared" si="4"/>
        <v>35.029313592193489</v>
      </c>
      <c r="AM21" s="59">
        <f t="shared" si="5"/>
        <v>273.55759217406205</v>
      </c>
      <c r="AN21" s="59">
        <f ca="1">AVERAGE(OFFSET($AM$3,0,0,'Données projet'!$E$10+1,1))-AVERAGE(OFFSET($H$3,0,0,'Données projet'!$E$10+1,1))</f>
        <v>725.60981534362895</v>
      </c>
      <c r="AO21" s="59">
        <f t="shared" si="36"/>
        <v>265.16078167969272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3.5599999999999996</v>
      </c>
      <c r="BD21" s="12">
        <f>IF('Données projet'!$A$88&gt;35,BD20+BC21-BL20,IF(A21&lt;'Données projet'!$A$88,$BA$205^A21,IF(A21='Données projet'!$A$88,'Données projet'!$B$88,BD20+BC21-BL20)))</f>
        <v>46.180000000000007</v>
      </c>
      <c r="BE21" s="13">
        <f>BD21*VLOOKUP('Données projet'!$B$11,Paramètres!$A$1:$I$89,3,0)*VLOOKUP('Données projet'!$B$11,Paramètres!$A$1:$I$89,5,0)</f>
        <v>53.199360000000006</v>
      </c>
      <c r="BF21" s="13">
        <f t="shared" si="37"/>
        <v>15.437002222536975</v>
      </c>
      <c r="BG21" s="20">
        <f t="shared" si="7"/>
        <v>119.54166420425189</v>
      </c>
      <c r="BH21" s="59">
        <f t="shared" si="8"/>
        <v>358.06994278612041</v>
      </c>
      <c r="BI21" s="59">
        <f ca="1">AVERAGE(OFFSET($BH$3,0,0,'Données projet'!$E$11+1,1))-AVERAGE(OFFSET($H$3,0,0,'Données projet'!$E$11+1,1))</f>
        <v>332.93090933713466</v>
      </c>
      <c r="BJ21" s="59">
        <f t="shared" si="38"/>
        <v>251.83579649532973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0.17221253245377555</v>
      </c>
      <c r="BS21" s="22">
        <f t="shared" si="9"/>
        <v>0.17221253245377555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2.5115384616666665</v>
      </c>
      <c r="BY21" s="12">
        <f>IF('Données projet'!$A$114&gt;35,BY20+BX21-CG20,IF(A21&lt;'Données projet'!$A$114,$BV$205^A21,IF(A21='Données projet'!$A$114,'Données projet'!$B$114,BY20+BX21-CG20)))</f>
        <v>13.373240436582819</v>
      </c>
      <c r="BZ21" s="13">
        <f>BY21*VLOOKUP('Données projet'!$B$12,Paramètres!$A$1:$I$89,3,0)*VLOOKUP('Données projet'!$B$12,Paramètres!$A$1:$I$89,5,0)</f>
        <v>15.229446209180514</v>
      </c>
      <c r="CA21" s="13">
        <f t="shared" si="39"/>
        <v>5.1117751878641036</v>
      </c>
      <c r="CB21" s="20">
        <f t="shared" si="10"/>
        <v>35.427627266519373</v>
      </c>
      <c r="CC21" s="59">
        <f t="shared" si="11"/>
        <v>273.95590584838789</v>
      </c>
      <c r="CD21" s="59">
        <f ca="1">AVERAGE(OFFSET($CC$3,0,0,'Données projet'!$E$12+1,1))-AVERAGE(OFFSET($H$3,0,0,'Données projet'!$E$12+1,1))</f>
        <v>797.57191672067393</v>
      </c>
      <c r="CE21" s="59">
        <f t="shared" si="40"/>
        <v>238.59056544987126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>
        <f>VLOOKUP(A21,'Données projet'!$A$139:$I$159,2,0)</f>
        <v>151</v>
      </c>
      <c r="CR21" s="12">
        <f>VLOOKUP(A21,'Données projet'!$A$139:$I$159,9,0)</f>
        <v>18</v>
      </c>
      <c r="CS21" s="12">
        <f t="array" ref="CS21">INDEX(CR:CR,MIN(IF(ISNUMBER(CR21:CR217),ROW(CR21:CR217),"")))</f>
        <v>18</v>
      </c>
      <c r="CT21" s="12">
        <f>IF('Données projet'!$A$140&gt;35,CT20+CS21-DB20,IF(A21&lt;'Données projet'!$A$140,$CQ$205^A21,IF(A21='Données projet'!$A$140,'Données projet'!$B$140,CT20+CS21-DB20)))</f>
        <v>151</v>
      </c>
      <c r="CU21" s="17">
        <f>CT21*VLOOKUP('Données projet'!$B$13,Paramètres!$A$1:$I$89,3,0)*VLOOKUP('Données projet'!$B$13,Paramètres!$A$1:$I$89,5,0)</f>
        <v>90.298000000000016</v>
      </c>
      <c r="CV21" s="13">
        <f t="shared" si="41"/>
        <v>24.637081585210524</v>
      </c>
      <c r="CW21" s="20">
        <f t="shared" si="13"/>
        <v>200.17860042757502</v>
      </c>
      <c r="CX21" s="59">
        <f t="shared" si="14"/>
        <v>438.70687900944358</v>
      </c>
      <c r="CY21" s="59">
        <f ca="1">AVERAGE(OFFSET($CX$3,0,0,'Données projet'!$E$13+1,1))-AVERAGE(OFFSET($H$3,0,0,'Données projet'!$E$13+1,1))</f>
        <v>188.98184340090461</v>
      </c>
      <c r="CZ21" s="59">
        <f t="shared" si="42"/>
        <v>450.74604661797798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14.871540282392369</v>
      </c>
      <c r="DH21" s="21">
        <f>EXP(-LN(2)/2)*DH20+(1-EXP(-LN(2)/2))/(LN(2)/2)*DB21*DE21*VLOOKUP('Données projet'!$B$13,Paramètres!$A$1:$I$89,3,0)*0.475*44/12</f>
        <v>2.8775683841635131</v>
      </c>
      <c r="DI21" s="22">
        <f t="shared" si="15"/>
        <v>17.74910866655588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15.2</v>
      </c>
      <c r="DO21" s="12">
        <f>IF('Données projet'!$A$166&gt;35,DO20+DN21-DW20,IF(A21&lt;'Données projet'!$A$166,$DL$205^A21,IF(A21='Données projet'!$A$166,'Données projet'!$B$166,DO20+DN21-DW20)))</f>
        <v>186.59999999999994</v>
      </c>
      <c r="DP21" s="17">
        <f>DO21*VLOOKUP('Données projet'!$B$14,Paramètres!$A$1:$I$89,3,0)*VLOOKUP('Données projet'!$B$14,Paramètres!$A$1:$I$89,5,0)</f>
        <v>168.83567999999994</v>
      </c>
      <c r="DQ21" s="13">
        <f t="shared" si="43"/>
        <v>42.829150426593394</v>
      </c>
      <c r="DR21" s="20">
        <f t="shared" si="16"/>
        <v>368.64957965965004</v>
      </c>
      <c r="DS21" s="59">
        <f t="shared" si="17"/>
        <v>607.17785824151861</v>
      </c>
      <c r="DT21" s="59">
        <f ca="1">AVERAGE(OFFSET($DS$3,0,0,'Données projet'!$E$14+1,1))-AVERAGE(OFFSET($H$3,0,0,'Données projet'!$E$14+1,1))</f>
        <v>442.34161202733173</v>
      </c>
      <c r="DU21" s="59">
        <f t="shared" si="44"/>
        <v>622.90413492324399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2.5115384616666665</v>
      </c>
      <c r="EJ21" s="12">
        <f>IF('Données projet'!$A$192&gt;35,EJ20+EI21-ER20,IF(A21&lt;'Données projet'!$A$192,$EG$205^A21,IF(A21='Données projet'!$A$192,'Données projet'!$B$192,EJ20+EI21-ER20)))</f>
        <v>13.373240436582819</v>
      </c>
      <c r="EK21" s="17">
        <f>EJ21*VLOOKUP('Données projet'!$B$15,Paramètres!$A$1:$I$89,3,0)*VLOOKUP('Données projet'!$B$15,Paramètres!$A$1:$I$89,5,0)</f>
        <v>14.603578556748436</v>
      </c>
      <c r="EL21" s="13">
        <f t="shared" si="45"/>
        <v>4.9257038220760592</v>
      </c>
      <c r="EM21" s="20">
        <f t="shared" si="19"/>
        <v>34.01350014311933</v>
      </c>
      <c r="EN21" s="59">
        <f t="shared" si="20"/>
        <v>272.54177872498786</v>
      </c>
      <c r="EO21" s="59">
        <f ca="1">AVERAGE(OFFSET($EN$3,0,0,'Données projet'!$E$15+1,1))-AVERAGE(OFFSET($H$3,0,0,'Données projet'!$E$15+1,1))</f>
        <v>767.9449852393318</v>
      </c>
      <c r="EP21" s="59">
        <f t="shared" si="46"/>
        <v>230.95605490295961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59.053166885964146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3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</v>
      </c>
      <c r="H22" s="66">
        <f t="shared" si="1"/>
        <v>212.66666666666666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466.44066105312163</v>
      </c>
      <c r="S22" s="59">
        <f ca="1">AVERAGE(OFFSET($R$3,0,0,'Données projet'!$E$9+1,1))-AVERAGE(OFFSET($H$3,0,0,'Données projet'!$E$9+1,1))</f>
        <v>188.98184340090461</v>
      </c>
      <c r="T22" s="59">
        <f t="shared" si="34"/>
        <v>450.74604661797798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3.6141025633333332</v>
      </c>
      <c r="AI22" s="13">
        <f>IF('Données projet'!$A$62&gt;35,AI21+AH22-AQ21,IF(A22&lt;'Données projet'!$A$62,$AF$205^A22,IF(A22='Données projet'!$A$62,'Données projet'!$B$62,AI21+AH22-AQ21)))</f>
        <v>19.449588962813831</v>
      </c>
      <c r="AJ22" s="13">
        <f>AI22*VLOOKUP('Données projet'!$B$10,Paramètres!$A$1:$I$89,3,0)*VLOOKUP('Données projet'!$B$10,Paramètres!$A$1:$I$89,5,0)</f>
        <v>17.597988093553951</v>
      </c>
      <c r="AK22" s="13">
        <f t="shared" si="35"/>
        <v>5.80822175193906</v>
      </c>
      <c r="AL22" s="20">
        <f t="shared" si="4"/>
        <v>40.765815480900322</v>
      </c>
      <c r="AM22" s="59">
        <f t="shared" si="5"/>
        <v>281.21262758226999</v>
      </c>
      <c r="AN22" s="59">
        <f ca="1">AVERAGE(OFFSET($AM$3,0,0,'Données projet'!$E$10+1,1))-AVERAGE(OFFSET($H$3,0,0,'Données projet'!$E$10+1,1))</f>
        <v>725.60981534362895</v>
      </c>
      <c r="AO22" s="59">
        <f t="shared" si="36"/>
        <v>265.16078167969272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3.5599999999999996</v>
      </c>
      <c r="BD22" s="12">
        <f>IF('Données projet'!$A$88&gt;35,BD21+BC22-BL21,IF(A22&lt;'Données projet'!$A$88,$BA$205^A22,IF(A22='Données projet'!$A$88,'Données projet'!$B$88,BD21+BC22-BL21)))</f>
        <v>49.740000000000009</v>
      </c>
      <c r="BE22" s="13">
        <f>BD22*VLOOKUP('Données projet'!$B$11,Paramètres!$A$1:$I$89,3,0)*VLOOKUP('Données projet'!$B$11,Paramètres!$A$1:$I$89,5,0)</f>
        <v>57.300480000000007</v>
      </c>
      <c r="BF22" s="13">
        <f t="shared" si="37"/>
        <v>16.4839277919442</v>
      </c>
      <c r="BG22" s="20">
        <f t="shared" si="7"/>
        <v>128.5078435709695</v>
      </c>
      <c r="BH22" s="59">
        <f t="shared" si="8"/>
        <v>368.95465567233919</v>
      </c>
      <c r="BI22" s="59">
        <f ca="1">AVERAGE(OFFSET($BH$3,0,0,'Données projet'!$E$11+1,1))-AVERAGE(OFFSET($H$3,0,0,'Données projet'!$E$11+1,1))</f>
        <v>332.93090933713466</v>
      </c>
      <c r="BJ22" s="59">
        <f t="shared" si="38"/>
        <v>251.83579649532973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0.12177264950337309</v>
      </c>
      <c r="BS22" s="22">
        <f t="shared" si="9"/>
        <v>0.12177264950337309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2.5115384616666665</v>
      </c>
      <c r="BY22" s="12">
        <f>IF('Données projet'!$A$114&gt;35,BY21+BX22-CG21,IF(A22&lt;'Données projet'!$A$114,$BV$205^A22,IF(A22='Données projet'!$A$114,'Données projet'!$B$114,BY21+BX22-CG21)))</f>
        <v>15.445620349758135</v>
      </c>
      <c r="BZ22" s="13">
        <f>BY22*VLOOKUP('Données projet'!$B$12,Paramètres!$A$1:$I$89,3,0)*VLOOKUP('Données projet'!$B$12,Paramètres!$A$1:$I$89,5,0)</f>
        <v>17.589472454304566</v>
      </c>
      <c r="CA22" s="13">
        <f t="shared" si="39"/>
        <v>5.8057382450752311</v>
      </c>
      <c r="CB22" s="20">
        <f t="shared" si="10"/>
        <v>40.746658634753139</v>
      </c>
      <c r="CC22" s="59">
        <f t="shared" si="11"/>
        <v>281.19347073612278</v>
      </c>
      <c r="CD22" s="59">
        <f ca="1">AVERAGE(OFFSET($CC$3,0,0,'Données projet'!$E$12+1,1))-AVERAGE(OFFSET($H$3,0,0,'Données projet'!$E$12+1,1))</f>
        <v>797.57191672067393</v>
      </c>
      <c r="CE22" s="59">
        <f t="shared" si="40"/>
        <v>238.59056544987126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>
        <f>VLOOKUP(A22,'Données projet'!$A$139:$I$159,2,0)</f>
        <v>171</v>
      </c>
      <c r="CR22" s="12">
        <f>VLOOKUP(A22,'Données projet'!$A$139:$I$159,9,0)</f>
        <v>20</v>
      </c>
      <c r="CS22" s="12">
        <f t="array" ref="CS22">INDEX(CR:CR,MIN(IF(ISNUMBER(CR22:CR218),ROW(CR22:CR218),"")))</f>
        <v>20</v>
      </c>
      <c r="CT22" s="12">
        <f>IF('Données projet'!$A$140&gt;35,CT21+CS22-DB21,IF(A22&lt;'Données projet'!$A$140,$CQ$205^A22,IF(A22='Données projet'!$A$140,'Données projet'!$B$140,CT21+CS22-DB21)))</f>
        <v>171</v>
      </c>
      <c r="CU22" s="17">
        <f>CT22*VLOOKUP('Données projet'!$B$13,Paramètres!$A$1:$I$89,3,0)*VLOOKUP('Données projet'!$B$13,Paramètres!$A$1:$I$89,5,0)</f>
        <v>102.258</v>
      </c>
      <c r="CV22" s="13">
        <f t="shared" si="41"/>
        <v>27.499233847895859</v>
      </c>
      <c r="CW22" s="20">
        <f t="shared" si="13"/>
        <v>225.99384895175194</v>
      </c>
      <c r="CX22" s="59">
        <f t="shared" si="14"/>
        <v>466.44066105312163</v>
      </c>
      <c r="CY22" s="59">
        <f ca="1">AVERAGE(OFFSET($CX$3,0,0,'Données projet'!$E$13+1,1))-AVERAGE(OFFSET($H$3,0,0,'Données projet'!$E$13+1,1))</f>
        <v>188.98184340090461</v>
      </c>
      <c r="CZ22" s="59">
        <f t="shared" si="42"/>
        <v>450.74604661797798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14.464877231310036</v>
      </c>
      <c r="DH22" s="21">
        <f>EXP(-LN(2)/2)*DH21+(1-EXP(-LN(2)/2))/(LN(2)/2)*DB22*DE22*VLOOKUP('Données projet'!$B$13,Paramètres!$A$1:$I$89,3,0)*0.475*44/12</f>
        <v>2.0347481177700364</v>
      </c>
      <c r="DI22" s="22">
        <f t="shared" si="15"/>
        <v>16.499625349080073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15.2</v>
      </c>
      <c r="DO22" s="12">
        <f>IF('Données projet'!$A$166&gt;35,DO21+DN22-DW21,IF(A22&lt;'Données projet'!$A$166,$DL$205^A22,IF(A22='Données projet'!$A$166,'Données projet'!$B$166,DO21+DN22-DW21)))</f>
        <v>201.79999999999993</v>
      </c>
      <c r="DP22" s="17">
        <f>DO22*VLOOKUP('Données projet'!$B$14,Paramètres!$A$1:$I$89,3,0)*VLOOKUP('Données projet'!$B$14,Paramètres!$A$1:$I$89,5,0)</f>
        <v>182.58863999999994</v>
      </c>
      <c r="DQ22" s="13">
        <f t="shared" si="43"/>
        <v>45.897631388749296</v>
      </c>
      <c r="DR22" s="20">
        <f t="shared" si="16"/>
        <v>397.9469226687383</v>
      </c>
      <c r="DS22" s="59">
        <f t="shared" si="17"/>
        <v>638.39373477010793</v>
      </c>
      <c r="DT22" s="59">
        <f ca="1">AVERAGE(OFFSET($DS$3,0,0,'Données projet'!$E$14+1,1))-AVERAGE(OFFSET($H$3,0,0,'Données projet'!$E$14+1,1))</f>
        <v>442.34161202733173</v>
      </c>
      <c r="DU22" s="59">
        <f t="shared" si="44"/>
        <v>622.90413492324399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2.5115384616666665</v>
      </c>
      <c r="EJ22" s="12">
        <f>IF('Données projet'!$A$192&gt;35,EJ21+EI22-ER21,IF(A22&lt;'Données projet'!$A$192,$EG$205^A22,IF(A22='Données projet'!$A$192,'Données projet'!$B$192,EJ21+EI22-ER21)))</f>
        <v>15.445620349758135</v>
      </c>
      <c r="EK22" s="17">
        <f>EJ22*VLOOKUP('Données projet'!$B$15,Paramètres!$A$1:$I$89,3,0)*VLOOKUP('Données projet'!$B$15,Paramètres!$A$1:$I$89,5,0)</f>
        <v>16.866617421935882</v>
      </c>
      <c r="EL22" s="13">
        <f t="shared" si="45"/>
        <v>5.5944062508134831</v>
      </c>
      <c r="EM22" s="20">
        <f t="shared" si="19"/>
        <v>39.119616230038474</v>
      </c>
      <c r="EN22" s="59">
        <f t="shared" si="20"/>
        <v>279.56642833140813</v>
      </c>
      <c r="EO22" s="59">
        <f ca="1">AVERAGE(OFFSET($EN$3,0,0,'Données projet'!$E$15+1,1))-AVERAGE(OFFSET($H$3,0,0,'Données projet'!$E$15+1,1))</f>
        <v>767.9449852393318</v>
      </c>
      <c r="EP22" s="59">
        <f t="shared" si="46"/>
        <v>230.95605490295961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59.243069967040213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3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</v>
      </c>
      <c r="H23" s="66">
        <f t="shared" si="1"/>
        <v>212.66666666666666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495.38055563309729</v>
      </c>
      <c r="S23" s="59">
        <f ca="1">AVERAGE(OFFSET($R$3,0,0,'Données projet'!$E$9+1,1))-AVERAGE(OFFSET($H$3,0,0,'Données projet'!$E$9+1,1))</f>
        <v>188.98184340090461</v>
      </c>
      <c r="T23" s="59">
        <f t="shared" si="34"/>
        <v>450.74604661797798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3.6141025633333332</v>
      </c>
      <c r="AI23" s="13">
        <f>IF('Données projet'!$A$62&gt;35,AI22+AH23-AQ22,IF(A23&lt;'Données projet'!$A$62,$AF$205^A23,IF(A23='Données projet'!$A$62,'Données projet'!$B$62,AI22+AH23-AQ22)))</f>
        <v>22.737767350816139</v>
      </c>
      <c r="AJ23" s="13">
        <f>AI23*VLOOKUP('Données projet'!$B$10,Paramètres!$A$1:$I$89,3,0)*VLOOKUP('Données projet'!$B$10,Paramètres!$A$1:$I$89,5,0)</f>
        <v>20.573131899018442</v>
      </c>
      <c r="AK23" s="13">
        <f t="shared" si="35"/>
        <v>6.6678267578365462</v>
      </c>
      <c r="AL23" s="20">
        <f t="shared" si="4"/>
        <v>47.444669660689108</v>
      </c>
      <c r="AM23" s="59">
        <f t="shared" si="5"/>
        <v>289.79793583727098</v>
      </c>
      <c r="AN23" s="59">
        <f ca="1">AVERAGE(OFFSET($AM$3,0,0,'Données projet'!$E$10+1,1))-AVERAGE(OFFSET($H$3,0,0,'Données projet'!$E$10+1,1))</f>
        <v>725.60981534362895</v>
      </c>
      <c r="AO23" s="59">
        <f t="shared" si="36"/>
        <v>265.16078167969272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53.3</v>
      </c>
      <c r="BB23" s="12">
        <f>VLOOKUP(A23,'Données projet'!$A$87:$I$107,9,0)</f>
        <v>3.5599999999999996</v>
      </c>
      <c r="BC23" s="12">
        <f t="array" ref="BC23">INDEX(BB:BB,MIN(IF(ISNUMBER(BB23:BB219),ROW(BB23:BB219),"")))</f>
        <v>3.5599999999999996</v>
      </c>
      <c r="BD23" s="12">
        <f>IF('Données projet'!$A$88&gt;35,BD22+BC23-BL22,IF(A23&lt;'Données projet'!$A$88,$BA$205^A23,IF(A23='Données projet'!$A$88,'Données projet'!$B$88,BD22+BC23-BL22)))</f>
        <v>53.300000000000011</v>
      </c>
      <c r="BE23" s="13">
        <f>BD23*VLOOKUP('Données projet'!$B$11,Paramètres!$A$1:$I$89,3,0)*VLOOKUP('Données projet'!$B$11,Paramètres!$A$1:$I$89,5,0)</f>
        <v>61.401600000000002</v>
      </c>
      <c r="BF23" s="13">
        <f t="shared" si="37"/>
        <v>17.522159822470112</v>
      </c>
      <c r="BG23" s="20">
        <f t="shared" si="7"/>
        <v>137.45888169080212</v>
      </c>
      <c r="BH23" s="59">
        <f t="shared" si="8"/>
        <v>379.812147867384</v>
      </c>
      <c r="BI23" s="59">
        <f ca="1">AVERAGE(OFFSET($BH$3,0,0,'Données projet'!$E$11+1,1))-AVERAGE(OFFSET($H$3,0,0,'Données projet'!$E$11+1,1))</f>
        <v>332.93090933713466</v>
      </c>
      <c r="BJ23" s="59">
        <f t="shared" si="38"/>
        <v>251.83579649532973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8.9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0.45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3.3021903839806424</v>
      </c>
      <c r="BR23" s="21">
        <f>EXP(-LN(2)/2)*BR22+(1-EXP(-LN(2)/2))/(LN(2)/2)*BL23*BO23*VLOOKUP('Données projet'!$B$11,Paramètres!$A$1:$I$89,3,0)*0.475*44/12</f>
        <v>8.6106266226887787E-2</v>
      </c>
      <c r="BS23" s="22">
        <f t="shared" si="9"/>
        <v>3.38829665020753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2.5115384616666665</v>
      </c>
      <c r="BY23" s="12">
        <f>IF('Données projet'!$A$114&gt;35,BY22+BX23-CG22,IF(A23&lt;'Données projet'!$A$114,$BV$205^A23,IF(A23='Données projet'!$A$114,'Données projet'!$B$114,BY22+BX23-CG22)))</f>
        <v>17.839145951212871</v>
      </c>
      <c r="BZ23" s="13">
        <f>BY23*VLOOKUP('Données projet'!$B$12,Paramètres!$A$1:$I$89,3,0)*VLOOKUP('Données projet'!$B$12,Paramètres!$A$1:$I$89,5,0)</f>
        <v>20.315219409241216</v>
      </c>
      <c r="CA23" s="13">
        <f t="shared" si="39"/>
        <v>6.5939121599776662</v>
      </c>
      <c r="CB23" s="20">
        <f t="shared" si="10"/>
        <v>46.86673748305622</v>
      </c>
      <c r="CC23" s="59">
        <f t="shared" si="11"/>
        <v>289.22000365963811</v>
      </c>
      <c r="CD23" s="59">
        <f ca="1">AVERAGE(OFFSET($CC$3,0,0,'Données projet'!$E$12+1,1))-AVERAGE(OFFSET($H$3,0,0,'Données projet'!$E$12+1,1))</f>
        <v>797.57191672067393</v>
      </c>
      <c r="CE23" s="59">
        <f t="shared" si="40"/>
        <v>238.59056544987126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192</v>
      </c>
      <c r="CR23" s="12">
        <f>VLOOKUP(A23,'Données projet'!$A$139:$I$159,9,0)</f>
        <v>21</v>
      </c>
      <c r="CS23" s="12">
        <f t="array" ref="CS23">INDEX(CR:CR,MIN(IF(ISNUMBER(CR23:CR219),ROW(CR23:CR219),"")))</f>
        <v>21</v>
      </c>
      <c r="CT23" s="12">
        <f>IF('Données projet'!$A$140&gt;35,CT22+CS23-DB22,IF(A23&lt;'Données projet'!$A$140,$CQ$205^A23,IF(A23='Données projet'!$A$140,'Données projet'!$B$140,CT22+CS23-DB22)))</f>
        <v>192</v>
      </c>
      <c r="CU23" s="17">
        <f>CT23*VLOOKUP('Données projet'!$B$13,Paramètres!$A$1:$I$89,3,0)*VLOOKUP('Données projet'!$B$13,Paramètres!$A$1:$I$89,5,0)</f>
        <v>114.81600000000002</v>
      </c>
      <c r="CV23" s="13">
        <f t="shared" si="41"/>
        <v>30.462826482209831</v>
      </c>
      <c r="CW23" s="20">
        <f t="shared" si="13"/>
        <v>253.02728945651543</v>
      </c>
      <c r="CX23" s="59">
        <f t="shared" si="14"/>
        <v>495.38055563309729</v>
      </c>
      <c r="CY23" s="59">
        <f ca="1">AVERAGE(OFFSET($CX$3,0,0,'Données projet'!$E$13+1,1))-AVERAGE(OFFSET($H$3,0,0,'Données projet'!$E$13+1,1))</f>
        <v>188.98184340090461</v>
      </c>
      <c r="CZ23" s="59">
        <f t="shared" si="42"/>
        <v>450.74604661797798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14.06933440274503</v>
      </c>
      <c r="DH23" s="21">
        <f>EXP(-LN(2)/2)*DH22+(1-EXP(-LN(2)/2))/(LN(2)/2)*DB23*DE23*VLOOKUP('Données projet'!$B$13,Paramètres!$A$1:$I$89,3,0)*0.475*44/12</f>
        <v>1.4387841920817566</v>
      </c>
      <c r="DI23" s="22">
        <f t="shared" si="15"/>
        <v>15.508118594826787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217</v>
      </c>
      <c r="DM23" s="12">
        <f>VLOOKUP(A23,'Données projet'!$A$165:$I$185,9,0)</f>
        <v>15.2</v>
      </c>
      <c r="DN23" s="12">
        <f t="array" ref="DN23">INDEX(DM:DM,MIN(IF(ISNUMBER(DM23:DM219),ROW(DM23:DM219),"")))</f>
        <v>15.2</v>
      </c>
      <c r="DO23" s="12">
        <f>IF('Données projet'!$A$166&gt;35,DO22+DN23-DW22,IF(A23&lt;'Données projet'!$A$166,$DL$205^A23,IF(A23='Données projet'!$A$166,'Données projet'!$B$166,DO22+DN23-DW22)))</f>
        <v>216.99999999999991</v>
      </c>
      <c r="DP23" s="17">
        <f>DO23*VLOOKUP('Données projet'!$B$14,Paramètres!$A$1:$I$89,3,0)*VLOOKUP('Données projet'!$B$14,Paramètres!$A$1:$I$89,5,0)</f>
        <v>196.34159999999991</v>
      </c>
      <c r="DQ23" s="13">
        <f t="shared" si="43"/>
        <v>48.939300310809159</v>
      </c>
      <c r="DR23" s="20">
        <f t="shared" si="16"/>
        <v>427.19756804132584</v>
      </c>
      <c r="DS23" s="59">
        <f t="shared" si="17"/>
        <v>669.55083421790778</v>
      </c>
      <c r="DT23" s="59">
        <f ca="1">AVERAGE(OFFSET($DS$3,0,0,'Données projet'!$E$14+1,1))-AVERAGE(OFFSET($H$3,0,0,'Données projet'!$E$14+1,1))</f>
        <v>442.34161202733173</v>
      </c>
      <c r="DU23" s="59">
        <f t="shared" si="44"/>
        <v>622.90413492324399</v>
      </c>
      <c r="DV23" s="15">
        <f>IF(ISNA(VLOOKUP(A23,'Données projet'!$A$165:$I$185,3,0)),0,VLOOKUP(A23,'Données projet'!$A$165:$I$185,3,0))</f>
        <v>4</v>
      </c>
      <c r="DW23" s="15">
        <f>IF(ISNA(VLOOKUP(A23,'Données projet'!$A$165:$I$185,4,0)),0,VLOOKUP(A23,'Données projet'!$A$165:$I$185,4,0))</f>
        <v>23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2.5115384616666665</v>
      </c>
      <c r="EJ23" s="12">
        <f>IF('Données projet'!$A$192&gt;35,EJ22+EI23-ER22,IF(A23&lt;'Données projet'!$A$192,$EG$205^A23,IF(A23='Données projet'!$A$192,'Données projet'!$B$192,EJ22+EI23-ER22)))</f>
        <v>17.839145951212871</v>
      </c>
      <c r="EK23" s="17">
        <f>EJ23*VLOOKUP('Données projet'!$B$15,Paramètres!$A$1:$I$89,3,0)*VLOOKUP('Données projet'!$B$15,Paramètres!$A$1:$I$89,5,0)</f>
        <v>19.480347378724453</v>
      </c>
      <c r="EL23" s="13">
        <f t="shared" si="45"/>
        <v>6.3538902113586557</v>
      </c>
      <c r="EM23" s="20">
        <f t="shared" si="19"/>
        <v>44.994630469394743</v>
      </c>
      <c r="EN23" s="59">
        <f t="shared" si="20"/>
        <v>287.34789664597662</v>
      </c>
      <c r="EO23" s="59">
        <f ca="1">AVERAGE(OFFSET($EN$3,0,0,'Données projet'!$E$15+1,1))-AVERAGE(OFFSET($H$3,0,0,'Données projet'!$E$15+1,1))</f>
        <v>767.9449852393318</v>
      </c>
      <c r="EP23" s="59">
        <f t="shared" si="46"/>
        <v>230.95605490295961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59.429678654219302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3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</v>
      </c>
      <c r="H24" s="66">
        <f t="shared" si="1"/>
        <v>212.66666666666666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522.96032681792803</v>
      </c>
      <c r="S24" s="59">
        <f ca="1">AVERAGE(OFFSET($R$3,0,0,'Données projet'!$E$9+1,1))-AVERAGE(OFFSET($H$3,0,0,'Données projet'!$E$9+1,1))</f>
        <v>188.98184340090461</v>
      </c>
      <c r="T24" s="59">
        <f t="shared" si="34"/>
        <v>450.74604661797798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3.6141025633333332</v>
      </c>
      <c r="AI24" s="13">
        <f>IF('Données projet'!$A$62&gt;35,AI23+AH24-AQ23,IF(A24&lt;'Données projet'!$A$62,$AF$205^A24,IF(A24='Données projet'!$A$62,'Données projet'!$B$62,AI23+AH24-AQ23)))</f>
        <v>26.581850397369195</v>
      </c>
      <c r="AJ24" s="13">
        <f>AI24*VLOOKUP('Données projet'!$B$10,Paramètres!$A$1:$I$89,3,0)*VLOOKUP('Données projet'!$B$10,Paramètres!$A$1:$I$89,5,0)</f>
        <v>24.051258239539646</v>
      </c>
      <c r="AK24" s="13">
        <f t="shared" si="35"/>
        <v>7.6546515562492337</v>
      </c>
      <c r="AL24" s="20">
        <f t="shared" si="4"/>
        <v>55.221126227665629</v>
      </c>
      <c r="AM24" s="59">
        <f t="shared" si="5"/>
        <v>299.46897658652358</v>
      </c>
      <c r="AN24" s="59">
        <f ca="1">AVERAGE(OFFSET($AM$3,0,0,'Données projet'!$E$10+1,1))-AVERAGE(OFFSET($H$3,0,0,'Données projet'!$E$10+1,1))</f>
        <v>725.60981534362895</v>
      </c>
      <c r="AO24" s="59">
        <f t="shared" si="36"/>
        <v>265.16078167969272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3.54</v>
      </c>
      <c r="BD24" s="12">
        <f>IF('Données projet'!$A$88&gt;35,BD23+BC24-BL23,IF(A24&lt;'Données projet'!$A$88,$BA$205^A24,IF(A24='Données projet'!$A$88,'Données projet'!$B$88,BD23+BC24-BL23)))</f>
        <v>47.940000000000012</v>
      </c>
      <c r="BE24" s="13">
        <f>BD24*VLOOKUP('Données projet'!$B$11,Paramètres!$A$1:$I$89,3,0)*VLOOKUP('Données projet'!$B$11,Paramètres!$A$1:$I$89,5,0)</f>
        <v>55.226880000000016</v>
      </c>
      <c r="BF24" s="13">
        <f t="shared" si="37"/>
        <v>15.95571441459707</v>
      </c>
      <c r="BG24" s="20">
        <f t="shared" si="7"/>
        <v>123.97635193875659</v>
      </c>
      <c r="BH24" s="59">
        <f t="shared" si="8"/>
        <v>368.22420229761451</v>
      </c>
      <c r="BI24" s="59">
        <f ca="1">AVERAGE(OFFSET($BH$3,0,0,'Données projet'!$E$11+1,1))-AVERAGE(OFFSET($H$3,0,0,'Données projet'!$E$11+1,1))</f>
        <v>332.93090933713466</v>
      </c>
      <c r="BJ24" s="59">
        <f t="shared" si="38"/>
        <v>251.83579649532973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3.2118918142760466</v>
      </c>
      <c r="BR24" s="21">
        <f>EXP(-LN(2)/2)*BR23+(1-EXP(-LN(2)/2))/(LN(2)/2)*BL24*BO24*VLOOKUP('Données projet'!$B$11,Paramètres!$A$1:$I$89,3,0)*0.475*44/12</f>
        <v>6.0886324751686552E-2</v>
      </c>
      <c r="BS24" s="22">
        <f t="shared" si="9"/>
        <v>3.2727781390277331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2.5115384616666665</v>
      </c>
      <c r="BY24" s="12">
        <f>IF('Données projet'!$A$114&gt;35,BY23+BX24-CG23,IF(A24&lt;'Données projet'!$A$114,$BV$205^A24,IF(A24='Données projet'!$A$114,'Données projet'!$B$114,BY23+BX24-CG23)))</f>
        <v>20.603583479485028</v>
      </c>
      <c r="BZ24" s="13">
        <f>BY24*VLOOKUP('Données projet'!$B$12,Paramètres!$A$1:$I$89,3,0)*VLOOKUP('Données projet'!$B$12,Paramètres!$A$1:$I$89,5,0)</f>
        <v>23.463360866437551</v>
      </c>
      <c r="CA24" s="13">
        <f t="shared" si="39"/>
        <v>7.4890867858852088</v>
      </c>
      <c r="CB24" s="20">
        <f t="shared" si="10"/>
        <v>53.908846327795466</v>
      </c>
      <c r="CC24" s="59">
        <f t="shared" si="11"/>
        <v>298.15669668665339</v>
      </c>
      <c r="CD24" s="59">
        <f ca="1">AVERAGE(OFFSET($CC$3,0,0,'Données projet'!$E$12+1,1))-AVERAGE(OFFSET($H$3,0,0,'Données projet'!$E$12+1,1))</f>
        <v>797.57191672067393</v>
      </c>
      <c r="CE24" s="59">
        <f t="shared" si="40"/>
        <v>238.59056544987126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>
        <f>VLOOKUP(A24,'Données projet'!$A$139:$I$159,2,0)</f>
        <v>212</v>
      </c>
      <c r="CR24" s="12">
        <f>VLOOKUP(A24,'Données projet'!$A$139:$I$159,9,0)</f>
        <v>20</v>
      </c>
      <c r="CS24" s="12">
        <f t="array" ref="CS24">INDEX(CR:CR,MIN(IF(ISNUMBER(CR24:CR220),ROW(CR24:CR220),"")))</f>
        <v>20</v>
      </c>
      <c r="CT24" s="12">
        <f>IF('Données projet'!$A$140&gt;35,CT23+CS24-DB23,IF(A24&lt;'Données projet'!$A$140,$CQ$205^A24,IF(A24='Données projet'!$A$140,'Données projet'!$B$140,CT23+CS24-DB23)))</f>
        <v>212</v>
      </c>
      <c r="CU24" s="17">
        <f>CT24*VLOOKUP('Données projet'!$B$13,Paramètres!$A$1:$I$89,3,0)*VLOOKUP('Données projet'!$B$13,Paramètres!$A$1:$I$89,5,0)</f>
        <v>126.77600000000002</v>
      </c>
      <c r="CV24" s="13">
        <f t="shared" si="41"/>
        <v>33.250302273150254</v>
      </c>
      <c r="CW24" s="20">
        <f t="shared" si="13"/>
        <v>278.7124764590701</v>
      </c>
      <c r="CX24" s="59">
        <f t="shared" si="14"/>
        <v>522.96032681792803</v>
      </c>
      <c r="CY24" s="59">
        <f ca="1">AVERAGE(OFFSET($CX$3,0,0,'Données projet'!$E$13+1,1))-AVERAGE(OFFSET($H$3,0,0,'Données projet'!$E$13+1,1))</f>
        <v>188.98184340090461</v>
      </c>
      <c r="CZ24" s="59">
        <f t="shared" si="42"/>
        <v>450.74604661797798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13.684607713627827</v>
      </c>
      <c r="DH24" s="21">
        <f>EXP(-LN(2)/2)*DH23+(1-EXP(-LN(2)/2))/(LN(2)/2)*DB24*DE24*VLOOKUP('Données projet'!$B$13,Paramètres!$A$1:$I$89,3,0)*0.475*44/12</f>
        <v>1.0173740588850182</v>
      </c>
      <c r="DI24" s="22">
        <f t="shared" si="15"/>
        <v>14.701981772512845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13</v>
      </c>
      <c r="DO24" s="12">
        <f>IF('Données projet'!$A$166&gt;35,DO23+DN24-DW23,IF(A24&lt;'Données projet'!$A$166,$DL$205^A24,IF(A24='Données projet'!$A$166,'Données projet'!$B$166,DO23+DN24-DW23)))</f>
        <v>206.99999999999991</v>
      </c>
      <c r="DP24" s="17">
        <f>DO24*VLOOKUP('Données projet'!$B$14,Paramètres!$A$1:$I$89,3,0)*VLOOKUP('Données projet'!$B$14,Paramètres!$A$1:$I$89,5,0)</f>
        <v>187.29359999999991</v>
      </c>
      <c r="DQ24" s="13">
        <f t="shared" si="43"/>
        <v>46.941107550760421</v>
      </c>
      <c r="DR24" s="20">
        <f t="shared" si="16"/>
        <v>407.95878231757428</v>
      </c>
      <c r="DS24" s="59">
        <f t="shared" si="17"/>
        <v>652.20663267643226</v>
      </c>
      <c r="DT24" s="59">
        <f ca="1">AVERAGE(OFFSET($DS$3,0,0,'Données projet'!$E$14+1,1))-AVERAGE(OFFSET($H$3,0,0,'Données projet'!$E$14+1,1))</f>
        <v>442.34161202733173</v>
      </c>
      <c r="DU24" s="59">
        <f t="shared" si="44"/>
        <v>622.90413492324399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2.5115384616666665</v>
      </c>
      <c r="EJ24" s="12">
        <f>IF('Données projet'!$A$192&gt;35,EJ23+EI24-ER23,IF(A24&lt;'Données projet'!$A$192,$EG$205^A24,IF(A24='Données projet'!$A$192,'Données projet'!$B$192,EJ23+EI24-ER23)))</f>
        <v>20.603583479485028</v>
      </c>
      <c r="EK24" s="17">
        <f>EJ24*VLOOKUP('Données projet'!$B$15,Paramètres!$A$1:$I$89,3,0)*VLOOKUP('Données projet'!$B$15,Paramètres!$A$1:$I$89,5,0)</f>
        <v>22.499113159597648</v>
      </c>
      <c r="EL24" s="13">
        <f t="shared" si="45"/>
        <v>7.2164799994867792</v>
      </c>
      <c r="EM24" s="20">
        <f t="shared" si="19"/>
        <v>51.754658085405374</v>
      </c>
      <c r="EN24" s="59">
        <f t="shared" si="20"/>
        <v>296.0025084442633</v>
      </c>
      <c r="EO24" s="59">
        <f ca="1">AVERAGE(OFFSET($EN$3,0,0,'Données projet'!$E$15+1,1))-AVERAGE(OFFSET($H$3,0,0,'Données projet'!$E$15+1,1))</f>
        <v>767.9449852393318</v>
      </c>
      <c r="EP24" s="59">
        <f t="shared" si="46"/>
        <v>230.95605490295961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59.613050097870349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3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</v>
      </c>
      <c r="H25" s="66">
        <f t="shared" si="1"/>
        <v>212.66666666666666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550.4753308033653</v>
      </c>
      <c r="S25" s="59">
        <f ca="1">AVERAGE(OFFSET($R$3,0,0,'Données projet'!$E$9+1,1))-AVERAGE(OFFSET($H$3,0,0,'Données projet'!$E$9+1,1))</f>
        <v>188.98184340090461</v>
      </c>
      <c r="T25" s="59">
        <f t="shared" si="34"/>
        <v>450.74604661797798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3.6141025633333332</v>
      </c>
      <c r="AI25" s="13">
        <f>IF('Données projet'!$A$62&gt;35,AI24+AH25-AQ24,IF(A25&lt;'Données projet'!$A$62,$AF$205^A25,IF(A25='Données projet'!$A$62,'Données projet'!$B$62,AI24+AH25-AQ24)))</f>
        <v>31.075820226595585</v>
      </c>
      <c r="AJ25" s="13">
        <f>AI25*VLOOKUP('Données projet'!$B$10,Paramètres!$A$1:$I$89,3,0)*VLOOKUP('Données projet'!$B$10,Paramètres!$A$1:$I$89,5,0)</f>
        <v>28.117402141023685</v>
      </c>
      <c r="AK25" s="13">
        <f t="shared" si="35"/>
        <v>8.7875244177160141</v>
      </c>
      <c r="AL25" s="20">
        <f t="shared" si="4"/>
        <v>64.27608042313831</v>
      </c>
      <c r="AM25" s="59">
        <f t="shared" si="5"/>
        <v>310.40685098744154</v>
      </c>
      <c r="AN25" s="59">
        <f ca="1">AVERAGE(OFFSET($AM$3,0,0,'Données projet'!$E$10+1,1))-AVERAGE(OFFSET($H$3,0,0,'Données projet'!$E$10+1,1))</f>
        <v>725.60981534362895</v>
      </c>
      <c r="AO25" s="59">
        <f t="shared" si="36"/>
        <v>265.16078167969272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3.54</v>
      </c>
      <c r="BD25" s="12">
        <f>IF('Données projet'!$A$88&gt;35,BD24+BC25-BL24,IF(A25&lt;'Données projet'!$A$88,$BA$205^A25,IF(A25='Données projet'!$A$88,'Données projet'!$B$88,BD24+BC25-BL24)))</f>
        <v>51.480000000000011</v>
      </c>
      <c r="BE25" s="13">
        <f>BD25*VLOOKUP('Données projet'!$B$11,Paramètres!$A$1:$I$89,3,0)*VLOOKUP('Données projet'!$B$11,Paramètres!$A$1:$I$89,5,0)</f>
        <v>59.304960000000008</v>
      </c>
      <c r="BF25" s="13">
        <f t="shared" si="37"/>
        <v>16.99242210596006</v>
      </c>
      <c r="BG25" s="20">
        <f t="shared" si="7"/>
        <v>132.88460716788046</v>
      </c>
      <c r="BH25" s="59">
        <f t="shared" si="8"/>
        <v>379.01537773218365</v>
      </c>
      <c r="BI25" s="59">
        <f ca="1">AVERAGE(OFFSET($BH$3,0,0,'Données projet'!$E$11+1,1))-AVERAGE(OFFSET($H$3,0,0,'Données projet'!$E$11+1,1))</f>
        <v>332.93090933713466</v>
      </c>
      <c r="BJ25" s="59">
        <f t="shared" si="38"/>
        <v>251.83579649532973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3.1240624637086185</v>
      </c>
      <c r="BR25" s="21">
        <f>EXP(-LN(2)/2)*BR24+(1-EXP(-LN(2)/2))/(LN(2)/2)*BL25*BO25*VLOOKUP('Données projet'!$B$11,Paramètres!$A$1:$I$89,3,0)*0.475*44/12</f>
        <v>4.30531331134439E-2</v>
      </c>
      <c r="BS25" s="22">
        <f t="shared" si="9"/>
        <v>3.1671155968220623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2.5115384616666665</v>
      </c>
      <c r="BY25" s="12">
        <f>IF('Données projet'!$A$114&gt;35,BY24+BX25-CG24,IF(A25&lt;'Données projet'!$A$114,$BV$205^A25,IF(A25='Données projet'!$A$114,'Données projet'!$B$114,BY24+BX25-CG24)))</f>
        <v>23.796411182299146</v>
      </c>
      <c r="BZ25" s="13">
        <f>BY25*VLOOKUP('Données projet'!$B$12,Paramètres!$A$1:$I$89,3,0)*VLOOKUP('Données projet'!$B$12,Paramètres!$A$1:$I$89,5,0)</f>
        <v>27.099353054402265</v>
      </c>
      <c r="CA25" s="13">
        <f t="shared" si="39"/>
        <v>8.5057882977183077</v>
      </c>
      <c r="CB25" s="20">
        <f t="shared" si="10"/>
        <v>62.012287854943317</v>
      </c>
      <c r="CC25" s="59">
        <f t="shared" si="11"/>
        <v>308.14305841924653</v>
      </c>
      <c r="CD25" s="59">
        <f ca="1">AVERAGE(OFFSET($CC$3,0,0,'Données projet'!$E$12+1,1))-AVERAGE(OFFSET($H$3,0,0,'Données projet'!$E$12+1,1))</f>
        <v>797.57191672067393</v>
      </c>
      <c r="CE25" s="59">
        <f t="shared" si="40"/>
        <v>238.59056544987126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>
        <f>VLOOKUP(A25,'Données projet'!$A$139:$I$159,2,0)</f>
        <v>232</v>
      </c>
      <c r="CR25" s="12">
        <f>VLOOKUP(A25,'Données projet'!$A$139:$I$159,9,0)</f>
        <v>20</v>
      </c>
      <c r="CS25" s="12">
        <f t="array" ref="CS25">INDEX(CR:CR,MIN(IF(ISNUMBER(CR25:CR221),ROW(CR25:CR221),"")))</f>
        <v>20</v>
      </c>
      <c r="CT25" s="12">
        <f>IF('Données projet'!$A$140&gt;35,CT24+CS25-DB24,IF(A25&lt;'Données projet'!$A$140,$CQ$205^A25,IF(A25='Données projet'!$A$140,'Données projet'!$B$140,CT24+CS25-DB24)))</f>
        <v>232</v>
      </c>
      <c r="CU25" s="17">
        <f>CT25*VLOOKUP('Données projet'!$B$13,Paramètres!$A$1:$I$89,3,0)*VLOOKUP('Données projet'!$B$13,Paramètres!$A$1:$I$89,5,0)</f>
        <v>138.73599999999999</v>
      </c>
      <c r="CV25" s="13">
        <f t="shared" si="41"/>
        <v>36.007288175538044</v>
      </c>
      <c r="CW25" s="20">
        <f t="shared" si="13"/>
        <v>304.34456023906205</v>
      </c>
      <c r="CX25" s="59">
        <f t="shared" si="14"/>
        <v>550.4753308033653</v>
      </c>
      <c r="CY25" s="59">
        <f ca="1">AVERAGE(OFFSET($CX$3,0,0,'Données projet'!$E$13+1,1))-AVERAGE(OFFSET($H$3,0,0,'Données projet'!$E$13+1,1))</f>
        <v>188.98184340090461</v>
      </c>
      <c r="CZ25" s="59">
        <f t="shared" si="42"/>
        <v>450.74604661797798</v>
      </c>
      <c r="DA25" s="15">
        <f>IF(ISNA(VLOOKUP(A25,'Données projet'!$A$139:$I$159,3,0)),0,VLOOKUP(A25,'Données projet'!$A$139:$I$159,3,0))</f>
        <v>3</v>
      </c>
      <c r="DB25" s="15">
        <f>IF(ISNA(VLOOKUP(A25,'Données projet'!$A$139:$I$159,4,0)),0,VLOOKUP(A25,'Données projet'!$A$139:$I$159,4,0))</f>
        <v>56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0.45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33.222485733917239</v>
      </c>
      <c r="DH25" s="21">
        <f>EXP(-LN(2)/2)*DH24+(1-EXP(-LN(2)/2))/(LN(2)/2)*DB25*DE25*VLOOKUP('Données projet'!$B$13,Paramètres!$A$1:$I$89,3,0)*0.475*44/12</f>
        <v>0.71939209604087828</v>
      </c>
      <c r="DI25" s="22">
        <f t="shared" si="15"/>
        <v>33.941877829958116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13</v>
      </c>
      <c r="DO25" s="12">
        <f>IF('Données projet'!$A$166&gt;35,DO24+DN25-DW24,IF(A25&lt;'Données projet'!$A$166,$DL$205^A25,IF(A25='Données projet'!$A$166,'Données projet'!$B$166,DO24+DN25-DW24)))</f>
        <v>219.99999999999991</v>
      </c>
      <c r="DP25" s="17">
        <f>DO25*VLOOKUP('Données projet'!$B$14,Paramètres!$A$1:$I$89,3,0)*VLOOKUP('Données projet'!$B$14,Paramètres!$A$1:$I$89,5,0)</f>
        <v>199.0559999999999</v>
      </c>
      <c r="DQ25" s="13">
        <f t="shared" si="43"/>
        <v>49.536648006253891</v>
      </c>
      <c r="DR25" s="20">
        <f t="shared" si="16"/>
        <v>432.96552861089202</v>
      </c>
      <c r="DS25" s="59">
        <f t="shared" si="17"/>
        <v>679.09629917519521</v>
      </c>
      <c r="DT25" s="59">
        <f ca="1">AVERAGE(OFFSET($DS$3,0,0,'Données projet'!$E$14+1,1))-AVERAGE(OFFSET($H$3,0,0,'Données projet'!$E$14+1,1))</f>
        <v>442.34161202733173</v>
      </c>
      <c r="DU25" s="59">
        <f t="shared" si="44"/>
        <v>622.90413492324399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2.5115384616666665</v>
      </c>
      <c r="EJ25" s="12">
        <f>IF('Données projet'!$A$192&gt;35,EJ24+EI25-ER24,IF(A25&lt;'Données projet'!$A$192,$EG$205^A25,IF(A25='Données projet'!$A$192,'Données projet'!$B$192,EJ24+EI25-ER24)))</f>
        <v>23.796411182299146</v>
      </c>
      <c r="EK25" s="17">
        <f>EJ25*VLOOKUP('Données projet'!$B$15,Paramètres!$A$1:$I$89,3,0)*VLOOKUP('Données projet'!$B$15,Paramètres!$A$1:$I$89,5,0)</f>
        <v>25.985681011070668</v>
      </c>
      <c r="EL25" s="13">
        <f t="shared" si="45"/>
        <v>8.1961730295394801</v>
      </c>
      <c r="EM25" s="20">
        <f t="shared" si="19"/>
        <v>59.533395787395996</v>
      </c>
      <c r="EN25" s="59">
        <f t="shared" si="20"/>
        <v>305.66416635169924</v>
      </c>
      <c r="EO25" s="59">
        <f ca="1">AVERAGE(OFFSET($EN$3,0,0,'Données projet'!$E$15+1,1))-AVERAGE(OFFSET($H$3,0,0,'Données projet'!$E$15+1,1))</f>
        <v>767.9449852393318</v>
      </c>
      <c r="EP25" s="59">
        <f t="shared" si="46"/>
        <v>230.95605490295961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59.793240456931187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3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</v>
      </c>
      <c r="H26" s="66">
        <f t="shared" si="1"/>
        <v>212.66666666666666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501.02951859335445</v>
      </c>
      <c r="S26" s="59">
        <f ca="1">AVERAGE(OFFSET($R$3,0,0,'Données projet'!$E$9+1,1))-AVERAGE(OFFSET($H$3,0,0,'Données projet'!$E$9+1,1))</f>
        <v>188.98184340090461</v>
      </c>
      <c r="T26" s="59">
        <f t="shared" si="34"/>
        <v>450.74604661797798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3.6141025633333332</v>
      </c>
      <c r="AI26" s="13">
        <f>IF('Données projet'!$A$62&gt;35,AI25+AH26-AQ25,IF(A26&lt;'Données projet'!$A$62,$AF$205^A26,IF(A26='Données projet'!$A$62,'Données projet'!$B$62,AI25+AH26-AQ25)))</f>
        <v>36.329547729727011</v>
      </c>
      <c r="AJ26" s="13">
        <f>AI26*VLOOKUP('Données projet'!$B$10,Paramètres!$A$1:$I$89,3,0)*VLOOKUP('Données projet'!$B$10,Paramètres!$A$1:$I$89,5,0)</f>
        <v>32.870974785857001</v>
      </c>
      <c r="AK26" s="13">
        <f t="shared" si="35"/>
        <v>10.088060158520545</v>
      </c>
      <c r="AL26" s="20">
        <f t="shared" si="4"/>
        <v>74.820319194790898</v>
      </c>
      <c r="AM26" s="59">
        <f t="shared" si="5"/>
        <v>322.82254833162995</v>
      </c>
      <c r="AN26" s="59">
        <f ca="1">AVERAGE(OFFSET($AM$3,0,0,'Données projet'!$E$10+1,1))-AVERAGE(OFFSET($H$3,0,0,'Données projet'!$E$10+1,1))</f>
        <v>725.60981534362895</v>
      </c>
      <c r="AO26" s="59">
        <f t="shared" si="36"/>
        <v>265.16078167969272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3.54</v>
      </c>
      <c r="BD26" s="12">
        <f>IF('Données projet'!$A$88&gt;35,BD25+BC26-BL25,IF(A26&lt;'Données projet'!$A$88,$BA$205^A26,IF(A26='Données projet'!$A$88,'Données projet'!$B$88,BD25+BC26-BL25)))</f>
        <v>55.02000000000001</v>
      </c>
      <c r="BE26" s="13">
        <f>BD26*VLOOKUP('Données projet'!$B$11,Paramètres!$A$1:$I$89,3,0)*VLOOKUP('Données projet'!$B$11,Paramètres!$A$1:$I$89,5,0)</f>
        <v>63.383040000000008</v>
      </c>
      <c r="BF26" s="13">
        <f t="shared" si="37"/>
        <v>18.020858028337916</v>
      </c>
      <c r="BG26" s="20">
        <f t="shared" si="7"/>
        <v>141.77845573268854</v>
      </c>
      <c r="BH26" s="59">
        <f t="shared" si="8"/>
        <v>389.78068486952759</v>
      </c>
      <c r="BI26" s="59">
        <f ca="1">AVERAGE(OFFSET($BH$3,0,0,'Données projet'!$E$11+1,1))-AVERAGE(OFFSET($H$3,0,0,'Données projet'!$E$11+1,1))</f>
        <v>332.93090933713466</v>
      </c>
      <c r="BJ26" s="59">
        <f t="shared" si="38"/>
        <v>251.83579649532973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3.0386348113512014</v>
      </c>
      <c r="BR26" s="21">
        <f>EXP(-LN(2)/2)*BR25+(1-EXP(-LN(2)/2))/(LN(2)/2)*BL26*BO26*VLOOKUP('Données projet'!$B$11,Paramètres!$A$1:$I$89,3,0)*0.475*44/12</f>
        <v>3.0443162375843283E-2</v>
      </c>
      <c r="BS26" s="22">
        <f t="shared" si="9"/>
        <v>3.0690779737270448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2.5115384616666665</v>
      </c>
      <c r="BY26" s="12">
        <f>IF('Données projet'!$A$114&gt;35,BY25+BX26-CG25,IF(A26&lt;'Données projet'!$A$114,$BV$205^A26,IF(A26='Données projet'!$A$114,'Données projet'!$B$114,BY25+BX26-CG25)))</f>
        <v>27.4840144055953</v>
      </c>
      <c r="BZ26" s="13">
        <f>BY26*VLOOKUP('Données projet'!$B$12,Paramètres!$A$1:$I$89,3,0)*VLOOKUP('Données projet'!$B$12,Paramètres!$A$1:$I$89,5,0)</f>
        <v>31.298795605091929</v>
      </c>
      <c r="CA26" s="13">
        <f t="shared" si="39"/>
        <v>9.6605149111047659</v>
      </c>
      <c r="CB26" s="20">
        <f t="shared" si="10"/>
        <v>71.337465815709237</v>
      </c>
      <c r="CC26" s="59">
        <f t="shared" si="11"/>
        <v>319.33969495254826</v>
      </c>
      <c r="CD26" s="59">
        <f ca="1">AVERAGE(OFFSET($CC$3,0,0,'Données projet'!$E$12+1,1))-AVERAGE(OFFSET($H$3,0,0,'Données projet'!$E$12+1,1))</f>
        <v>797.57191672067393</v>
      </c>
      <c r="CE26" s="59">
        <f t="shared" si="40"/>
        <v>238.59056544987126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>
        <f>VLOOKUP(A26,'Données projet'!$A$139:$I$159,2,0)</f>
        <v>192</v>
      </c>
      <c r="CR26" s="12">
        <f>VLOOKUP(A26,'Données projet'!$A$139:$I$159,9,0)</f>
        <v>16</v>
      </c>
      <c r="CS26" s="12">
        <f t="array" ref="CS26">INDEX(CR:CR,MIN(IF(ISNUMBER(CR26:CR222),ROW(CR26:CR222),"")))</f>
        <v>16</v>
      </c>
      <c r="CT26" s="12">
        <f>IF('Données projet'!$A$140&gt;35,CT25+CS26-DB25,IF(A26&lt;'Données projet'!$A$140,$CQ$205^A26,IF(A26='Données projet'!$A$140,'Données projet'!$B$140,CT25+CS26-DB25)))</f>
        <v>192</v>
      </c>
      <c r="CU26" s="17">
        <f>CT26*VLOOKUP('Données projet'!$B$13,Paramètres!$A$1:$I$89,3,0)*VLOOKUP('Données projet'!$B$13,Paramètres!$A$1:$I$89,5,0)</f>
        <v>114.81600000000002</v>
      </c>
      <c r="CV26" s="13">
        <f t="shared" si="41"/>
        <v>30.462826482209831</v>
      </c>
      <c r="CW26" s="20">
        <f t="shared" si="13"/>
        <v>253.02728945651543</v>
      </c>
      <c r="CX26" s="59">
        <f t="shared" si="14"/>
        <v>501.02951859335445</v>
      </c>
      <c r="CY26" s="59">
        <f ca="1">AVERAGE(OFFSET($CX$3,0,0,'Données projet'!$E$13+1,1))-AVERAGE(OFFSET($H$3,0,0,'Données projet'!$E$13+1,1))</f>
        <v>188.98184340090461</v>
      </c>
      <c r="CZ26" s="59">
        <f t="shared" si="42"/>
        <v>450.74604661797798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32.314015114428678</v>
      </c>
      <c r="DH26" s="21">
        <f>EXP(-LN(2)/2)*DH25+(1-EXP(-LN(2)/2))/(LN(2)/2)*DB26*DE26*VLOOKUP('Données projet'!$B$13,Paramètres!$A$1:$I$89,3,0)*0.475*44/12</f>
        <v>0.5086870294425091</v>
      </c>
      <c r="DI26" s="22">
        <f t="shared" si="15"/>
        <v>32.82270214387119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13</v>
      </c>
      <c r="DO26" s="12">
        <f>IF('Données projet'!$A$166&gt;35,DO25+DN26-DW25,IF(A26&lt;'Données projet'!$A$166,$DL$205^A26,IF(A26='Données projet'!$A$166,'Données projet'!$B$166,DO25+DN26-DW25)))</f>
        <v>232.99999999999991</v>
      </c>
      <c r="DP26" s="17">
        <f>DO26*VLOOKUP('Données projet'!$B$14,Paramètres!$A$1:$I$89,3,0)*VLOOKUP('Données projet'!$B$14,Paramètres!$A$1:$I$89,5,0)</f>
        <v>210.81839999999988</v>
      </c>
      <c r="DQ26" s="13">
        <f t="shared" si="43"/>
        <v>52.114386184062155</v>
      </c>
      <c r="DR26" s="20">
        <f t="shared" si="16"/>
        <v>457.94126927057465</v>
      </c>
      <c r="DS26" s="59">
        <f t="shared" si="17"/>
        <v>705.9434984074137</v>
      </c>
      <c r="DT26" s="59">
        <f ca="1">AVERAGE(OFFSET($DS$3,0,0,'Données projet'!$E$14+1,1))-AVERAGE(OFFSET($H$3,0,0,'Données projet'!$E$14+1,1))</f>
        <v>442.34161202733173</v>
      </c>
      <c r="DU26" s="59">
        <f t="shared" si="44"/>
        <v>622.90413492324399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2.5115384616666665</v>
      </c>
      <c r="EJ26" s="12">
        <f>IF('Données projet'!$A$192&gt;35,EJ25+EI26-ER25,IF(A26&lt;'Données projet'!$A$192,$EG$205^A26,IF(A26='Données projet'!$A$192,'Données projet'!$B$192,EJ25+EI26-ER25)))</f>
        <v>27.4840144055953</v>
      </c>
      <c r="EK26" s="17">
        <f>EJ26*VLOOKUP('Données projet'!$B$15,Paramètres!$A$1:$I$89,3,0)*VLOOKUP('Données projet'!$B$15,Paramètres!$A$1:$I$89,5,0)</f>
        <v>30.012543730910064</v>
      </c>
      <c r="EL26" s="13">
        <f t="shared" si="45"/>
        <v>9.3088669732234965</v>
      </c>
      <c r="EM26" s="20">
        <f t="shared" si="19"/>
        <v>68.484790309699278</v>
      </c>
      <c r="EN26" s="59">
        <f t="shared" si="20"/>
        <v>316.48701944653828</v>
      </c>
      <c r="EO26" s="59">
        <f ca="1">AVERAGE(OFFSET($EN$3,0,0,'Données projet'!$E$15+1,1))-AVERAGE(OFFSET($H$3,0,0,'Données projet'!$E$15+1,1))</f>
        <v>767.9449852393318</v>
      </c>
      <c r="EP26" s="59">
        <f t="shared" si="46"/>
        <v>230.95605490295961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59.970304916107608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3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11</v>
      </c>
      <c r="H27" s="66">
        <f t="shared" si="1"/>
        <v>212.66666666666666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524.72564652190795</v>
      </c>
      <c r="S27" s="59">
        <f ca="1">AVERAGE(OFFSET($R$3,0,0,'Données projet'!$E$9+1,1))-AVERAGE(OFFSET($H$3,0,0,'Données projet'!$E$9+1,1))</f>
        <v>188.98184340090461</v>
      </c>
      <c r="T27" s="59">
        <f t="shared" si="34"/>
        <v>450.74604661797798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3.6141025633333332</v>
      </c>
      <c r="AI27" s="13">
        <f>IF('Données projet'!$A$62&gt;35,AI26+AH27-AQ26,IF(A27&lt;'Données projet'!$A$62,$AF$205^A27,IF(A27='Données projet'!$A$62,'Données projet'!$B$62,AI26+AH27-AQ26)))</f>
        <v>42.471478745296629</v>
      </c>
      <c r="AJ27" s="13">
        <f>AI27*VLOOKUP('Données projet'!$B$10,Paramètres!$A$1:$I$89,3,0)*VLOOKUP('Données projet'!$B$10,Paramètres!$A$1:$I$89,5,0)</f>
        <v>38.428193968744388</v>
      </c>
      <c r="AK27" s="13">
        <f t="shared" si="35"/>
        <v>11.581072543793917</v>
      </c>
      <c r="AL27" s="20">
        <f t="shared" si="4"/>
        <v>87.099472509337545</v>
      </c>
      <c r="AM27" s="59">
        <f t="shared" si="5"/>
        <v>336.9618974195094</v>
      </c>
      <c r="AN27" s="59">
        <f ca="1">AVERAGE(OFFSET($AM$3,0,0,'Données projet'!$E$10+1,1))-AVERAGE(OFFSET($H$3,0,0,'Données projet'!$E$10+1,1))</f>
        <v>725.60981534362895</v>
      </c>
      <c r="AO27" s="59">
        <f t="shared" si="36"/>
        <v>265.16078167969272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3.54</v>
      </c>
      <c r="BD27" s="12">
        <f>IF('Données projet'!$A$88&gt;35,BD26+BC27-BL26,IF(A27&lt;'Données projet'!$A$88,$BA$205^A27,IF(A27='Données projet'!$A$88,'Données projet'!$B$88,BD26+BC27-BL26)))</f>
        <v>58.560000000000009</v>
      </c>
      <c r="BE27" s="13">
        <f>BD27*VLOOKUP('Données projet'!$B$11,Paramètres!$A$1:$I$89,3,0)*VLOOKUP('Données projet'!$B$11,Paramètres!$A$1:$I$89,5,0)</f>
        <v>67.461120000000008</v>
      </c>
      <c r="BF27" s="13">
        <f t="shared" si="37"/>
        <v>19.041614962979761</v>
      </c>
      <c r="BG27" s="20">
        <f t="shared" si="7"/>
        <v>150.65893006052309</v>
      </c>
      <c r="BH27" s="59">
        <f t="shared" si="8"/>
        <v>400.52135497069492</v>
      </c>
      <c r="BI27" s="59">
        <f ca="1">AVERAGE(OFFSET($BH$3,0,0,'Données projet'!$E$11+1,1))-AVERAGE(OFFSET($H$3,0,0,'Données projet'!$E$11+1,1))</f>
        <v>332.93090933713466</v>
      </c>
      <c r="BJ27" s="59">
        <f t="shared" si="38"/>
        <v>251.83579649532973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2.9555431826399428</v>
      </c>
      <c r="BR27" s="21">
        <f>EXP(-LN(2)/2)*BR26+(1-EXP(-LN(2)/2))/(LN(2)/2)*BL27*BO27*VLOOKUP('Données projet'!$B$11,Paramètres!$A$1:$I$89,3,0)*0.475*44/12</f>
        <v>2.1526566556721954E-2</v>
      </c>
      <c r="BS27" s="22">
        <f t="shared" si="9"/>
        <v>2.9770697491966649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2.5115384616666665</v>
      </c>
      <c r="BY27" s="12">
        <f>IF('Données projet'!$A$114&gt;35,BY26+BX27-CG26,IF(A27&lt;'Données projet'!$A$114,$BV$205^A27,IF(A27='Données projet'!$A$114,'Données projet'!$B$114,BY26+BX27-CG26)))</f>
        <v>31.743065879146062</v>
      </c>
      <c r="BZ27" s="13">
        <f>BY27*VLOOKUP('Données projet'!$B$12,Paramètres!$A$1:$I$89,3,0)*VLOOKUP('Données projet'!$B$12,Paramètres!$A$1:$I$89,5,0)</f>
        <v>36.149003423171536</v>
      </c>
      <c r="CA27" s="13">
        <f t="shared" si="39"/>
        <v>10.972004602173346</v>
      </c>
      <c r="CB27" s="20">
        <f t="shared" si="10"/>
        <v>82.069088977475658</v>
      </c>
      <c r="CC27" s="59">
        <f t="shared" si="11"/>
        <v>331.9315138876475</v>
      </c>
      <c r="CD27" s="59">
        <f ca="1">AVERAGE(OFFSET($CC$3,0,0,'Données projet'!$E$12+1,1))-AVERAGE(OFFSET($H$3,0,0,'Données projet'!$E$12+1,1))</f>
        <v>797.57191672067393</v>
      </c>
      <c r="CE27" s="59">
        <f t="shared" si="40"/>
        <v>238.59056544987126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209</v>
      </c>
      <c r="CR27" s="12">
        <f>VLOOKUP(A27,'Données projet'!$A$139:$I$159,9,0)</f>
        <v>17</v>
      </c>
      <c r="CS27" s="12">
        <f t="array" ref="CS27">INDEX(CR:CR,MIN(IF(ISNUMBER(CR27:CR223),ROW(CR27:CR223),"")))</f>
        <v>17</v>
      </c>
      <c r="CT27" s="12">
        <f>IF('Données projet'!$A$140&gt;35,CT26+CS27-DB26,IF(A27&lt;'Données projet'!$A$140,$CQ$205^A27,IF(A27='Données projet'!$A$140,'Données projet'!$B$140,CT26+CS27-DB26)))</f>
        <v>209</v>
      </c>
      <c r="CU27" s="17">
        <f>CT27*VLOOKUP('Données projet'!$B$13,Paramètres!$A$1:$I$89,3,0)*VLOOKUP('Données projet'!$B$13,Paramètres!$A$1:$I$89,5,0)</f>
        <v>124.982</v>
      </c>
      <c r="CV27" s="13">
        <f t="shared" si="41"/>
        <v>32.834203796212122</v>
      </c>
      <c r="CW27" s="20">
        <f t="shared" si="13"/>
        <v>274.86322161173604</v>
      </c>
      <c r="CX27" s="59">
        <f t="shared" si="14"/>
        <v>524.72564652190795</v>
      </c>
      <c r="CY27" s="59">
        <f ca="1">AVERAGE(OFFSET($CX$3,0,0,'Données projet'!$E$13+1,1))-AVERAGE(OFFSET($H$3,0,0,'Données projet'!$E$13+1,1))</f>
        <v>188.98184340090461</v>
      </c>
      <c r="CZ27" s="59">
        <f t="shared" si="42"/>
        <v>450.74604661797798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31.430386671804424</v>
      </c>
      <c r="DH27" s="21">
        <f>EXP(-LN(2)/2)*DH26+(1-EXP(-LN(2)/2))/(LN(2)/2)*DB27*DE27*VLOOKUP('Données projet'!$B$13,Paramètres!$A$1:$I$89,3,0)*0.475*44/12</f>
        <v>0.35969604802043914</v>
      </c>
      <c r="DI27" s="22">
        <f t="shared" si="15"/>
        <v>31.790082719824863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13</v>
      </c>
      <c r="DO27" s="12">
        <f>IF('Données projet'!$A$166&gt;35,DO26+DN27-DW26,IF(A27&lt;'Données projet'!$A$166,$DL$205^A27,IF(A27='Données projet'!$A$166,'Données projet'!$B$166,DO26+DN27-DW26)))</f>
        <v>245.99999999999991</v>
      </c>
      <c r="DP27" s="17">
        <f>DO27*VLOOKUP('Données projet'!$B$14,Paramètres!$A$1:$I$89,3,0)*VLOOKUP('Données projet'!$B$14,Paramètres!$A$1:$I$89,5,0)</f>
        <v>222.58079999999993</v>
      </c>
      <c r="DQ27" s="13">
        <f t="shared" si="43"/>
        <v>54.675428546153199</v>
      </c>
      <c r="DR27" s="20">
        <f t="shared" si="16"/>
        <v>482.88793138454997</v>
      </c>
      <c r="DS27" s="59">
        <f t="shared" si="17"/>
        <v>732.75035629472177</v>
      </c>
      <c r="DT27" s="59">
        <f ca="1">AVERAGE(OFFSET($DS$3,0,0,'Données projet'!$E$14+1,1))-AVERAGE(OFFSET($H$3,0,0,'Données projet'!$E$14+1,1))</f>
        <v>442.34161202733173</v>
      </c>
      <c r="DU27" s="59">
        <f t="shared" si="44"/>
        <v>622.90413492324399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2.5115384616666665</v>
      </c>
      <c r="EJ27" s="12">
        <f>IF('Données projet'!$A$192&gt;35,EJ26+EI27-ER26,IF(A27&lt;'Données projet'!$A$192,$EG$205^A27,IF(A27='Données projet'!$A$192,'Données projet'!$B$192,EJ26+EI27-ER26)))</f>
        <v>31.743065879146062</v>
      </c>
      <c r="EK27" s="17">
        <f>EJ27*VLOOKUP('Données projet'!$B$15,Paramètres!$A$1:$I$89,3,0)*VLOOKUP('Données projet'!$B$15,Paramètres!$A$1:$I$89,5,0)</f>
        <v>34.663427940027503</v>
      </c>
      <c r="EL27" s="13">
        <f t="shared" si="45"/>
        <v>10.572617734259826</v>
      </c>
      <c r="EM27" s="20">
        <f t="shared" si="19"/>
        <v>78.786112882717092</v>
      </c>
      <c r="EN27" s="59">
        <f t="shared" si="20"/>
        <v>328.64853779288893</v>
      </c>
      <c r="EO27" s="59">
        <f ca="1">AVERAGE(OFFSET($EN$3,0,0,'Données projet'!$E$15+1,1))-AVERAGE(OFFSET($H$3,0,0,'Données projet'!$E$15+1,1))</f>
        <v>767.9449852393318</v>
      </c>
      <c r="EP27" s="59">
        <f t="shared" si="46"/>
        <v>230.95605490295961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60.144297702774146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3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11</v>
      </c>
      <c r="H28" s="66">
        <f t="shared" si="1"/>
        <v>212.66666666666666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548.37174223347665</v>
      </c>
      <c r="S28" s="59">
        <f ca="1">AVERAGE(OFFSET($R$3,0,0,'Données projet'!$E$9+1,1))-AVERAGE(OFFSET($H$3,0,0,'Données projet'!$E$9+1,1))</f>
        <v>188.98184340090461</v>
      </c>
      <c r="T28" s="59">
        <f t="shared" si="34"/>
        <v>450.74604661797798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3.6141025633333332</v>
      </c>
      <c r="AI28" s="13">
        <f>IF('Données projet'!$A$62&gt;35,AI27+AH28-AQ27,IF(A28&lt;'Données projet'!$A$62,$AF$205^A28,IF(A28='Données projet'!$A$62,'Données projet'!$B$62,AI27+AH28-AQ27)))</f>
        <v>49.65177436921914</v>
      </c>
      <c r="AJ28" s="13">
        <f>AI28*VLOOKUP('Données projet'!$B$10,Paramètres!$A$1:$I$89,3,0)*VLOOKUP('Données projet'!$B$10,Paramètres!$A$1:$I$89,5,0)</f>
        <v>44.92492544926948</v>
      </c>
      <c r="AK28" s="13">
        <f t="shared" si="35"/>
        <v>13.295047725437698</v>
      </c>
      <c r="AL28" s="20">
        <f t="shared" si="4"/>
        <v>101.399786612615</v>
      </c>
      <c r="AM28" s="59">
        <f t="shared" si="5"/>
        <v>353.11133988130314</v>
      </c>
      <c r="AN28" s="59">
        <f ca="1">AVERAGE(OFFSET($AM$3,0,0,'Données projet'!$E$10+1,1))-AVERAGE(OFFSET($H$3,0,0,'Données projet'!$E$10+1,1))</f>
        <v>725.60981534362895</v>
      </c>
      <c r="AO28" s="59">
        <f t="shared" si="36"/>
        <v>265.16078167969272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3.54</v>
      </c>
      <c r="BD28" s="12">
        <f>IF('Données projet'!$A$88&gt;35,BD27+BC28-BL27,IF(A28&lt;'Données projet'!$A$88,$BA$205^A28,IF(A28='Données projet'!$A$88,'Données projet'!$B$88,BD27+BC28-BL27)))</f>
        <v>62.100000000000009</v>
      </c>
      <c r="BE28" s="13">
        <f>BD28*VLOOKUP('Données projet'!$B$11,Paramètres!$A$1:$I$89,3,0)*VLOOKUP('Données projet'!$B$11,Paramètres!$A$1:$I$89,5,0)</f>
        <v>71.539200000000008</v>
      </c>
      <c r="BF28" s="13">
        <f t="shared" si="37"/>
        <v>20.055209973538002</v>
      </c>
      <c r="BG28" s="20">
        <f t="shared" si="7"/>
        <v>159.52693070391203</v>
      </c>
      <c r="BH28" s="59">
        <f t="shared" si="8"/>
        <v>411.23848397260019</v>
      </c>
      <c r="BI28" s="59">
        <f ca="1">AVERAGE(OFFSET($BH$3,0,0,'Données projet'!$E$11+1,1))-AVERAGE(OFFSET($H$3,0,0,'Données projet'!$E$11+1,1))</f>
        <v>332.93090933713466</v>
      </c>
      <c r="BJ28" s="59">
        <f t="shared" si="38"/>
        <v>251.83579649532973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2.8747236988853926</v>
      </c>
      <c r="BR28" s="21">
        <f>EXP(-LN(2)/2)*BR27+(1-EXP(-LN(2)/2))/(LN(2)/2)*BL28*BO28*VLOOKUP('Données projet'!$B$11,Paramètres!$A$1:$I$89,3,0)*0.475*44/12</f>
        <v>1.5221581187921643E-2</v>
      </c>
      <c r="BS28" s="22">
        <f t="shared" si="9"/>
        <v>2.8899452800733143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2.5115384616666665</v>
      </c>
      <c r="BY28" s="12">
        <f>IF('Données projet'!$A$114&gt;35,BY27+BX28-CG27,IF(A28&lt;'Données projet'!$A$114,$BV$205^A28,IF(A28='Données projet'!$A$114,'Données projet'!$B$114,BY27+BX28-CG27)))</f>
        <v>36.662119897691205</v>
      </c>
      <c r="BZ28" s="13">
        <f>BY28*VLOOKUP('Données projet'!$B$12,Paramètres!$A$1:$I$89,3,0)*VLOOKUP('Données projet'!$B$12,Paramètres!$A$1:$I$89,5,0)</f>
        <v>41.750822139490744</v>
      </c>
      <c r="CA28" s="13">
        <f t="shared" si="39"/>
        <v>12.461539172382071</v>
      </c>
      <c r="CB28" s="20">
        <f t="shared" si="10"/>
        <v>94.41986261817847</v>
      </c>
      <c r="CC28" s="59">
        <f t="shared" si="11"/>
        <v>346.13141588686659</v>
      </c>
      <c r="CD28" s="59">
        <f ca="1">AVERAGE(OFFSET($CC$3,0,0,'Données projet'!$E$12+1,1))-AVERAGE(OFFSET($H$3,0,0,'Données projet'!$E$12+1,1))</f>
        <v>797.57191672067393</v>
      </c>
      <c r="CE28" s="59">
        <f t="shared" si="40"/>
        <v>238.59056544987126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>
        <f>VLOOKUP(A28,'Données projet'!$A$139:$I$159,2,0)</f>
        <v>226</v>
      </c>
      <c r="CR28" s="12">
        <f>VLOOKUP(A28,'Données projet'!$A$139:$I$159,9,0)</f>
        <v>17</v>
      </c>
      <c r="CS28" s="12">
        <f t="array" ref="CS28">INDEX(CR:CR,MIN(IF(ISNUMBER(CR28:CR224),ROW(CR28:CR224),"")))</f>
        <v>17</v>
      </c>
      <c r="CT28" s="12">
        <f>IF('Données projet'!$A$140&gt;35,CT27+CS28-DB27,IF(A28&lt;'Données projet'!$A$140,$CQ$205^A28,IF(A28='Données projet'!$A$140,'Données projet'!$B$140,CT27+CS28-DB27)))</f>
        <v>226</v>
      </c>
      <c r="CU28" s="17">
        <f>CT28*VLOOKUP('Données projet'!$B$13,Paramètres!$A$1:$I$89,3,0)*VLOOKUP('Données projet'!$B$13,Paramètres!$A$1:$I$89,5,0)</f>
        <v>135.14800000000002</v>
      </c>
      <c r="CV28" s="13">
        <f t="shared" si="41"/>
        <v>35.183208974998173</v>
      </c>
      <c r="CW28" s="20">
        <f t="shared" si="13"/>
        <v>296.66018896478852</v>
      </c>
      <c r="CX28" s="59">
        <f t="shared" si="14"/>
        <v>548.37174223347665</v>
      </c>
      <c r="CY28" s="59">
        <f ca="1">AVERAGE(OFFSET($CX$3,0,0,'Données projet'!$E$13+1,1))-AVERAGE(OFFSET($H$3,0,0,'Données projet'!$E$13+1,1))</f>
        <v>188.98184340090461</v>
      </c>
      <c r="CZ28" s="59">
        <f t="shared" si="42"/>
        <v>450.74604661797798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30.570921095411734</v>
      </c>
      <c r="DH28" s="21">
        <f>EXP(-LN(2)/2)*DH27+(1-EXP(-LN(2)/2))/(LN(2)/2)*DB28*DE28*VLOOKUP('Données projet'!$B$13,Paramètres!$A$1:$I$89,3,0)*0.475*44/12</f>
        <v>0.25434351472125455</v>
      </c>
      <c r="DI28" s="22">
        <f t="shared" si="15"/>
        <v>30.82526461013299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>
        <f>VLOOKUP(A28,'Données projet'!$A$165:$I$185,2,0)</f>
        <v>259</v>
      </c>
      <c r="DM28" s="12">
        <f>VLOOKUP(A28,'Données projet'!$A$165:$I$185,9,0)</f>
        <v>13</v>
      </c>
      <c r="DN28" s="12">
        <f t="array" ref="DN28">INDEX(DM:DM,MIN(IF(ISNUMBER(DM28:DM224),ROW(DM28:DM224),"")))</f>
        <v>13</v>
      </c>
      <c r="DO28" s="12">
        <f>IF('Données projet'!$A$166&gt;35,DO27+DN28-DW27,IF(A28&lt;'Données projet'!$A$166,$DL$205^A28,IF(A28='Données projet'!$A$166,'Données projet'!$B$166,DO27+DN28-DW27)))</f>
        <v>258.99999999999989</v>
      </c>
      <c r="DP28" s="17">
        <f>DO28*VLOOKUP('Données projet'!$B$14,Paramètres!$A$1:$I$89,3,0)*VLOOKUP('Données projet'!$B$14,Paramètres!$A$1:$I$89,5,0)</f>
        <v>234.34319999999988</v>
      </c>
      <c r="DQ28" s="13">
        <f t="shared" si="43"/>
        <v>57.220758006491614</v>
      </c>
      <c r="DR28" s="20">
        <f t="shared" si="16"/>
        <v>507.80722686130594</v>
      </c>
      <c r="DS28" s="59">
        <f t="shared" si="17"/>
        <v>759.51878012999407</v>
      </c>
      <c r="DT28" s="59">
        <f ca="1">AVERAGE(OFFSET($DS$3,0,0,'Données projet'!$E$14+1,1))-AVERAGE(OFFSET($H$3,0,0,'Données projet'!$E$14+1,1))</f>
        <v>442.34161202733173</v>
      </c>
      <c r="DU28" s="59">
        <f t="shared" si="44"/>
        <v>622.90413492324399</v>
      </c>
      <c r="DV28" s="15">
        <f>IF(ISNA(VLOOKUP(A28,'Données projet'!$A$165:$I$185,3,0)),0,VLOOKUP(A28,'Données projet'!$A$165:$I$185,3,0))</f>
        <v>5</v>
      </c>
      <c r="DW28" s="15">
        <f>IF(ISNA(VLOOKUP(A28,'Données projet'!$A$165:$I$185,4,0)),0,VLOOKUP(A28,'Données projet'!$A$165:$I$185,4,0))</f>
        <v>18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2.5115384616666665</v>
      </c>
      <c r="EJ28" s="12">
        <f>IF('Données projet'!$A$192&gt;35,EJ27+EI28-ER27,IF(A28&lt;'Données projet'!$A$192,$EG$205^A28,IF(A28='Données projet'!$A$192,'Données projet'!$B$192,EJ27+EI28-ER27)))</f>
        <v>36.662119897691205</v>
      </c>
      <c r="EK28" s="17">
        <f>EJ28*VLOOKUP('Données projet'!$B$15,Paramètres!$A$1:$I$89,3,0)*VLOOKUP('Données projet'!$B$15,Paramètres!$A$1:$I$89,5,0)</f>
        <v>40.035034928278797</v>
      </c>
      <c r="EL28" s="13">
        <f t="shared" si="45"/>
        <v>12.007932445088725</v>
      </c>
      <c r="EM28" s="20">
        <f t="shared" si="19"/>
        <v>90.641501508615093</v>
      </c>
      <c r="EN28" s="59">
        <f t="shared" si="20"/>
        <v>342.35305477730321</v>
      </c>
      <c r="EO28" s="59">
        <f ca="1">AVERAGE(OFFSET($EN$3,0,0,'Données projet'!$E$15+1,1))-AVERAGE(OFFSET($H$3,0,0,'Données projet'!$E$15+1,1))</f>
        <v>767.9449852393318</v>
      </c>
      <c r="EP28" s="59">
        <f t="shared" si="46"/>
        <v>230.95605490295961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60.315272103581613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3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11</v>
      </c>
      <c r="H29" s="66">
        <f t="shared" si="1"/>
        <v>212.66666666666666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573.25028625860364</v>
      </c>
      <c r="S29" s="59">
        <f ca="1">AVERAGE(OFFSET($R$3,0,0,'Données projet'!$E$9+1,1))-AVERAGE(OFFSET($H$3,0,0,'Données projet'!$E$9+1,1))</f>
        <v>188.98184340090461</v>
      </c>
      <c r="T29" s="59">
        <f t="shared" si="34"/>
        <v>450.74604661797798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3.6141025633333332</v>
      </c>
      <c r="AI29" s="13">
        <f>IF('Données projet'!$A$62&gt;35,AI28+AH29-AQ28,IF(A29&lt;'Données projet'!$A$62,$AF$205^A29,IF(A29='Données projet'!$A$62,'Données projet'!$B$62,AI28+AH29-AQ28)))</f>
        <v>58.045982170678677</v>
      </c>
      <c r="AJ29" s="13">
        <f>AI29*VLOOKUP('Données projet'!$B$10,Paramètres!$A$1:$I$89,3,0)*VLOOKUP('Données projet'!$B$10,Paramètres!$A$1:$I$89,5,0)</f>
        <v>52.520004668030069</v>
      </c>
      <c r="AK29" s="13">
        <f t="shared" si="35"/>
        <v>15.262687747896692</v>
      </c>
      <c r="AL29" s="20">
        <f t="shared" si="4"/>
        <v>118.05485595773911</v>
      </c>
      <c r="AM29" s="59">
        <f t="shared" si="5"/>
        <v>371.60466216503096</v>
      </c>
      <c r="AN29" s="59">
        <f ca="1">AVERAGE(OFFSET($AM$3,0,0,'Données projet'!$E$10+1,1))-AVERAGE(OFFSET($H$3,0,0,'Données projet'!$E$10+1,1))</f>
        <v>725.60981534362895</v>
      </c>
      <c r="AO29" s="59">
        <f t="shared" si="36"/>
        <v>265.16078167969272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3.54</v>
      </c>
      <c r="BD29" s="12">
        <f>IF('Données projet'!$A$88&gt;35,BD28+BC29-BL28,IF(A29&lt;'Données projet'!$A$88,$BA$205^A29,IF(A29='Données projet'!$A$88,'Données projet'!$B$88,BD28+BC29-BL28)))</f>
        <v>65.640000000000015</v>
      </c>
      <c r="BE29" s="13">
        <f>BD29*VLOOKUP('Données projet'!$B$11,Paramètres!$A$1:$I$89,3,0)*VLOOKUP('Données projet'!$B$11,Paramètres!$A$1:$I$89,5,0)</f>
        <v>75.617280000000008</v>
      </c>
      <c r="BF29" s="13">
        <f t="shared" si="37"/>
        <v>21.062097843754533</v>
      </c>
      <c r="BG29" s="20">
        <f t="shared" si="7"/>
        <v>168.38324974453914</v>
      </c>
      <c r="BH29" s="59">
        <f t="shared" si="8"/>
        <v>421.93305595183102</v>
      </c>
      <c r="BI29" s="59">
        <f ca="1">AVERAGE(OFFSET($BH$3,0,0,'Données projet'!$E$11+1,1))-AVERAGE(OFFSET($H$3,0,0,'Données projet'!$E$11+1,1))</f>
        <v>332.93090933713466</v>
      </c>
      <c r="BJ29" s="59">
        <f t="shared" si="38"/>
        <v>251.83579649532973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2.7961142281642224</v>
      </c>
      <c r="BR29" s="21">
        <f>EXP(-LN(2)/2)*BR28+(1-EXP(-LN(2)/2))/(LN(2)/2)*BL29*BO29*VLOOKUP('Données projet'!$B$11,Paramètres!$A$1:$I$89,3,0)*0.475*44/12</f>
        <v>1.0763283278360979E-2</v>
      </c>
      <c r="BS29" s="22">
        <f t="shared" si="9"/>
        <v>2.8068775114425835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2.5115384616666665</v>
      </c>
      <c r="BY29" s="12">
        <f>IF('Données projet'!$A$114&gt;35,BY28+BX29-CG28,IF(A29&lt;'Données projet'!$A$114,$BV$205^A29,IF(A29='Données projet'!$A$114,'Données projet'!$B$114,BY28+BX29-CG28)))</f>
        <v>42.343453543840354</v>
      </c>
      <c r="BZ29" s="13">
        <f>BY29*VLOOKUP('Données projet'!$B$12,Paramètres!$A$1:$I$89,3,0)*VLOOKUP('Données projet'!$B$12,Paramètres!$A$1:$I$89,5,0)</f>
        <v>48.220724895725397</v>
      </c>
      <c r="CA29" s="13">
        <f t="shared" si="39"/>
        <v>14.15328959250097</v>
      </c>
      <c r="CB29" s="20">
        <f t="shared" si="10"/>
        <v>108.63474190032758</v>
      </c>
      <c r="CC29" s="59">
        <f t="shared" si="11"/>
        <v>362.18454810761943</v>
      </c>
      <c r="CD29" s="59">
        <f ca="1">AVERAGE(OFFSET($CC$3,0,0,'Données projet'!$E$12+1,1))-AVERAGE(OFFSET($H$3,0,0,'Données projet'!$E$12+1,1))</f>
        <v>797.57191672067393</v>
      </c>
      <c r="CE29" s="59">
        <f t="shared" si="40"/>
        <v>238.59056544987126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>
        <f>VLOOKUP(A29,'Données projet'!$A$139:$I$159,2,0)</f>
        <v>244</v>
      </c>
      <c r="CR29" s="12">
        <f>VLOOKUP(A29,'Données projet'!$A$139:$I$159,9,0)</f>
        <v>18</v>
      </c>
      <c r="CS29" s="12">
        <f t="array" ref="CS29">INDEX(CR:CR,MIN(IF(ISNUMBER(CR29:CR225),ROW(CR29:CR225),"")))</f>
        <v>18</v>
      </c>
      <c r="CT29" s="12">
        <f>IF('Données projet'!$A$140&gt;35,CT28+CS29-DB28,IF(A29&lt;'Données projet'!$A$140,$CQ$205^A29,IF(A29='Données projet'!$A$140,'Données projet'!$B$140,CT28+CS29-DB28)))</f>
        <v>244</v>
      </c>
      <c r="CU29" s="17">
        <f>CT29*VLOOKUP('Données projet'!$B$13,Paramètres!$A$1:$I$89,3,0)*VLOOKUP('Données projet'!$B$13,Paramètres!$A$1:$I$89,5,0)</f>
        <v>145.91200000000001</v>
      </c>
      <c r="CV29" s="13">
        <f t="shared" si="41"/>
        <v>37.648084239987625</v>
      </c>
      <c r="CW29" s="20">
        <f t="shared" si="13"/>
        <v>319.70048005131179</v>
      </c>
      <c r="CX29" s="59">
        <f t="shared" si="14"/>
        <v>573.25028625860364</v>
      </c>
      <c r="CY29" s="59">
        <f ca="1">AVERAGE(OFFSET($CX$3,0,0,'Données projet'!$E$13+1,1))-AVERAGE(OFFSET($H$3,0,0,'Données projet'!$E$13+1,1))</f>
        <v>188.98184340090461</v>
      </c>
      <c r="CZ29" s="59">
        <f t="shared" si="42"/>
        <v>450.74604661797798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29.73495765040283</v>
      </c>
      <c r="DH29" s="21">
        <f>EXP(-LN(2)/2)*DH28+(1-EXP(-LN(2)/2))/(LN(2)/2)*DB29*DE29*VLOOKUP('Données projet'!$B$13,Paramètres!$A$1:$I$89,3,0)*0.475*44/12</f>
        <v>0.17984802401021957</v>
      </c>
      <c r="DI29" s="22">
        <f t="shared" si="15"/>
        <v>29.914805674413049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10.6</v>
      </c>
      <c r="DO29" s="12">
        <f>IF('Données projet'!$A$166&gt;35,DO28+DN29-DW28,IF(A29&lt;'Données projet'!$A$166,$DL$205^A29,IF(A29='Données projet'!$A$166,'Données projet'!$B$166,DO28+DN29-DW28)))</f>
        <v>251.59999999999991</v>
      </c>
      <c r="DP29" s="17">
        <f>DO29*VLOOKUP('Données projet'!$B$14,Paramètres!$A$1:$I$89,3,0)*VLOOKUP('Données projet'!$B$14,Paramètres!$A$1:$I$89,5,0)</f>
        <v>227.64767999999992</v>
      </c>
      <c r="DQ29" s="13">
        <f t="shared" si="43"/>
        <v>55.773751036838313</v>
      </c>
      <c r="DR29" s="20">
        <f t="shared" si="16"/>
        <v>493.62565905582659</v>
      </c>
      <c r="DS29" s="59">
        <f t="shared" si="17"/>
        <v>747.17546526311844</v>
      </c>
      <c r="DT29" s="59">
        <f ca="1">AVERAGE(OFFSET($DS$3,0,0,'Données projet'!$E$14+1,1))-AVERAGE(OFFSET($H$3,0,0,'Données projet'!$E$14+1,1))</f>
        <v>442.34161202733173</v>
      </c>
      <c r="DU29" s="59">
        <f t="shared" si="44"/>
        <v>622.90413492324399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2.5115384616666665</v>
      </c>
      <c r="EJ29" s="12">
        <f>IF('Données projet'!$A$192&gt;35,EJ28+EI29-ER28,IF(A29&lt;'Données projet'!$A$192,$EG$205^A29,IF(A29='Données projet'!$A$192,'Données projet'!$B$192,EJ28+EI29-ER28)))</f>
        <v>42.343453543840354</v>
      </c>
      <c r="EK29" s="17">
        <f>EJ29*VLOOKUP('Données projet'!$B$15,Paramètres!$A$1:$I$89,3,0)*VLOOKUP('Données projet'!$B$15,Paramètres!$A$1:$I$89,5,0)</f>
        <v>46.239051269873663</v>
      </c>
      <c r="EL29" s="13">
        <f t="shared" si="45"/>
        <v>13.638102240145839</v>
      </c>
      <c r="EM29" s="20">
        <f t="shared" si="19"/>
        <v>104.28604236328397</v>
      </c>
      <c r="EN29" s="59">
        <f t="shared" si="20"/>
        <v>357.83584857057588</v>
      </c>
      <c r="EO29" s="59">
        <f ca="1">AVERAGE(OFFSET($EN$3,0,0,'Données projet'!$E$15+1,1))-AVERAGE(OFFSET($H$3,0,0,'Données projet'!$E$15+1,1))</f>
        <v>767.9449852393318</v>
      </c>
      <c r="EP29" s="59">
        <f t="shared" si="46"/>
        <v>230.95605490295961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60.483280480776578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3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11</v>
      </c>
      <c r="H30" s="66">
        <f t="shared" si="1"/>
        <v>212.66666666666666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596.80434195745897</v>
      </c>
      <c r="S30" s="59">
        <f ca="1">AVERAGE(OFFSET($R$3,0,0,'Données projet'!$E$9+1,1))-AVERAGE(OFFSET($H$3,0,0,'Données projet'!$E$9+1,1))</f>
        <v>188.98184340090461</v>
      </c>
      <c r="T30" s="59">
        <f t="shared" si="34"/>
        <v>450.74604661797798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3.6141025633333332</v>
      </c>
      <c r="AI30" s="13">
        <f>IF('Données projet'!$A$62&gt;35,AI29+AH30-AQ29,IF(A30&lt;'Données projet'!$A$62,$AF$205^A30,IF(A30='Données projet'!$A$62,'Données projet'!$B$62,AI29+AH30-AQ29)))</f>
        <v>67.859328069602995</v>
      </c>
      <c r="AJ30" s="13">
        <f>AI30*VLOOKUP('Données projet'!$B$10,Paramètres!$A$1:$I$89,3,0)*VLOOKUP('Données projet'!$B$10,Paramètres!$A$1:$I$89,5,0)</f>
        <v>61.399120037376782</v>
      </c>
      <c r="AK30" s="13">
        <f t="shared" si="35"/>
        <v>17.521534491680562</v>
      </c>
      <c r="AL30" s="20">
        <f t="shared" si="4"/>
        <v>137.45347330477486</v>
      </c>
      <c r="AM30" s="59">
        <f t="shared" si="5"/>
        <v>392.83084569497964</v>
      </c>
      <c r="AN30" s="59">
        <f ca="1">AVERAGE(OFFSET($AM$3,0,0,'Données projet'!$E$10+1,1))-AVERAGE(OFFSET($H$3,0,0,'Données projet'!$E$10+1,1))</f>
        <v>725.60981534362895</v>
      </c>
      <c r="AO30" s="59">
        <f t="shared" si="36"/>
        <v>265.16078167969272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3.54</v>
      </c>
      <c r="BD30" s="12">
        <f>IF('Données projet'!$A$88&gt;35,BD29+BC30-BL29,IF(A30&lt;'Données projet'!$A$88,$BA$205^A30,IF(A30='Données projet'!$A$88,'Données projet'!$B$88,BD29+BC30-BL29)))</f>
        <v>69.180000000000021</v>
      </c>
      <c r="BE30" s="13">
        <f>BD30*VLOOKUP('Données projet'!$B$11,Paramètres!$A$1:$I$89,3,0)*VLOOKUP('Données projet'!$B$11,Paramètres!$A$1:$I$89,5,0)</f>
        <v>79.695360000000022</v>
      </c>
      <c r="BF30" s="13">
        <f t="shared" si="37"/>
        <v>22.062681533470005</v>
      </c>
      <c r="BG30" s="20">
        <f t="shared" si="7"/>
        <v>177.22858900412697</v>
      </c>
      <c r="BH30" s="59">
        <f t="shared" si="8"/>
        <v>432.60596139433176</v>
      </c>
      <c r="BI30" s="59">
        <f ca="1">AVERAGE(OFFSET($BH$3,0,0,'Données projet'!$E$11+1,1))-AVERAGE(OFFSET($H$3,0,0,'Données projet'!$E$11+1,1))</f>
        <v>332.93090933713466</v>
      </c>
      <c r="BJ30" s="59">
        <f t="shared" si="38"/>
        <v>251.83579649532973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2.7196543375538149</v>
      </c>
      <c r="BR30" s="21">
        <f>EXP(-LN(2)/2)*BR29+(1-EXP(-LN(2)/2))/(LN(2)/2)*BL30*BO30*VLOOKUP('Données projet'!$B$11,Paramètres!$A$1:$I$89,3,0)*0.475*44/12</f>
        <v>7.6107905939608233E-3</v>
      </c>
      <c r="BS30" s="22">
        <f t="shared" si="9"/>
        <v>2.7272651281477756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2.5115384616666665</v>
      </c>
      <c r="BY30" s="12">
        <f>IF('Données projet'!$A$114&gt;35,BY29+BX30-CG29,IF(A30&lt;'Données projet'!$A$114,$BV$205^A30,IF(A30='Données projet'!$A$114,'Données projet'!$B$114,BY29+BX30-CG29)))</f>
        <v>48.90519323549205</v>
      </c>
      <c r="BZ30" s="13">
        <f>BY30*VLOOKUP('Données projet'!$B$12,Paramètres!$A$1:$I$89,3,0)*VLOOKUP('Données projet'!$B$12,Paramètres!$A$1:$I$89,5,0)</f>
        <v>55.693234056578341</v>
      </c>
      <c r="CA30" s="13">
        <f t="shared" si="39"/>
        <v>16.074708229714233</v>
      </c>
      <c r="CB30" s="20">
        <f t="shared" si="10"/>
        <v>124.99583281529289</v>
      </c>
      <c r="CC30" s="59">
        <f t="shared" si="11"/>
        <v>380.37320520549764</v>
      </c>
      <c r="CD30" s="59">
        <f ca="1">AVERAGE(OFFSET($CC$3,0,0,'Données projet'!$E$12+1,1))-AVERAGE(OFFSET($H$3,0,0,'Données projet'!$E$12+1,1))</f>
        <v>797.57191672067393</v>
      </c>
      <c r="CE30" s="59">
        <f t="shared" si="40"/>
        <v>238.59056544987126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>
        <f>VLOOKUP(A30,'Données projet'!$A$139:$I$159,2,0)</f>
        <v>261</v>
      </c>
      <c r="CR30" s="12">
        <f>VLOOKUP(A30,'Données projet'!$A$139:$I$159,9,0)</f>
        <v>17</v>
      </c>
      <c r="CS30" s="12">
        <f t="array" ref="CS30">INDEX(CR:CR,MIN(IF(ISNUMBER(CR30:CR226),ROW(CR30:CR226),"")))</f>
        <v>17</v>
      </c>
      <c r="CT30" s="12">
        <f>IF('Données projet'!$A$140&gt;35,CT29+CS30-DB29,IF(A30&lt;'Données projet'!$A$140,$CQ$205^A30,IF(A30='Données projet'!$A$140,'Données projet'!$B$140,CT29+CS30-DB29)))</f>
        <v>261</v>
      </c>
      <c r="CU30" s="17">
        <f>CT30*VLOOKUP('Données projet'!$B$13,Paramètres!$A$1:$I$89,3,0)*VLOOKUP('Données projet'!$B$13,Paramètres!$A$1:$I$89,5,0)</f>
        <v>156.078</v>
      </c>
      <c r="CV30" s="13">
        <f t="shared" si="41"/>
        <v>39.956623674978466</v>
      </c>
      <c r="CW30" s="20">
        <f t="shared" si="13"/>
        <v>341.42696956725416</v>
      </c>
      <c r="CX30" s="59">
        <f t="shared" si="14"/>
        <v>596.80434195745897</v>
      </c>
      <c r="CY30" s="59">
        <f ca="1">AVERAGE(OFFSET($CX$3,0,0,'Données projet'!$E$13+1,1))-AVERAGE(OFFSET($H$3,0,0,'Données projet'!$E$13+1,1))</f>
        <v>188.98184340090461</v>
      </c>
      <c r="CZ30" s="59">
        <f t="shared" si="42"/>
        <v>450.74604661797798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28.921853669759102</v>
      </c>
      <c r="DH30" s="21">
        <f>EXP(-LN(2)/2)*DH29+(1-EXP(-LN(2)/2))/(LN(2)/2)*DB30*DE30*VLOOKUP('Données projet'!$B$13,Paramètres!$A$1:$I$89,3,0)*0.475*44/12</f>
        <v>0.12717175736062727</v>
      </c>
      <c r="DI30" s="22">
        <f t="shared" si="15"/>
        <v>29.04902542711973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10.6</v>
      </c>
      <c r="DO30" s="12">
        <f>IF('Données projet'!$A$166&gt;35,DO29+DN30-DW29,IF(A30&lt;'Données projet'!$A$166,$DL$205^A30,IF(A30='Données projet'!$A$166,'Données projet'!$B$166,DO29+DN30-DW29)))</f>
        <v>262.19999999999993</v>
      </c>
      <c r="DP30" s="17">
        <f>DO30*VLOOKUP('Données projet'!$B$14,Paramètres!$A$1:$I$89,3,0)*VLOOKUP('Données projet'!$B$14,Paramètres!$A$1:$I$89,5,0)</f>
        <v>237.23855999999992</v>
      </c>
      <c r="DQ30" s="13">
        <f t="shared" si="43"/>
        <v>57.84499363660688</v>
      </c>
      <c r="DR30" s="20">
        <f t="shared" si="16"/>
        <v>513.93718925042344</v>
      </c>
      <c r="DS30" s="59">
        <f t="shared" si="17"/>
        <v>769.3145616406282</v>
      </c>
      <c r="DT30" s="59">
        <f ca="1">AVERAGE(OFFSET($DS$3,0,0,'Données projet'!$E$14+1,1))-AVERAGE(OFFSET($H$3,0,0,'Données projet'!$E$14+1,1))</f>
        <v>442.34161202733173</v>
      </c>
      <c r="DU30" s="59">
        <f t="shared" si="44"/>
        <v>622.90413492324399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2.5115384616666665</v>
      </c>
      <c r="EJ30" s="12">
        <f>IF('Données projet'!$A$192&gt;35,EJ29+EI30-ER29,IF(A30&lt;'Données projet'!$A$192,$EG$205^A30,IF(A30='Données projet'!$A$192,'Données projet'!$B$192,EJ29+EI30-ER29)))</f>
        <v>48.90519323549205</v>
      </c>
      <c r="EK30" s="17">
        <f>EJ30*VLOOKUP('Données projet'!$B$15,Paramètres!$A$1:$I$89,3,0)*VLOOKUP('Données projet'!$B$15,Paramètres!$A$1:$I$89,5,0)</f>
        <v>53.404471013157313</v>
      </c>
      <c r="EL30" s="13">
        <f t="shared" si="45"/>
        <v>15.489580205686829</v>
      </c>
      <c r="EM30" s="20">
        <f t="shared" si="19"/>
        <v>119.99047253948687</v>
      </c>
      <c r="EN30" s="59">
        <f t="shared" si="20"/>
        <v>375.36784492969161</v>
      </c>
      <c r="EO30" s="59">
        <f ca="1">AVERAGE(OFFSET($EN$3,0,0,'Données projet'!$E$15+1,1))-AVERAGE(OFFSET($H$3,0,0,'Données projet'!$E$15+1,1))</f>
        <v>767.9449852393318</v>
      </c>
      <c r="EP30" s="59">
        <f t="shared" si="46"/>
        <v>230.95605490295961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60.648374288237662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3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11</v>
      </c>
      <c r="H31" s="66">
        <f t="shared" si="1"/>
        <v>212.66666666666666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619.04206726036659</v>
      </c>
      <c r="S31" s="59">
        <f ca="1">AVERAGE(OFFSET($R$3,0,0,'Données projet'!$E$9+1,1))-AVERAGE(OFFSET($H$3,0,0,'Données projet'!$E$9+1,1))</f>
        <v>188.98184340090461</v>
      </c>
      <c r="T31" s="59">
        <f t="shared" si="34"/>
        <v>450.74604661797798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3.6141025633333332</v>
      </c>
      <c r="AI31" s="13">
        <f>IF('Données projet'!$A$62&gt;35,AI30+AH31-AQ30,IF(A31&lt;'Données projet'!$A$62,$AF$205^A31,IF(A31='Données projet'!$A$62,'Données projet'!$B$62,AI30+AH31-AQ30)))</f>
        <v>79.33173380575721</v>
      </c>
      <c r="AJ31" s="13">
        <f>AI31*VLOOKUP('Données projet'!$B$10,Paramètres!$A$1:$I$89,3,0)*VLOOKUP('Données projet'!$B$10,Paramètres!$A$1:$I$89,5,0)</f>
        <v>71.77935274744911</v>
      </c>
      <c r="AK31" s="13">
        <f t="shared" si="35"/>
        <v>20.114685959257653</v>
      </c>
      <c r="AL31" s="20">
        <f t="shared" si="4"/>
        <v>160.04878408084764</v>
      </c>
      <c r="AM31" s="59">
        <f t="shared" si="5"/>
        <v>417.24322128959363</v>
      </c>
      <c r="AN31" s="59">
        <f ca="1">AVERAGE(OFFSET($AM$3,0,0,'Données projet'!$E$10+1,1))-AVERAGE(OFFSET($H$3,0,0,'Données projet'!$E$10+1,1))</f>
        <v>725.60981534362895</v>
      </c>
      <c r="AO31" s="59">
        <f t="shared" si="36"/>
        <v>265.16078167969272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3.54</v>
      </c>
      <c r="BD31" s="12">
        <f>IF('Données projet'!$A$88&gt;35,BD30+BC31-BL30,IF(A31&lt;'Données projet'!$A$88,$BA$205^A31,IF(A31='Données projet'!$A$88,'Données projet'!$B$88,BD30+BC31-BL30)))</f>
        <v>72.720000000000027</v>
      </c>
      <c r="BE31" s="13">
        <f>BD31*VLOOKUP('Données projet'!$B$11,Paramètres!$A$1:$I$89,3,0)*VLOOKUP('Données projet'!$B$11,Paramètres!$A$1:$I$89,5,0)</f>
        <v>83.773440000000036</v>
      </c>
      <c r="BF31" s="13">
        <f t="shared" si="37"/>
        <v>23.057320433541069</v>
      </c>
      <c r="BG31" s="20">
        <f t="shared" si="7"/>
        <v>186.06357442175076</v>
      </c>
      <c r="BH31" s="59">
        <f t="shared" si="8"/>
        <v>443.25801163049675</v>
      </c>
      <c r="BI31" s="59">
        <f ca="1">AVERAGE(OFFSET($BH$3,0,0,'Données projet'!$E$11+1,1))-AVERAGE(OFFSET($H$3,0,0,'Données projet'!$E$11+1,1))</f>
        <v>332.93090933713466</v>
      </c>
      <c r="BJ31" s="59">
        <f t="shared" si="38"/>
        <v>251.83579649532973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2.6452852466730001</v>
      </c>
      <c r="BR31" s="21">
        <f>EXP(-LN(2)/2)*BR30+(1-EXP(-LN(2)/2))/(LN(2)/2)*BL31*BO31*VLOOKUP('Données projet'!$B$11,Paramètres!$A$1:$I$89,3,0)*0.475*44/12</f>
        <v>5.3816416391804902E-3</v>
      </c>
      <c r="BS31" s="22">
        <f t="shared" si="9"/>
        <v>2.6506668883121804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2.5115384616666665</v>
      </c>
      <c r="BY31" s="12">
        <f>IF('Données projet'!$A$114&gt;35,BY30+BX31-CG30,IF(A31&lt;'Données projet'!$A$114,$BV$205^A31,IF(A31='Données projet'!$A$114,'Données projet'!$B$114,BY30+BX31-CG30)))</f>
        <v>56.483770812991168</v>
      </c>
      <c r="BZ31" s="13">
        <f>BY31*VLOOKUP('Données projet'!$B$12,Paramètres!$A$1:$I$89,3,0)*VLOOKUP('Données projet'!$B$12,Paramètres!$A$1:$I$89,5,0)</f>
        <v>64.323718201834339</v>
      </c>
      <c r="CA31" s="13">
        <f t="shared" si="39"/>
        <v>18.256974322588022</v>
      </c>
      <c r="CB31" s="20">
        <f t="shared" si="10"/>
        <v>143.82803948003559</v>
      </c>
      <c r="CC31" s="59">
        <f t="shared" si="11"/>
        <v>401.02247668878158</v>
      </c>
      <c r="CD31" s="59">
        <f ca="1">AVERAGE(OFFSET($CC$3,0,0,'Données projet'!$E$12+1,1))-AVERAGE(OFFSET($H$3,0,0,'Données projet'!$E$12+1,1))</f>
        <v>797.57191672067393</v>
      </c>
      <c r="CE31" s="59">
        <f t="shared" si="40"/>
        <v>238.59056544987126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>
        <f>VLOOKUP(A31,'Données projet'!$A$139:$I$159,2,0)</f>
        <v>277</v>
      </c>
      <c r="CR31" s="12">
        <f>VLOOKUP(A31,'Données projet'!$A$139:$I$159,9,0)</f>
        <v>16</v>
      </c>
      <c r="CS31" s="12">
        <f t="array" ref="CS31">INDEX(CR:CR,MIN(IF(ISNUMBER(CR31:CR227),ROW(CR31:CR227),"")))</f>
        <v>16</v>
      </c>
      <c r="CT31" s="12">
        <f>IF('Données projet'!$A$140&gt;35,CT30+CS31-DB30,IF(A31&lt;'Données projet'!$A$140,$CQ$205^A31,IF(A31='Données projet'!$A$140,'Données projet'!$B$140,CT30+CS31-DB30)))</f>
        <v>277</v>
      </c>
      <c r="CU31" s="17">
        <f>CT31*VLOOKUP('Données projet'!$B$13,Paramètres!$A$1:$I$89,3,0)*VLOOKUP('Données projet'!$B$13,Paramètres!$A$1:$I$89,5,0)</f>
        <v>165.64600000000002</v>
      </c>
      <c r="CV31" s="13">
        <f t="shared" si="41"/>
        <v>42.113404814327666</v>
      </c>
      <c r="CW31" s="20">
        <f t="shared" si="13"/>
        <v>361.84763005162068</v>
      </c>
      <c r="CX31" s="59">
        <f t="shared" si="14"/>
        <v>619.04206726036659</v>
      </c>
      <c r="CY31" s="59">
        <f ca="1">AVERAGE(OFFSET($CX$3,0,0,'Données projet'!$E$13+1,1))-AVERAGE(OFFSET($H$3,0,0,'Données projet'!$E$13+1,1))</f>
        <v>188.98184340090461</v>
      </c>
      <c r="CZ31" s="59">
        <f t="shared" si="42"/>
        <v>450.74604661797798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28.130984060225355</v>
      </c>
      <c r="DH31" s="21">
        <f>EXP(-LN(2)/2)*DH30+(1-EXP(-LN(2)/2))/(LN(2)/2)*DB31*DE31*VLOOKUP('Données projet'!$B$13,Paramètres!$A$1:$I$89,3,0)*0.475*44/12</f>
        <v>8.9924012005109785E-2</v>
      </c>
      <c r="DI31" s="22">
        <f t="shared" si="15"/>
        <v>28.220908072230465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10.6</v>
      </c>
      <c r="DO31" s="12">
        <f>IF('Données projet'!$A$166&gt;35,DO30+DN31-DW30,IF(A31&lt;'Données projet'!$A$166,$DL$205^A31,IF(A31='Données projet'!$A$166,'Données projet'!$B$166,DO30+DN31-DW30)))</f>
        <v>272.79999999999995</v>
      </c>
      <c r="DP31" s="17">
        <f>DO31*VLOOKUP('Données projet'!$B$14,Paramètres!$A$1:$I$89,3,0)*VLOOKUP('Données projet'!$B$14,Paramètres!$A$1:$I$89,5,0)</f>
        <v>246.82943999999995</v>
      </c>
      <c r="DQ31" s="13">
        <f t="shared" si="43"/>
        <v>59.906509645447485</v>
      </c>
      <c r="DR31" s="20">
        <f t="shared" si="16"/>
        <v>534.23177896582081</v>
      </c>
      <c r="DS31" s="59">
        <f t="shared" si="17"/>
        <v>791.42621617456678</v>
      </c>
      <c r="DT31" s="59">
        <f ca="1">AVERAGE(OFFSET($DS$3,0,0,'Données projet'!$E$14+1,1))-AVERAGE(OFFSET($H$3,0,0,'Données projet'!$E$14+1,1))</f>
        <v>442.34161202733173</v>
      </c>
      <c r="DU31" s="59">
        <f t="shared" si="44"/>
        <v>622.90413492324399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2.5115384616666665</v>
      </c>
      <c r="EJ31" s="12">
        <f>IF('Données projet'!$A$192&gt;35,EJ30+EI31-ER30,IF(A31&lt;'Données projet'!$A$192,$EG$205^A31,IF(A31='Données projet'!$A$192,'Données projet'!$B$192,EJ30+EI31-ER30)))</f>
        <v>56.483770812991168</v>
      </c>
      <c r="EK31" s="17">
        <f>EJ31*VLOOKUP('Données projet'!$B$15,Paramètres!$A$1:$I$89,3,0)*VLOOKUP('Données projet'!$B$15,Paramètres!$A$1:$I$89,5,0)</f>
        <v>61.680277727786354</v>
      </c>
      <c r="EL31" s="13">
        <f t="shared" si="45"/>
        <v>17.592410639226838</v>
      </c>
      <c r="EM31" s="20">
        <f t="shared" si="19"/>
        <v>138.06659890588131</v>
      </c>
      <c r="EN31" s="59">
        <f t="shared" si="20"/>
        <v>395.26103611462725</v>
      </c>
      <c r="EO31" s="59">
        <f ca="1">AVERAGE(OFFSET($EN$3,0,0,'Données projet'!$E$15+1,1))-AVERAGE(OFFSET($H$3,0,0,'Données projet'!$E$15+1,1))</f>
        <v>767.9449852393318</v>
      </c>
      <c r="EP31" s="59">
        <f t="shared" si="46"/>
        <v>230.95605490295961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60.810604087233756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3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11</v>
      </c>
      <c r="H32" s="66">
        <f t="shared" si="1"/>
        <v>212.66666666666666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641.24428732050455</v>
      </c>
      <c r="S32" s="59">
        <f ca="1">AVERAGE(OFFSET($R$3,0,0,'Données projet'!$E$9+1,1))-AVERAGE(OFFSET($H$3,0,0,'Données projet'!$E$9+1,1))</f>
        <v>188.98184340090461</v>
      </c>
      <c r="T32" s="59">
        <f t="shared" si="34"/>
        <v>450.74604661797798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3.6141025633333332</v>
      </c>
      <c r="AI32" s="13">
        <f>IF('Données projet'!$A$62&gt;35,AI31+AH32-AQ31,IF(A32&lt;'Données projet'!$A$62,$AF$205^A32,IF(A32='Données projet'!$A$62,'Données projet'!$B$62,AI31+AH32-AQ31)))</f>
        <v>92.743682669128148</v>
      </c>
      <c r="AJ32" s="13">
        <f>AI32*VLOOKUP('Données projet'!$B$10,Paramètres!$A$1:$I$89,3,0)*VLOOKUP('Données projet'!$B$10,Paramètres!$A$1:$I$89,5,0)</f>
        <v>83.914484079027147</v>
      </c>
      <c r="AK32" s="13">
        <f t="shared" si="35"/>
        <v>23.09161856980429</v>
      </c>
      <c r="AL32" s="20">
        <f t="shared" si="4"/>
        <v>186.3689621133814</v>
      </c>
      <c r="AM32" s="59">
        <f t="shared" si="5"/>
        <v>445.3701449514914</v>
      </c>
      <c r="AN32" s="59">
        <f ca="1">AVERAGE(OFFSET($AM$3,0,0,'Données projet'!$E$10+1,1))-AVERAGE(OFFSET($H$3,0,0,'Données projet'!$E$10+1,1))</f>
        <v>725.60981534362895</v>
      </c>
      <c r="AO32" s="59">
        <f t="shared" si="36"/>
        <v>265.16078167969272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3.54</v>
      </c>
      <c r="BD32" s="12">
        <f>IF('Données projet'!$A$88&gt;35,BD31+BC32-BL31,IF(A32&lt;'Données projet'!$A$88,$BA$205^A32,IF(A32='Données projet'!$A$88,'Données projet'!$B$88,BD31+BC32-BL31)))</f>
        <v>76.260000000000034</v>
      </c>
      <c r="BE32" s="13">
        <f>BD32*VLOOKUP('Données projet'!$B$11,Paramètres!$A$1:$I$89,3,0)*VLOOKUP('Données projet'!$B$11,Paramètres!$A$1:$I$89,5,0)</f>
        <v>87.851520000000022</v>
      </c>
      <c r="BF32" s="13">
        <f t="shared" si="37"/>
        <v>24.046336967763626</v>
      </c>
      <c r="BG32" s="20">
        <f t="shared" si="7"/>
        <v>194.88876755218834</v>
      </c>
      <c r="BH32" s="59">
        <f t="shared" si="8"/>
        <v>453.88995039029828</v>
      </c>
      <c r="BI32" s="59">
        <f ca="1">AVERAGE(OFFSET($BH$3,0,0,'Données projet'!$E$11+1,1))-AVERAGE(OFFSET($H$3,0,0,'Données projet'!$E$11+1,1))</f>
        <v>332.93090933713466</v>
      </c>
      <c r="BJ32" s="59">
        <f t="shared" si="38"/>
        <v>251.83579649532973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2.5729497824932217</v>
      </c>
      <c r="BR32" s="21">
        <f>EXP(-LN(2)/2)*BR31+(1-EXP(-LN(2)/2))/(LN(2)/2)*BL32*BO32*VLOOKUP('Données projet'!$B$11,Paramètres!$A$1:$I$89,3,0)*0.475*44/12</f>
        <v>3.8053952969804121E-3</v>
      </c>
      <c r="BS32" s="22">
        <f t="shared" si="9"/>
        <v>2.576755177790202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2.5115384616666665</v>
      </c>
      <c r="BY32" s="12">
        <f>IF('Données projet'!$A$114&gt;35,BY31+BX32-CG31,IF(A32&lt;'Données projet'!$A$114,$BV$205^A32,IF(A32='Données projet'!$A$114,'Données projet'!$B$114,BY31+BX32-CG31)))</f>
        <v>65.236760233044663</v>
      </c>
      <c r="BZ32" s="13">
        <f>BY32*VLOOKUP('Données projet'!$B$12,Paramètres!$A$1:$I$89,3,0)*VLOOKUP('Données projet'!$B$12,Paramètres!$A$1:$I$89,5,0)</f>
        <v>74.291622553391264</v>
      </c>
      <c r="CA32" s="13">
        <f t="shared" si="39"/>
        <v>20.735499932714095</v>
      </c>
      <c r="CB32" s="20">
        <f t="shared" si="10"/>
        <v>165.50557166330015</v>
      </c>
      <c r="CC32" s="59">
        <f t="shared" si="11"/>
        <v>424.50675450141011</v>
      </c>
      <c r="CD32" s="59">
        <f ca="1">AVERAGE(OFFSET($CC$3,0,0,'Données projet'!$E$12+1,1))-AVERAGE(OFFSET($H$3,0,0,'Données projet'!$E$12+1,1))</f>
        <v>797.57191672067393</v>
      </c>
      <c r="CE32" s="59">
        <f t="shared" si="40"/>
        <v>238.59056544987126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>
        <f>VLOOKUP(A32,'Données projet'!$A$139:$I$159,2,0)</f>
        <v>293</v>
      </c>
      <c r="CR32" s="12">
        <f>VLOOKUP(A32,'Données projet'!$A$139:$I$159,9,0)</f>
        <v>16</v>
      </c>
      <c r="CS32" s="12">
        <f t="array" ref="CS32">INDEX(CR:CR,MIN(IF(ISNUMBER(CR32:CR228),ROW(CR32:CR228),"")))</f>
        <v>16</v>
      </c>
      <c r="CT32" s="12">
        <f>IF('Données projet'!$A$140&gt;35,CT31+CS32-DB31,IF(A32&lt;'Données projet'!$A$140,$CQ$205^A32,IF(A32='Données projet'!$A$140,'Données projet'!$B$140,CT31+CS32-DB31)))</f>
        <v>293</v>
      </c>
      <c r="CU32" s="17">
        <f>CT32*VLOOKUP('Données projet'!$B$13,Paramètres!$A$1:$I$89,3,0)*VLOOKUP('Données projet'!$B$13,Paramètres!$A$1:$I$89,5,0)</f>
        <v>175.214</v>
      </c>
      <c r="CV32" s="13">
        <f t="shared" si="41"/>
        <v>44.255725061661991</v>
      </c>
      <c r="CW32" s="20">
        <f t="shared" si="13"/>
        <v>382.24310448239459</v>
      </c>
      <c r="CX32" s="59">
        <f t="shared" si="14"/>
        <v>641.24428732050455</v>
      </c>
      <c r="CY32" s="59">
        <f ca="1">AVERAGE(OFFSET($CX$3,0,0,'Données projet'!$E$13+1,1))-AVERAGE(OFFSET($H$3,0,0,'Données projet'!$E$13+1,1))</f>
        <v>188.98184340090461</v>
      </c>
      <c r="CZ32" s="59">
        <f t="shared" si="42"/>
        <v>450.74604661797798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27.361740821754335</v>
      </c>
      <c r="DH32" s="21">
        <f>EXP(-LN(2)/2)*DH31+(1-EXP(-LN(2)/2))/(LN(2)/2)*DB32*DE32*VLOOKUP('Données projet'!$B$13,Paramètres!$A$1:$I$89,3,0)*0.475*44/12</f>
        <v>6.3585878680313637E-2</v>
      </c>
      <c r="DI32" s="22">
        <f t="shared" si="15"/>
        <v>27.425326700434649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10.6</v>
      </c>
      <c r="DO32" s="12">
        <f>IF('Données projet'!$A$166&gt;35,DO31+DN32-DW31,IF(A32&lt;'Données projet'!$A$166,$DL$205^A32,IF(A32='Données projet'!$A$166,'Données projet'!$B$166,DO31+DN32-DW31)))</f>
        <v>283.39999999999998</v>
      </c>
      <c r="DP32" s="17">
        <f>DO32*VLOOKUP('Données projet'!$B$14,Paramètres!$A$1:$I$89,3,0)*VLOOKUP('Données projet'!$B$14,Paramètres!$A$1:$I$89,5,0)</f>
        <v>256.42032</v>
      </c>
      <c r="DQ32" s="13">
        <f t="shared" si="43"/>
        <v>61.958720258016918</v>
      </c>
      <c r="DR32" s="20">
        <f t="shared" si="16"/>
        <v>554.51016178271277</v>
      </c>
      <c r="DS32" s="59">
        <f t="shared" si="17"/>
        <v>813.51134462082268</v>
      </c>
      <c r="DT32" s="59">
        <f ca="1">AVERAGE(OFFSET($DS$3,0,0,'Données projet'!$E$14+1,1))-AVERAGE(OFFSET($H$3,0,0,'Données projet'!$E$14+1,1))</f>
        <v>442.34161202733173</v>
      </c>
      <c r="DU32" s="59">
        <f t="shared" si="44"/>
        <v>622.90413492324399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2.5115384616666665</v>
      </c>
      <c r="EJ32" s="12">
        <f>IF('Données projet'!$A$192&gt;35,EJ31+EI32-ER31,IF(A32&lt;'Données projet'!$A$192,$EG$205^A32,IF(A32='Données projet'!$A$192,'Données projet'!$B$192,EJ31+EI32-ER31)))</f>
        <v>65.236760233044663</v>
      </c>
      <c r="EK32" s="17">
        <f>EJ32*VLOOKUP('Données projet'!$B$15,Paramètres!$A$1:$I$89,3,0)*VLOOKUP('Données projet'!$B$15,Paramètres!$A$1:$I$89,5,0)</f>
        <v>71.238542174484763</v>
      </c>
      <c r="EL32" s="13">
        <f t="shared" si="45"/>
        <v>19.980716584272244</v>
      </c>
      <c r="EM32" s="20">
        <f t="shared" si="19"/>
        <v>158.87354233816845</v>
      </c>
      <c r="EN32" s="59">
        <f t="shared" si="20"/>
        <v>417.87472517627839</v>
      </c>
      <c r="EO32" s="59">
        <f ca="1">AVERAGE(OFFSET($EN$3,0,0,'Données projet'!$E$15+1,1))-AVERAGE(OFFSET($H$3,0,0,'Données projet'!$E$15+1,1))</f>
        <v>767.9449852393318</v>
      </c>
      <c r="EP32" s="59">
        <f t="shared" si="46"/>
        <v>230.95605490295961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60.970019561908771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3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11</v>
      </c>
      <c r="H33" s="66">
        <f t="shared" si="1"/>
        <v>212.66666666666666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663.41271328464461</v>
      </c>
      <c r="S33" s="59">
        <f ca="1">AVERAGE(OFFSET($R$3,0,0,'Données projet'!$E$9+1,1))-AVERAGE(OFFSET($H$3,0,0,'Données projet'!$E$9+1,1))</f>
        <v>188.98184340090461</v>
      </c>
      <c r="T33" s="59">
        <f t="shared" si="34"/>
        <v>450.74604661797798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108.4230769</v>
      </c>
      <c r="AG33" s="12">
        <f>VLOOKUP(A33,'Données projet'!$A$61:$I$81,9,0)</f>
        <v>3.6141025633333332</v>
      </c>
      <c r="AH33" s="12">
        <f t="array" ref="AH33">INDEX(AG:AG,MIN(IF(ISNUMBER(AG33:AG229),ROW(AG33:AG229),"")))</f>
        <v>3.6141025633333332</v>
      </c>
      <c r="AI33" s="13">
        <f>IF('Données projet'!$A$62&gt;35,AI32+AH33-AQ32,IF(A33&lt;'Données projet'!$A$62,$AF$205^A33,IF(A33='Données projet'!$A$62,'Données projet'!$B$62,AI32+AH33-AQ32)))</f>
        <v>108.4230769</v>
      </c>
      <c r="AJ33" s="13">
        <f>AI33*VLOOKUP('Données projet'!$B$10,Paramètres!$A$1:$I$89,3,0)*VLOOKUP('Données projet'!$B$10,Paramètres!$A$1:$I$89,5,0)</f>
        <v>98.101199979119997</v>
      </c>
      <c r="AK33" s="13">
        <f t="shared" si="35"/>
        <v>26.509131151904384</v>
      </c>
      <c r="AL33" s="20">
        <f t="shared" si="4"/>
        <v>217.02966005320079</v>
      </c>
      <c r="AM33" s="59">
        <f t="shared" si="5"/>
        <v>477.82744834635935</v>
      </c>
      <c r="AN33" s="59">
        <f ca="1">AVERAGE(OFFSET($AM$3,0,0,'Données projet'!$E$10+1,1))-AVERAGE(OFFSET($H$3,0,0,'Données projet'!$E$10+1,1))</f>
        <v>725.60981534362895</v>
      </c>
      <c r="AO33" s="59">
        <f t="shared" si="36"/>
        <v>265.16078167969272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79.8</v>
      </c>
      <c r="BB33" s="12">
        <f>VLOOKUP(A33,'Données projet'!$A$87:$I$107,9,0)</f>
        <v>3.54</v>
      </c>
      <c r="BC33" s="12">
        <f t="array" ref="BC33">INDEX(BB:BB,MIN(IF(ISNUMBER(BB33:BB229),ROW(BB33:BB229),"")))</f>
        <v>3.54</v>
      </c>
      <c r="BD33" s="12">
        <f>IF('Données projet'!$A$88&gt;35,BD32+BC33-BL32,IF(A33&lt;'Données projet'!$A$88,$BA$205^A33,IF(A33='Données projet'!$A$88,'Données projet'!$B$88,BD32+BC33-BL32)))</f>
        <v>79.80000000000004</v>
      </c>
      <c r="BE33" s="13">
        <f>BD33*VLOOKUP('Données projet'!$B$11,Paramètres!$A$1:$I$89,3,0)*VLOOKUP('Données projet'!$B$11,Paramètres!$A$1:$I$89,5,0)</f>
        <v>91.929600000000036</v>
      </c>
      <c r="BF33" s="13">
        <f t="shared" si="37"/>
        <v>25.03002193426094</v>
      </c>
      <c r="BG33" s="20">
        <f t="shared" si="7"/>
        <v>203.70467486883786</v>
      </c>
      <c r="BH33" s="59">
        <f t="shared" si="8"/>
        <v>464.50246316199639</v>
      </c>
      <c r="BI33" s="59">
        <f ca="1">AVERAGE(OFFSET($BH$3,0,0,'Données projet'!$E$11+1,1))-AVERAGE(OFFSET($H$3,0,0,'Données projet'!$E$11+1,1))</f>
        <v>332.93090933713466</v>
      </c>
      <c r="BJ33" s="59">
        <f t="shared" si="38"/>
        <v>251.83579649532973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12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0.45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6.9549838643480602</v>
      </c>
      <c r="BR33" s="21">
        <f>EXP(-LN(2)/2)*BR32+(1-EXP(-LN(2)/2))/(LN(2)/2)*BL33*BO33*VLOOKUP('Données projet'!$B$11,Paramètres!$A$1:$I$89,3,0)*0.475*44/12</f>
        <v>2.6908208195902455E-3</v>
      </c>
      <c r="BS33" s="22">
        <f t="shared" si="9"/>
        <v>6.9576746851676505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75.346153849999993</v>
      </c>
      <c r="BW33" s="12">
        <f>VLOOKUP(A33,'Données projet'!$A$113:$I$133,9,0)</f>
        <v>2.5115384616666665</v>
      </c>
      <c r="BX33" s="12">
        <f t="array" ref="BX33">INDEX(BW:BW,MIN(IF(ISNUMBER(BW33:BW229),ROW(BW33:BW229),"")))</f>
        <v>2.5115384616666665</v>
      </c>
      <c r="BY33" s="12">
        <f>IF('Données projet'!$A$114&gt;35,BY32+BX33-CG32,IF(A33&lt;'Données projet'!$A$114,$BV$205^A33,IF(A33='Données projet'!$A$114,'Données projet'!$B$114,BY32+BX33-CG32)))</f>
        <v>75.346153849999993</v>
      </c>
      <c r="BZ33" s="13">
        <f>BY33*VLOOKUP('Données projet'!$B$12,Paramètres!$A$1:$I$89,3,0)*VLOOKUP('Données projet'!$B$12,Paramètres!$A$1:$I$89,5,0)</f>
        <v>85.804200004379993</v>
      </c>
      <c r="CA33" s="13">
        <f t="shared" si="39"/>
        <v>23.550504583206237</v>
      </c>
      <c r="CB33" s="20">
        <f t="shared" si="10"/>
        <v>190.45944382337936</v>
      </c>
      <c r="CC33" s="59">
        <f t="shared" si="11"/>
        <v>451.25723211653792</v>
      </c>
      <c r="CD33" s="59">
        <f ca="1">AVERAGE(OFFSET($CC$3,0,0,'Données projet'!$E$12+1,1))-AVERAGE(OFFSET($H$3,0,0,'Données projet'!$E$12+1,1))</f>
        <v>797.57191672067393</v>
      </c>
      <c r="CE33" s="59">
        <f t="shared" si="40"/>
        <v>238.59056544987126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309</v>
      </c>
      <c r="CR33" s="12">
        <f>VLOOKUP(A33,'Données projet'!$A$139:$I$159,9,0)</f>
        <v>16</v>
      </c>
      <c r="CS33" s="12">
        <f t="array" ref="CS33">INDEX(CR:CR,MIN(IF(ISNUMBER(CR33:CR229),ROW(CR33:CR229),"")))</f>
        <v>16</v>
      </c>
      <c r="CT33" s="12">
        <f>IF('Données projet'!$A$140&gt;35,CT32+CS33-DB32,IF(A33&lt;'Données projet'!$A$140,$CQ$205^A33,IF(A33='Données projet'!$A$140,'Données projet'!$B$140,CT32+CS33-DB32)))</f>
        <v>309</v>
      </c>
      <c r="CU33" s="17">
        <f>CT33*VLOOKUP('Données projet'!$B$13,Paramètres!$A$1:$I$89,3,0)*VLOOKUP('Données projet'!$B$13,Paramètres!$A$1:$I$89,5,0)</f>
        <v>184.78200000000004</v>
      </c>
      <c r="CV33" s="13">
        <f t="shared" si="41"/>
        <v>46.384464109944147</v>
      </c>
      <c r="CW33" s="20">
        <f t="shared" si="13"/>
        <v>402.61492499148608</v>
      </c>
      <c r="CX33" s="59">
        <f t="shared" si="14"/>
        <v>663.41271328464461</v>
      </c>
      <c r="CY33" s="59">
        <f ca="1">AVERAGE(OFFSET($CX$3,0,0,'Données projet'!$E$13+1,1))-AVERAGE(OFFSET($H$3,0,0,'Données projet'!$E$13+1,1))</f>
        <v>188.98184340090461</v>
      </c>
      <c r="CZ33" s="59">
        <f t="shared" si="42"/>
        <v>450.74604661797798</v>
      </c>
      <c r="DA33" s="15">
        <f>IF(ISNA(VLOOKUP(A33,'Données projet'!$A$139:$I$159,3,0)),0,VLOOKUP(A33,'Données projet'!$A$139:$I$159,3,0))</f>
        <v>4</v>
      </c>
      <c r="DB33" s="15">
        <f>IF(ISNA(VLOOKUP(A33,'Données projet'!$A$139:$I$159,4,0)),0,VLOOKUP(A33,'Données projet'!$A$139:$I$159,4,0))</f>
        <v>309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0.45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136.48556937293114</v>
      </c>
      <c r="DH33" s="21">
        <f>EXP(-LN(2)/2)*DH32+(1-EXP(-LN(2)/2))/(LN(2)/2)*DB33*DE33*VLOOKUP('Données projet'!$B$13,Paramètres!$A$1:$I$89,3,0)*0.475*44/12</f>
        <v>4.4962006002554893E-2</v>
      </c>
      <c r="DI33" s="22">
        <f t="shared" si="15"/>
        <v>136.53053137893369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294</v>
      </c>
      <c r="DM33" s="12">
        <f>VLOOKUP(A33,'Données projet'!$A$165:$I$185,9,0)</f>
        <v>10.6</v>
      </c>
      <c r="DN33" s="12">
        <f t="array" ref="DN33">INDEX(DM:DM,MIN(IF(ISNUMBER(DM33:DM229),ROW(DM33:DM229),"")))</f>
        <v>10.6</v>
      </c>
      <c r="DO33" s="12">
        <f>IF('Données projet'!$A$166&gt;35,DO32+DN33-DW32,IF(A33&lt;'Données projet'!$A$166,$DL$205^A33,IF(A33='Données projet'!$A$166,'Données projet'!$B$166,DO32+DN33-DW32)))</f>
        <v>294</v>
      </c>
      <c r="DP33" s="17">
        <f>DO33*VLOOKUP('Données projet'!$B$14,Paramètres!$A$1:$I$89,3,0)*VLOOKUP('Données projet'!$B$14,Paramètres!$A$1:$I$89,5,0)</f>
        <v>266.01119999999997</v>
      </c>
      <c r="DQ33" s="13">
        <f t="shared" si="43"/>
        <v>64.00201337612566</v>
      </c>
      <c r="DR33" s="20">
        <f t="shared" si="16"/>
        <v>574.77301329675208</v>
      </c>
      <c r="DS33" s="59">
        <f t="shared" si="17"/>
        <v>835.57080158991062</v>
      </c>
      <c r="DT33" s="59">
        <f ca="1">AVERAGE(OFFSET($DS$3,0,0,'Données projet'!$E$14+1,1))-AVERAGE(OFFSET($H$3,0,0,'Données projet'!$E$14+1,1))</f>
        <v>442.34161202733173</v>
      </c>
      <c r="DU33" s="59">
        <f t="shared" si="44"/>
        <v>622.90413492324399</v>
      </c>
      <c r="DV33" s="15">
        <f>IF(ISNA(VLOOKUP(A33,'Données projet'!$A$165:$I$185,3,0)),0,VLOOKUP(A33,'Données projet'!$A$165:$I$185,3,0))</f>
        <v>6</v>
      </c>
      <c r="DW33" s="15">
        <f>IF(ISNA(VLOOKUP(A33,'Données projet'!$A$165:$I$185,4,0)),0,VLOOKUP(A33,'Données projet'!$A$165:$I$185,4,0))</f>
        <v>14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75.346153849999993</v>
      </c>
      <c r="EH33" s="12">
        <f>VLOOKUP(A33,'Données projet'!$A$191:$I$211,9,0)</f>
        <v>2.5115384616666665</v>
      </c>
      <c r="EI33" s="12">
        <f t="array" ref="EI33">INDEX(EH:EH,MIN(IF(ISNUMBER(EH33:EH229),ROW(EH33:EH229),"")))</f>
        <v>2.5115384616666665</v>
      </c>
      <c r="EJ33" s="12">
        <f>IF('Données projet'!$A$192&gt;35,EJ32+EI33-ER32,IF(A33&lt;'Données projet'!$A$192,$EG$205^A33,IF(A33='Données projet'!$A$192,'Données projet'!$B$192,EJ32+EI33-ER32)))</f>
        <v>75.346153849999993</v>
      </c>
      <c r="EK33" s="17">
        <f>EJ33*VLOOKUP('Données projet'!$B$15,Paramètres!$A$1:$I$89,3,0)*VLOOKUP('Données projet'!$B$15,Paramètres!$A$1:$I$89,5,0)</f>
        <v>82.278000004199995</v>
      </c>
      <c r="EL33" s="13">
        <f t="shared" si="45"/>
        <v>22.693253551666679</v>
      </c>
      <c r="EM33" s="20">
        <f t="shared" si="19"/>
        <v>182.82493327646776</v>
      </c>
      <c r="EN33" s="59">
        <f t="shared" si="20"/>
        <v>443.62272156962626</v>
      </c>
      <c r="EO33" s="59">
        <f ca="1">AVERAGE(OFFSET($EN$3,0,0,'Données projet'!$E$15+1,1))-AVERAGE(OFFSET($H$3,0,0,'Données projet'!$E$15+1,1))</f>
        <v>767.9449852393318</v>
      </c>
      <c r="EP33" s="59">
        <f t="shared" si="46"/>
        <v>230.95605490295961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61.126669534497772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3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11</v>
      </c>
      <c r="H34" s="66">
        <f t="shared" si="1"/>
        <v>212.66666666666666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188.98184340090461</v>
      </c>
      <c r="T34" s="59">
        <f t="shared" si="34"/>
        <v>450.74604661797798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16.154230774999998</v>
      </c>
      <c r="AI34" s="13">
        <f>IF('Données projet'!$A$62&gt;35,AI33+AH34-AQ33,IF(A34&lt;'Données projet'!$A$62,$AF$205^A34,IF(A34='Données projet'!$A$62,'Données projet'!$B$62,AI33+AH34-AQ33)))</f>
        <v>124.577307675</v>
      </c>
      <c r="AJ34" s="13">
        <f>AI34*VLOOKUP('Données projet'!$B$10,Paramètres!$A$1:$I$89,3,0)*VLOOKUP('Données projet'!$B$10,Paramètres!$A$1:$I$89,5,0)</f>
        <v>112.71754798433999</v>
      </c>
      <c r="AK34" s="13">
        <f t="shared" si="35"/>
        <v>29.97034782116954</v>
      </c>
      <c r="AL34" s="20">
        <f t="shared" si="4"/>
        <v>248.51475186126243</v>
      </c>
      <c r="AM34" s="59">
        <f t="shared" si="5"/>
        <v>509.87695912228628</v>
      </c>
      <c r="AN34" s="59">
        <f ca="1">AVERAGE(OFFSET($AM$3,0,0,'Données projet'!$E$10+1,1))-AVERAGE(OFFSET($H$3,0,0,'Données projet'!$E$10+1,1))</f>
        <v>725.60981534362895</v>
      </c>
      <c r="AO34" s="59">
        <f t="shared" si="36"/>
        <v>265.16078167969272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3.2100000000000009</v>
      </c>
      <c r="BD34" s="12">
        <f>IF('Données projet'!$A$88&gt;35,BD33+BC34-BL33,IF(A34&lt;'Données projet'!$A$88,$BA$205^A34,IF(A34='Données projet'!$A$88,'Données projet'!$B$88,BD33+BC34-BL33)))</f>
        <v>71.010000000000048</v>
      </c>
      <c r="BE34" s="13">
        <f>BD34*VLOOKUP('Données projet'!$B$11,Paramètres!$A$1:$I$89,3,0)*VLOOKUP('Données projet'!$B$11,Paramètres!$A$1:$I$89,5,0)</f>
        <v>81.803520000000049</v>
      </c>
      <c r="BF34" s="13">
        <f t="shared" si="37"/>
        <v>22.577580361973734</v>
      </c>
      <c r="BG34" s="20">
        <f t="shared" si="7"/>
        <v>181.79708313043764</v>
      </c>
      <c r="BH34" s="59">
        <f t="shared" si="8"/>
        <v>443.15929039146147</v>
      </c>
      <c r="BI34" s="59">
        <f ca="1">AVERAGE(OFFSET($BH$3,0,0,'Données projet'!$E$11+1,1))-AVERAGE(OFFSET($H$3,0,0,'Données projet'!$E$11+1,1))</f>
        <v>332.93090933713466</v>
      </c>
      <c r="BJ34" s="59">
        <f t="shared" si="38"/>
        <v>251.83579649532973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6.764799464830757</v>
      </c>
      <c r="BR34" s="21">
        <f>EXP(-LN(2)/2)*BR33+(1-EXP(-LN(2)/2))/(LN(2)/2)*BL34*BO34*VLOOKUP('Données projet'!$B$11,Paramètres!$A$1:$I$89,3,0)*0.475*44/12</f>
        <v>1.9026976484902063E-3</v>
      </c>
      <c r="BS34" s="22">
        <f t="shared" si="9"/>
        <v>6.7667021624792474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8.0511538458333352</v>
      </c>
      <c r="BY34" s="12">
        <f>IF('Données projet'!$A$114&gt;35,BY33+BX34-CG33,IF(A34&lt;'Données projet'!$A$114,$BV$205^A34,IF(A34='Données projet'!$A$114,'Données projet'!$B$114,BY33+BX34-CG33)))</f>
        <v>83.397307695833334</v>
      </c>
      <c r="BZ34" s="13">
        <f>BY34*VLOOKUP('Données projet'!$B$12,Paramètres!$A$1:$I$89,3,0)*VLOOKUP('Données projet'!$B$12,Paramètres!$A$1:$I$89,5,0)</f>
        <v>94.972854004015005</v>
      </c>
      <c r="CA34" s="13">
        <f t="shared" si="39"/>
        <v>25.760777906150501</v>
      </c>
      <c r="CB34" s="20">
        <f t="shared" si="10"/>
        <v>210.27774224353826</v>
      </c>
      <c r="CC34" s="59">
        <f t="shared" si="11"/>
        <v>471.63994950456208</v>
      </c>
      <c r="CD34" s="59">
        <f ca="1">AVERAGE(OFFSET($CC$3,0,0,'Données projet'!$E$12+1,1))-AVERAGE(OFFSET($H$3,0,0,'Données projet'!$E$12+1,1))</f>
        <v>797.57191672067393</v>
      </c>
      <c r="CE34" s="59">
        <f t="shared" si="40"/>
        <v>238.59056544987126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>
        <f>CT34*VLOOKUP('Données projet'!$B$13,Paramètres!$A$1:$I$89,3,0)*VLOOKUP('Données projet'!$B$13,Paramètres!$A$1:$I$89,5,0)</f>
        <v>0</v>
      </c>
      <c r="CV34" s="13" t="e">
        <f t="shared" si="41"/>
        <v>#NUM!</v>
      </c>
      <c r="CW34" s="20" t="e">
        <f t="shared" si="13"/>
        <v>#NUM!</v>
      </c>
      <c r="CX34" s="59" t="e">
        <f t="shared" si="14"/>
        <v>#NUM!</v>
      </c>
      <c r="CY34" s="59">
        <f ca="1">AVERAGE(OFFSET($CX$3,0,0,'Données projet'!$E$13+1,1))-AVERAGE(OFFSET($H$3,0,0,'Données projet'!$E$13+1,1))</f>
        <v>188.98184340090461</v>
      </c>
      <c r="CZ34" s="59">
        <f t="shared" si="42"/>
        <v>450.74604661797798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132.75336430096419</v>
      </c>
      <c r="DH34" s="21">
        <f>EXP(-LN(2)/2)*DH33+(1-EXP(-LN(2)/2))/(LN(2)/2)*DB34*DE34*VLOOKUP('Données projet'!$B$13,Paramètres!$A$1:$I$89,3,0)*0.475*44/12</f>
        <v>3.1792939340156819E-2</v>
      </c>
      <c r="DI34" s="22">
        <f t="shared" si="15"/>
        <v>132.78515724030436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8.6</v>
      </c>
      <c r="DO34" s="12">
        <f>IF('Données projet'!$A$166&gt;35,DO33+DN34-DW33,IF(A34&lt;'Données projet'!$A$166,$DL$205^A34,IF(A34='Données projet'!$A$166,'Données projet'!$B$166,DO33+DN34-DW33)))</f>
        <v>288.60000000000002</v>
      </c>
      <c r="DP34" s="17">
        <f>DO34*VLOOKUP('Données projet'!$B$14,Paramètres!$A$1:$I$89,3,0)*VLOOKUP('Données projet'!$B$14,Paramètres!$A$1:$I$89,5,0)</f>
        <v>261.12528000000003</v>
      </c>
      <c r="DQ34" s="13">
        <f t="shared" si="43"/>
        <v>62.962181856353716</v>
      </c>
      <c r="DR34" s="20">
        <f t="shared" si="16"/>
        <v>564.45232939981599</v>
      </c>
      <c r="DS34" s="59">
        <f t="shared" si="17"/>
        <v>825.81453666083985</v>
      </c>
      <c r="DT34" s="59">
        <f ca="1">AVERAGE(OFFSET($DS$3,0,0,'Données projet'!$E$14+1,1))-AVERAGE(OFFSET($H$3,0,0,'Données projet'!$E$14+1,1))</f>
        <v>442.34161202733173</v>
      </c>
      <c r="DU34" s="59">
        <f t="shared" si="44"/>
        <v>622.90413492324399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8.0511538458333352</v>
      </c>
      <c r="EJ34" s="12">
        <f>IF('Données projet'!$A$192&gt;35,EJ33+EI34-ER33,IF(A34&lt;'Données projet'!$A$192,$EG$205^A34,IF(A34='Données projet'!$A$192,'Données projet'!$B$192,EJ33+EI34-ER33)))</f>
        <v>83.397307695833334</v>
      </c>
      <c r="EK34" s="17">
        <f>EJ34*VLOOKUP('Données projet'!$B$15,Paramètres!$A$1:$I$89,3,0)*VLOOKUP('Données projet'!$B$15,Paramètres!$A$1:$I$89,5,0)</f>
        <v>91.069860003849996</v>
      </c>
      <c r="EL34" s="13">
        <f t="shared" si="45"/>
        <v>24.823071737041204</v>
      </c>
      <c r="EM34" s="20">
        <f t="shared" si="19"/>
        <v>201.84685611538552</v>
      </c>
      <c r="EN34" s="59">
        <f t="shared" si="20"/>
        <v>463.2090633764094</v>
      </c>
      <c r="EO34" s="59">
        <f ca="1">AVERAGE(OFFSET($EN$3,0,0,'Données projet'!$E$15+1,1))-AVERAGE(OFFSET($H$3,0,0,'Données projet'!$E$15+1,1))</f>
        <v>767.9449852393318</v>
      </c>
      <c r="EP34" s="59">
        <f t="shared" si="46"/>
        <v>230.95605490295961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61.280601980279229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3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11</v>
      </c>
      <c r="H35" s="66">
        <f t="shared" si="1"/>
        <v>212.66666666666666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188.98184340090461</v>
      </c>
      <c r="T35" s="59">
        <f t="shared" si="34"/>
        <v>450.74604661797798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16.154230774999998</v>
      </c>
      <c r="AI35" s="13">
        <f>IF('Données projet'!$A$62&gt;35,AI34+AH35-AQ34,IF(A35&lt;'Données projet'!$A$62,$AF$205^A35,IF(A35='Données projet'!$A$62,'Données projet'!$B$62,AI34+AH35-AQ34)))</f>
        <v>140.73153844999999</v>
      </c>
      <c r="AJ35" s="13">
        <f>AI35*VLOOKUP('Données projet'!$B$10,Paramètres!$A$1:$I$89,3,0)*VLOOKUP('Données projet'!$B$10,Paramètres!$A$1:$I$89,5,0)</f>
        <v>127.33389598955998</v>
      </c>
      <c r="AK35" s="13">
        <f t="shared" si="35"/>
        <v>33.379559976962113</v>
      </c>
      <c r="AL35" s="20">
        <f t="shared" si="4"/>
        <v>279.90926914169262</v>
      </c>
      <c r="AM35" s="59">
        <f t="shared" si="5"/>
        <v>541.8261039633411</v>
      </c>
      <c r="AN35" s="59">
        <f ca="1">AVERAGE(OFFSET($AM$3,0,0,'Données projet'!$E$10+1,1))-AVERAGE(OFFSET($H$3,0,0,'Données projet'!$E$10+1,1))</f>
        <v>725.60981534362895</v>
      </c>
      <c r="AO35" s="59">
        <f t="shared" si="36"/>
        <v>265.16078167969272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3.2100000000000009</v>
      </c>
      <c r="BD35" s="12">
        <f>IF('Données projet'!$A$88&gt;35,BD34+BC35-BL34,IF(A35&lt;'Données projet'!$A$88,$BA$205^A35,IF(A35='Données projet'!$A$88,'Données projet'!$B$88,BD34+BC35-BL34)))</f>
        <v>74.220000000000056</v>
      </c>
      <c r="BE35" s="13">
        <f>BD35*VLOOKUP('Données projet'!$B$11,Paramètres!$A$1:$I$89,3,0)*VLOOKUP('Données projet'!$B$11,Paramètres!$A$1:$I$89,5,0)</f>
        <v>85.501440000000059</v>
      </c>
      <c r="BF35" s="13">
        <f t="shared" si="37"/>
        <v>23.47706415940679</v>
      </c>
      <c r="BG35" s="20">
        <f t="shared" si="7"/>
        <v>189.80422807763361</v>
      </c>
      <c r="BH35" s="59">
        <f t="shared" si="8"/>
        <v>451.72106289928206</v>
      </c>
      <c r="BI35" s="59">
        <f ca="1">AVERAGE(OFFSET($BH$3,0,0,'Données projet'!$E$11+1,1))-AVERAGE(OFFSET($H$3,0,0,'Données projet'!$E$11+1,1))</f>
        <v>332.93090933713466</v>
      </c>
      <c r="BJ35" s="59">
        <f t="shared" si="38"/>
        <v>251.83579649532973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6.5798156677196173</v>
      </c>
      <c r="BR35" s="21">
        <f>EXP(-LN(2)/2)*BR34+(1-EXP(-LN(2)/2))/(LN(2)/2)*BL35*BO35*VLOOKUP('Données projet'!$B$11,Paramètres!$A$1:$I$89,3,0)*0.475*44/12</f>
        <v>1.345410409795123E-3</v>
      </c>
      <c r="BS35" s="22">
        <f t="shared" si="9"/>
        <v>6.5811610781294121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8.0511538458333352</v>
      </c>
      <c r="BY35" s="12">
        <f>IF('Données projet'!$A$114&gt;35,BY34+BX35-CG34,IF(A35&lt;'Données projet'!$A$114,$BV$205^A35,IF(A35='Données projet'!$A$114,'Données projet'!$B$114,BY34+BX35-CG34)))</f>
        <v>91.448461541666674</v>
      </c>
      <c r="BZ35" s="13">
        <f>BY35*VLOOKUP('Données projet'!$B$12,Paramètres!$A$1:$I$89,3,0)*VLOOKUP('Données projet'!$B$12,Paramètres!$A$1:$I$89,5,0)</f>
        <v>104.14150800365</v>
      </c>
      <c r="CA35" s="13">
        <f t="shared" si="39"/>
        <v>27.946312393158635</v>
      </c>
      <c r="CB35" s="20">
        <f t="shared" si="10"/>
        <v>230.05295385777504</v>
      </c>
      <c r="CC35" s="59">
        <f t="shared" si="11"/>
        <v>491.96978867942352</v>
      </c>
      <c r="CD35" s="59">
        <f ca="1">AVERAGE(OFFSET($CC$3,0,0,'Données projet'!$E$12+1,1))-AVERAGE(OFFSET($H$3,0,0,'Données projet'!$E$12+1,1))</f>
        <v>797.57191672067393</v>
      </c>
      <c r="CE35" s="59">
        <f t="shared" si="40"/>
        <v>238.59056544987126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>
        <f>CT35*VLOOKUP('Données projet'!$B$13,Paramètres!$A$1:$I$89,3,0)*VLOOKUP('Données projet'!$B$13,Paramètres!$A$1:$I$89,5,0)</f>
        <v>0</v>
      </c>
      <c r="CV35" s="13" t="e">
        <f t="shared" si="41"/>
        <v>#NUM!</v>
      </c>
      <c r="CW35" s="20" t="e">
        <f t="shared" si="13"/>
        <v>#NUM!</v>
      </c>
      <c r="CX35" s="59" t="e">
        <f t="shared" si="14"/>
        <v>#NUM!</v>
      </c>
      <c r="CY35" s="59">
        <f ca="1">AVERAGE(OFFSET($CX$3,0,0,'Données projet'!$E$13+1,1))-AVERAGE(OFFSET($H$3,0,0,'Données projet'!$E$13+1,1))</f>
        <v>188.98184340090461</v>
      </c>
      <c r="CZ35" s="59">
        <f t="shared" si="42"/>
        <v>450.74604661797798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129.12321657295831</v>
      </c>
      <c r="DH35" s="21">
        <f>EXP(-LN(2)/2)*DH34+(1-EXP(-LN(2)/2))/(LN(2)/2)*DB35*DE35*VLOOKUP('Données projet'!$B$13,Paramètres!$A$1:$I$89,3,0)*0.475*44/12</f>
        <v>2.2481003001277446E-2</v>
      </c>
      <c r="DI35" s="22">
        <f t="shared" si="15"/>
        <v>129.14569757595959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8.6</v>
      </c>
      <c r="DO35" s="12">
        <f>IF('Données projet'!$A$166&gt;35,DO34+DN35-DW34,IF(A35&lt;'Données projet'!$A$166,$DL$205^A35,IF(A35='Données projet'!$A$166,'Données projet'!$B$166,DO34+DN35-DW34)))</f>
        <v>297.20000000000005</v>
      </c>
      <c r="DP35" s="17">
        <f>DO35*VLOOKUP('Données projet'!$B$14,Paramètres!$A$1:$I$89,3,0)*VLOOKUP('Données projet'!$B$14,Paramètres!$A$1:$I$89,5,0)</f>
        <v>268.90656000000001</v>
      </c>
      <c r="DQ35" s="13">
        <f t="shared" si="43"/>
        <v>64.617158945843769</v>
      </c>
      <c r="DR35" s="20">
        <f t="shared" si="16"/>
        <v>580.88714383067793</v>
      </c>
      <c r="DS35" s="59">
        <f t="shared" si="17"/>
        <v>842.80397865232635</v>
      </c>
      <c r="DT35" s="59">
        <f ca="1">AVERAGE(OFFSET($DS$3,0,0,'Données projet'!$E$14+1,1))-AVERAGE(OFFSET($H$3,0,0,'Données projet'!$E$14+1,1))</f>
        <v>442.34161202733173</v>
      </c>
      <c r="DU35" s="59">
        <f t="shared" si="44"/>
        <v>622.90413492324399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8.0511538458333352</v>
      </c>
      <c r="EJ35" s="12">
        <f>IF('Données projet'!$A$192&gt;35,EJ34+EI35-ER34,IF(A35&lt;'Données projet'!$A$192,$EG$205^A35,IF(A35='Données projet'!$A$192,'Données projet'!$B$192,EJ34+EI35-ER34)))</f>
        <v>91.448461541666674</v>
      </c>
      <c r="EK35" s="17">
        <f>EJ35*VLOOKUP('Données projet'!$B$15,Paramètres!$A$1:$I$89,3,0)*VLOOKUP('Données projet'!$B$15,Paramètres!$A$1:$I$89,5,0)</f>
        <v>99.861720003500011</v>
      </c>
      <c r="EL35" s="13">
        <f t="shared" si="45"/>
        <v>26.929051593411444</v>
      </c>
      <c r="EM35" s="20">
        <f t="shared" si="19"/>
        <v>220.82726053128741</v>
      </c>
      <c r="EN35" s="59">
        <f t="shared" si="20"/>
        <v>482.74409535293591</v>
      </c>
      <c r="EO35" s="59">
        <f ca="1">AVERAGE(OFFSET($EN$3,0,0,'Données projet'!$E$15+1,1))-AVERAGE(OFFSET($H$3,0,0,'Données projet'!$E$15+1,1))</f>
        <v>767.9449852393318</v>
      </c>
      <c r="EP35" s="59">
        <f t="shared" si="46"/>
        <v>230.95605490295961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61.431864042267776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3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11</v>
      </c>
      <c r="H36" s="66">
        <f t="shared" si="1"/>
        <v>212.66666666666666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188.98184340090461</v>
      </c>
      <c r="T36" s="59">
        <f t="shared" si="34"/>
        <v>450.74604661797798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16.154230774999998</v>
      </c>
      <c r="AI36" s="13">
        <f>IF('Données projet'!$A$62&gt;35,AI35+AH36-AQ35,IF(A36&lt;'Données projet'!$A$62,$AF$205^A36,IF(A36='Données projet'!$A$62,'Données projet'!$B$62,AI35+AH36-AQ35)))</f>
        <v>156.88576922499999</v>
      </c>
      <c r="AJ36" s="13">
        <f>AI36*VLOOKUP('Données projet'!$B$10,Paramètres!$A$1:$I$89,3,0)*VLOOKUP('Données projet'!$B$10,Paramètres!$A$1:$I$89,5,0)</f>
        <v>141.95024399477998</v>
      </c>
      <c r="AK36" s="13">
        <f t="shared" si="35"/>
        <v>36.743418652910712</v>
      </c>
      <c r="AL36" s="20">
        <f t="shared" si="4"/>
        <v>311.22479577806126</v>
      </c>
      <c r="AM36" s="59">
        <f t="shared" si="5"/>
        <v>573.68663661211906</v>
      </c>
      <c r="AN36" s="59">
        <f ca="1">AVERAGE(OFFSET($AM$3,0,0,'Données projet'!$E$10+1,1))-AVERAGE(OFFSET($H$3,0,0,'Données projet'!$E$10+1,1))</f>
        <v>725.60981534362895</v>
      </c>
      <c r="AO36" s="59">
        <f t="shared" si="36"/>
        <v>265.16078167969272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3.2100000000000009</v>
      </c>
      <c r="BD36" s="12">
        <f>IF('Données projet'!$A$88&gt;35,BD35+BC36-BL35,IF(A36&lt;'Données projet'!$A$88,$BA$205^A36,IF(A36='Données projet'!$A$88,'Données projet'!$B$88,BD35+BC36-BL35)))</f>
        <v>77.430000000000064</v>
      </c>
      <c r="BE36" s="13">
        <f>BD36*VLOOKUP('Données projet'!$B$11,Paramètres!$A$1:$I$89,3,0)*VLOOKUP('Données projet'!$B$11,Paramètres!$A$1:$I$89,5,0)</f>
        <v>89.19936000000007</v>
      </c>
      <c r="BF36" s="13">
        <f t="shared" si="37"/>
        <v>24.372029598306398</v>
      </c>
      <c r="BG36" s="20">
        <f t="shared" si="7"/>
        <v>197.80350355038377</v>
      </c>
      <c r="BH36" s="59">
        <f t="shared" si="8"/>
        <v>460.26534438444156</v>
      </c>
      <c r="BI36" s="59">
        <f ca="1">AVERAGE(OFFSET($BH$3,0,0,'Données projet'!$E$11+1,1))-AVERAGE(OFFSET($H$3,0,0,'Données projet'!$E$11+1,1))</f>
        <v>332.93090933713466</v>
      </c>
      <c r="BJ36" s="59">
        <f t="shared" si="38"/>
        <v>251.83579649532973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6.3998902622683564</v>
      </c>
      <c r="BR36" s="21">
        <f>EXP(-LN(2)/2)*BR35+(1-EXP(-LN(2)/2))/(LN(2)/2)*BL36*BO36*VLOOKUP('Données projet'!$B$11,Paramètres!$A$1:$I$89,3,0)*0.475*44/12</f>
        <v>9.5134882424510335E-4</v>
      </c>
      <c r="BS36" s="22">
        <f t="shared" si="9"/>
        <v>6.4008416110926012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8.0511538458333352</v>
      </c>
      <c r="BY36" s="12">
        <f>IF('Données projet'!$A$114&gt;35,BY35+BX36-CG35,IF(A36&lt;'Données projet'!$A$114,$BV$205^A36,IF(A36='Données projet'!$A$114,'Données projet'!$B$114,BY35+BX36-CG35)))</f>
        <v>99.499615387500015</v>
      </c>
      <c r="BZ36" s="13">
        <f>BY36*VLOOKUP('Données projet'!$B$12,Paramètres!$A$1:$I$89,3,0)*VLOOKUP('Données projet'!$B$12,Paramètres!$A$1:$I$89,5,0)</f>
        <v>113.31016200328503</v>
      </c>
      <c r="CA36" s="13">
        <f t="shared" si="39"/>
        <v>30.109533717024629</v>
      </c>
      <c r="CB36" s="20">
        <f t="shared" si="10"/>
        <v>249.78930337953932</v>
      </c>
      <c r="CC36" s="59">
        <f t="shared" si="11"/>
        <v>512.25114421359717</v>
      </c>
      <c r="CD36" s="59">
        <f ca="1">AVERAGE(OFFSET($CC$3,0,0,'Données projet'!$E$12+1,1))-AVERAGE(OFFSET($H$3,0,0,'Données projet'!$E$12+1,1))</f>
        <v>797.57191672067393</v>
      </c>
      <c r="CE36" s="59">
        <f t="shared" si="40"/>
        <v>238.59056544987126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>
        <f>CT36*VLOOKUP('Données projet'!$B$13,Paramètres!$A$1:$I$89,3,0)*VLOOKUP('Données projet'!$B$13,Paramètres!$A$1:$I$89,5,0)</f>
        <v>0</v>
      </c>
      <c r="CV36" s="13" t="e">
        <f t="shared" si="41"/>
        <v>#NUM!</v>
      </c>
      <c r="CW36" s="20" t="e">
        <f t="shared" si="13"/>
        <v>#NUM!</v>
      </c>
      <c r="CX36" s="59" t="e">
        <f t="shared" si="14"/>
        <v>#NUM!</v>
      </c>
      <c r="CY36" s="59">
        <f ca="1">AVERAGE(OFFSET($CX$3,0,0,'Données projet'!$E$13+1,1))-AVERAGE(OFFSET($H$3,0,0,'Données projet'!$E$13+1,1))</f>
        <v>188.98184340090461</v>
      </c>
      <c r="CZ36" s="59">
        <f t="shared" si="42"/>
        <v>450.74604661797798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125.59233542547592</v>
      </c>
      <c r="DH36" s="21">
        <f>EXP(-LN(2)/2)*DH35+(1-EXP(-LN(2)/2))/(LN(2)/2)*DB36*DE36*VLOOKUP('Données projet'!$B$13,Paramètres!$A$1:$I$89,3,0)*0.475*44/12</f>
        <v>1.5896469670078409E-2</v>
      </c>
      <c r="DI36" s="22">
        <f t="shared" si="15"/>
        <v>125.60823189514601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8.6</v>
      </c>
      <c r="DO36" s="12">
        <f>IF('Données projet'!$A$166&gt;35,DO35+DN36-DW35,IF(A36&lt;'Données projet'!$A$166,$DL$205^A36,IF(A36='Données projet'!$A$166,'Données projet'!$B$166,DO35+DN36-DW35)))</f>
        <v>305.80000000000007</v>
      </c>
      <c r="DP36" s="17">
        <f>DO36*VLOOKUP('Données projet'!$B$14,Paramètres!$A$1:$I$89,3,0)*VLOOKUP('Données projet'!$B$14,Paramètres!$A$1:$I$89,5,0)</f>
        <v>276.68784000000005</v>
      </c>
      <c r="DQ36" s="13">
        <f t="shared" si="43"/>
        <v>66.266570237082931</v>
      </c>
      <c r="DR36" s="20">
        <f t="shared" si="16"/>
        <v>597.31226449625285</v>
      </c>
      <c r="DS36" s="59">
        <f t="shared" si="17"/>
        <v>859.7741053303107</v>
      </c>
      <c r="DT36" s="59">
        <f ca="1">AVERAGE(OFFSET($DS$3,0,0,'Données projet'!$E$14+1,1))-AVERAGE(OFFSET($H$3,0,0,'Données projet'!$E$14+1,1))</f>
        <v>442.34161202733173</v>
      </c>
      <c r="DU36" s="59">
        <f t="shared" si="44"/>
        <v>622.90413492324399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8.0511538458333352</v>
      </c>
      <c r="EJ36" s="12">
        <f>IF('Données projet'!$A$192&gt;35,EJ35+EI36-ER35,IF(A36&lt;'Données projet'!$A$192,$EG$205^A36,IF(A36='Données projet'!$A$192,'Données projet'!$B$192,EJ35+EI36-ER35)))</f>
        <v>99.499615387500015</v>
      </c>
      <c r="EK36" s="17">
        <f>EJ36*VLOOKUP('Données projet'!$B$15,Paramètres!$A$1:$I$89,3,0)*VLOOKUP('Données projet'!$B$15,Paramètres!$A$1:$I$89,5,0)</f>
        <v>108.65358000315001</v>
      </c>
      <c r="EL36" s="13">
        <f t="shared" si="45"/>
        <v>29.01353049777725</v>
      </c>
      <c r="EM36" s="20">
        <f t="shared" si="19"/>
        <v>239.77021745578165</v>
      </c>
      <c r="EN36" s="59">
        <f t="shared" si="20"/>
        <v>502.23205828983942</v>
      </c>
      <c r="EO36" s="59">
        <f ca="1">AVERAGE(OFFSET($EN$3,0,0,'Données projet'!$E$15+1,1))-AVERAGE(OFFSET($H$3,0,0,'Données projet'!$E$15+1,1))</f>
        <v>767.9449852393318</v>
      </c>
      <c r="EP36" s="59">
        <f t="shared" si="46"/>
        <v>230.95605490295961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61.580502045652125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3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11</v>
      </c>
      <c r="H37" s="66">
        <f t="shared" si="1"/>
        <v>212.66666666666666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188.98184340090461</v>
      </c>
      <c r="T37" s="59">
        <f t="shared" si="34"/>
        <v>450.74604661797798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173.04</v>
      </c>
      <c r="AG37" s="12">
        <f>VLOOKUP(A37,'Données projet'!$A$61:$I$81,9,0)</f>
        <v>16.154230774999998</v>
      </c>
      <c r="AH37" s="12">
        <f t="array" ref="AH37">INDEX(AG:AG,MIN(IF(ISNUMBER(AG37:AG233),ROW(AG37:AG233),"")))</f>
        <v>16.154230774999998</v>
      </c>
      <c r="AI37" s="13">
        <f>IF('Données projet'!$A$62&gt;35,AI36+AH37-AQ36,IF(A37&lt;'Données projet'!$A$62,$AF$205^A37,IF(A37='Données projet'!$A$62,'Données projet'!$B$62,AI36+AH37-AQ36)))</f>
        <v>173.04</v>
      </c>
      <c r="AJ37" s="13">
        <f>AI37*VLOOKUP('Données projet'!$B$10,Paramètres!$A$1:$I$89,3,0)*VLOOKUP('Données projet'!$B$10,Paramètres!$A$1:$I$89,5,0)</f>
        <v>156.56659199999999</v>
      </c>
      <c r="AK37" s="13">
        <f t="shared" si="35"/>
        <v>40.067125668008877</v>
      </c>
      <c r="AL37" s="20">
        <f t="shared" si="4"/>
        <v>342.47039160511548</v>
      </c>
      <c r="AM37" s="59">
        <f t="shared" si="5"/>
        <v>605.46778381571812</v>
      </c>
      <c r="AN37" s="59">
        <f ca="1">AVERAGE(OFFSET($AM$3,0,0,'Données projet'!$E$10+1,1))-AVERAGE(OFFSET($H$3,0,0,'Données projet'!$E$10+1,1))</f>
        <v>725.60981534362895</v>
      </c>
      <c r="AO37" s="59">
        <f t="shared" si="36"/>
        <v>265.16078167969272</v>
      </c>
      <c r="AP37" s="15">
        <f>IF(ISNA(VLOOKUP(A37,'Données projet'!$A$61:$I$81,3,0)),0,VLOOKUP(A37,'Données projet'!$A$61:$I$81,3,0))</f>
        <v>1</v>
      </c>
      <c r="AQ37" s="15">
        <f>IF(ISNA(VLOOKUP(A37,'Données projet'!$A$61:$I$81,4,0)),0,VLOOKUP(A37,'Données projet'!$A$61:$I$81,4,0))</f>
        <v>35.450000000000003</v>
      </c>
      <c r="AR37" s="16">
        <f>IF(ISNA(VLOOKUP(A37,'Données projet'!$A$61:$I$81,5,0)),0%,VLOOKUP(A37,'Données projet'!$A$61:$I$81,5,0)*VLOOKUP('Données projet'!$B$10,Paramètres!$A$1:$I$89,7,0))</f>
        <v>0.43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15.246999898475442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15.246999898475442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3.2100000000000009</v>
      </c>
      <c r="BD37" s="12">
        <f>IF('Données projet'!$A$88&gt;35,BD36+BC37-BL36,IF(A37&lt;'Données projet'!$A$88,$BA$205^A37,IF(A37='Données projet'!$A$88,'Données projet'!$B$88,BD36+BC37-BL36)))</f>
        <v>80.640000000000072</v>
      </c>
      <c r="BE37" s="13">
        <f>BD37*VLOOKUP('Données projet'!$B$11,Paramètres!$A$1:$I$89,3,0)*VLOOKUP('Données projet'!$B$11,Paramètres!$A$1:$I$89,5,0)</f>
        <v>92.89728000000008</v>
      </c>
      <c r="BF37" s="13">
        <f t="shared" si="37"/>
        <v>25.26268541720308</v>
      </c>
      <c r="BG37" s="20">
        <f t="shared" si="7"/>
        <v>205.79527310162882</v>
      </c>
      <c r="BH37" s="59">
        <f t="shared" si="8"/>
        <v>468.79266531223152</v>
      </c>
      <c r="BI37" s="59">
        <f ca="1">AVERAGE(OFFSET($BH$3,0,0,'Données projet'!$E$11+1,1))-AVERAGE(OFFSET($H$3,0,0,'Données projet'!$E$11+1,1))</f>
        <v>332.93090933713466</v>
      </c>
      <c r="BJ37" s="59">
        <f t="shared" si="38"/>
        <v>251.83579649532973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6.2248849264910264</v>
      </c>
      <c r="BR37" s="21">
        <f>EXP(-LN(2)/2)*BR36+(1-EXP(-LN(2)/2))/(LN(2)/2)*BL37*BO37*VLOOKUP('Données projet'!$B$11,Paramètres!$A$1:$I$89,3,0)*0.475*44/12</f>
        <v>6.727052048975616E-4</v>
      </c>
      <c r="BS37" s="22">
        <f t="shared" si="9"/>
        <v>6.2255576316959242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8.0511538458333352</v>
      </c>
      <c r="BY37" s="12">
        <f>IF('Données projet'!$A$114&gt;35,BY36+BX37-CG36,IF(A37&lt;'Données projet'!$A$114,$BV$205^A37,IF(A37='Données projet'!$A$114,'Données projet'!$B$114,BY36+BX37-CG36)))</f>
        <v>107.55076923333336</v>
      </c>
      <c r="BZ37" s="13">
        <f>BY37*VLOOKUP('Données projet'!$B$12,Paramètres!$A$1:$I$89,3,0)*VLOOKUP('Données projet'!$B$12,Paramètres!$A$1:$I$89,5,0)</f>
        <v>122.47881600292003</v>
      </c>
      <c r="CA37" s="13">
        <f t="shared" si="39"/>
        <v>32.252452646783134</v>
      </c>
      <c r="CB37" s="20">
        <f t="shared" si="10"/>
        <v>269.49029289823301</v>
      </c>
      <c r="CC37" s="59">
        <f t="shared" si="11"/>
        <v>532.48768510883565</v>
      </c>
      <c r="CD37" s="59">
        <f ca="1">AVERAGE(OFFSET($CC$3,0,0,'Données projet'!$E$12+1,1))-AVERAGE(OFFSET($H$3,0,0,'Données projet'!$E$12+1,1))</f>
        <v>797.57191672067393</v>
      </c>
      <c r="CE37" s="59">
        <f t="shared" si="40"/>
        <v>238.59056544987126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>
        <f>CT37*VLOOKUP('Données projet'!$B$13,Paramètres!$A$1:$I$89,3,0)*VLOOKUP('Données projet'!$B$13,Paramètres!$A$1:$I$89,5,0)</f>
        <v>0</v>
      </c>
      <c r="CV37" s="13" t="e">
        <f t="shared" si="41"/>
        <v>#NUM!</v>
      </c>
      <c r="CW37" s="20" t="e">
        <f t="shared" si="13"/>
        <v>#NUM!</v>
      </c>
      <c r="CX37" s="59" t="e">
        <f t="shared" si="14"/>
        <v>#NUM!</v>
      </c>
      <c r="CY37" s="59">
        <f ca="1">AVERAGE(OFFSET($CX$3,0,0,'Données projet'!$E$13+1,1))-AVERAGE(OFFSET($H$3,0,0,'Données projet'!$E$13+1,1))</f>
        <v>188.98184340090461</v>
      </c>
      <c r="CZ37" s="59">
        <f t="shared" si="42"/>
        <v>450.74604661797798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122.15800640865241</v>
      </c>
      <c r="DH37" s="21">
        <f>EXP(-LN(2)/2)*DH36+(1-EXP(-LN(2)/2))/(LN(2)/2)*DB37*DE37*VLOOKUP('Données projet'!$B$13,Paramètres!$A$1:$I$89,3,0)*0.475*44/12</f>
        <v>1.1240501500638723E-2</v>
      </c>
      <c r="DI37" s="22">
        <f t="shared" si="15"/>
        <v>122.16924691015305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8.6</v>
      </c>
      <c r="DO37" s="12">
        <f>IF('Données projet'!$A$166&gt;35,DO36+DN37-DW36,IF(A37&lt;'Données projet'!$A$166,$DL$205^A37,IF(A37='Données projet'!$A$166,'Données projet'!$B$166,DO36+DN37-DW36)))</f>
        <v>314.40000000000009</v>
      </c>
      <c r="DP37" s="17">
        <f>DO37*VLOOKUP('Données projet'!$B$14,Paramètres!$A$1:$I$89,3,0)*VLOOKUP('Données projet'!$B$14,Paramètres!$A$1:$I$89,5,0)</f>
        <v>284.46912000000003</v>
      </c>
      <c r="DQ37" s="13">
        <f t="shared" si="43"/>
        <v>67.91059023737904</v>
      </c>
      <c r="DR37" s="20">
        <f t="shared" si="16"/>
        <v>613.72799533010186</v>
      </c>
      <c r="DS37" s="59">
        <f t="shared" si="17"/>
        <v>876.72538754070456</v>
      </c>
      <c r="DT37" s="59">
        <f ca="1">AVERAGE(OFFSET($DS$3,0,0,'Données projet'!$E$14+1,1))-AVERAGE(OFFSET($H$3,0,0,'Données projet'!$E$14+1,1))</f>
        <v>442.34161202733173</v>
      </c>
      <c r="DU37" s="59">
        <f t="shared" si="44"/>
        <v>622.90413492324399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8.0511538458333352</v>
      </c>
      <c r="EJ37" s="12">
        <f>IF('Données projet'!$A$192&gt;35,EJ36+EI37-ER36,IF(A37&lt;'Données projet'!$A$192,$EG$205^A37,IF(A37='Données projet'!$A$192,'Données projet'!$B$192,EJ36+EI37-ER36)))</f>
        <v>107.55076923333336</v>
      </c>
      <c r="EK37" s="17">
        <f>EJ37*VLOOKUP('Données projet'!$B$15,Paramètres!$A$1:$I$89,3,0)*VLOOKUP('Données projet'!$B$15,Paramètres!$A$1:$I$89,5,0)</f>
        <v>117.44544000280001</v>
      </c>
      <c r="EL37" s="13">
        <f t="shared" si="45"/>
        <v>31.078446026099012</v>
      </c>
      <c r="EM37" s="20">
        <f t="shared" si="19"/>
        <v>258.67910150033248</v>
      </c>
      <c r="EN37" s="59">
        <f t="shared" si="20"/>
        <v>521.67649371093512</v>
      </c>
      <c r="EO37" s="59">
        <f ca="1">AVERAGE(OFFSET($EN$3,0,0,'Données projet'!$E$15+1,1))-AVERAGE(OFFSET($H$3,0,0,'Données projet'!$E$15+1,1))</f>
        <v>767.9449852393318</v>
      </c>
      <c r="EP37" s="59">
        <f t="shared" si="46"/>
        <v>230.95605490295961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61.726561511982553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3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11</v>
      </c>
      <c r="H38" s="66">
        <f t="shared" si="1"/>
        <v>212.66666666666666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188.98184340090461</v>
      </c>
      <c r="T38" s="59">
        <f t="shared" si="34"/>
        <v>450.74604661797798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13.802500000000002</v>
      </c>
      <c r="AI38" s="13">
        <f>IF('Données projet'!$A$62&gt;35,AI37+AH38-AQ37,IF(A38&lt;'Données projet'!$A$62,$AF$205^A38,IF(A38='Données projet'!$A$62,'Données projet'!$B$62,AI37+AH38-AQ37)))</f>
        <v>151.39249999999998</v>
      </c>
      <c r="AJ38" s="13">
        <f>AI38*VLOOKUP('Données projet'!$B$10,Paramètres!$A$1:$I$89,3,0)*VLOOKUP('Données projet'!$B$10,Paramètres!$A$1:$I$89,5,0)</f>
        <v>136.97993399999999</v>
      </c>
      <c r="AK38" s="13">
        <f t="shared" si="35"/>
        <v>35.604275117076945</v>
      </c>
      <c r="AL38" s="20">
        <f t="shared" si="4"/>
        <v>300.58416421224229</v>
      </c>
      <c r="AM38" s="59">
        <f t="shared" si="5"/>
        <v>564.10781718032035</v>
      </c>
      <c r="AN38" s="59">
        <f ca="1">AVERAGE(OFFSET($AM$3,0,0,'Données projet'!$E$10+1,1))-AVERAGE(OFFSET($H$3,0,0,'Données projet'!$E$10+1,1))</f>
        <v>725.60981534362895</v>
      </c>
      <c r="AO38" s="59">
        <f t="shared" si="36"/>
        <v>265.16078167969272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14.948015530218003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14.948015530218003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3.2100000000000009</v>
      </c>
      <c r="BD38" s="12">
        <f>IF('Données projet'!$A$88&gt;35,BD37+BC38-BL37,IF(A38&lt;'Données projet'!$A$88,$BA$205^A38,IF(A38='Données projet'!$A$88,'Données projet'!$B$88,BD37+BC38-BL37)))</f>
        <v>83.85000000000008</v>
      </c>
      <c r="BE38" s="13">
        <f>BD38*VLOOKUP('Données projet'!$B$11,Paramètres!$A$1:$I$89,3,0)*VLOOKUP('Données projet'!$B$11,Paramètres!$A$1:$I$89,5,0)</f>
        <v>96.595200000000091</v>
      </c>
      <c r="BF38" s="13">
        <f t="shared" si="37"/>
        <v>26.14922279560075</v>
      </c>
      <c r="BG38" s="20">
        <f t="shared" si="7"/>
        <v>213.77986970233812</v>
      </c>
      <c r="BH38" s="59">
        <f t="shared" si="8"/>
        <v>477.3035226704161</v>
      </c>
      <c r="BI38" s="59">
        <f ca="1">AVERAGE(OFFSET($BH$3,0,0,'Données projet'!$E$11+1,1))-AVERAGE(OFFSET($H$3,0,0,'Données projet'!$E$11+1,1))</f>
        <v>332.93090933713466</v>
      </c>
      <c r="BJ38" s="59">
        <f t="shared" si="38"/>
        <v>251.83579649532973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6.0546651208236586</v>
      </c>
      <c r="BR38" s="21">
        <f>EXP(-LN(2)/2)*BR37+(1-EXP(-LN(2)/2))/(LN(2)/2)*BL38*BO38*VLOOKUP('Données projet'!$B$11,Paramètres!$A$1:$I$89,3,0)*0.475*44/12</f>
        <v>4.7567441212255173E-4</v>
      </c>
      <c r="BS38" s="22">
        <f t="shared" si="9"/>
        <v>6.055140795235781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8.0511538458333352</v>
      </c>
      <c r="BY38" s="12">
        <f>IF('Données projet'!$A$114&gt;35,BY37+BX38-CG37,IF(A38&lt;'Données projet'!$A$114,$BV$205^A38,IF(A38='Données projet'!$A$114,'Données projet'!$B$114,BY37+BX38-CG37)))</f>
        <v>115.6019230791667</v>
      </c>
      <c r="BZ38" s="13">
        <f>BY38*VLOOKUP('Données projet'!$B$12,Paramètres!$A$1:$I$89,3,0)*VLOOKUP('Données projet'!$B$12,Paramètres!$A$1:$I$89,5,0)</f>
        <v>131.64747000255502</v>
      </c>
      <c r="CA38" s="13">
        <f t="shared" si="39"/>
        <v>34.376761818713817</v>
      </c>
      <c r="CB38" s="20">
        <f t="shared" si="10"/>
        <v>289.15887042204321</v>
      </c>
      <c r="CC38" s="59">
        <f t="shared" si="11"/>
        <v>552.68252339012122</v>
      </c>
      <c r="CD38" s="59">
        <f ca="1">AVERAGE(OFFSET($CC$3,0,0,'Données projet'!$E$12+1,1))-AVERAGE(OFFSET($H$3,0,0,'Données projet'!$E$12+1,1))</f>
        <v>797.57191672067393</v>
      </c>
      <c r="CE38" s="59">
        <f t="shared" si="40"/>
        <v>238.59056544987126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>
        <f>CT38*VLOOKUP('Données projet'!$B$13,Paramètres!$A$1:$I$89,3,0)*VLOOKUP('Données projet'!$B$13,Paramètres!$A$1:$I$89,5,0)</f>
        <v>0</v>
      </c>
      <c r="CV38" s="13" t="e">
        <f t="shared" si="41"/>
        <v>#NUM!</v>
      </c>
      <c r="CW38" s="20" t="e">
        <f t="shared" si="13"/>
        <v>#NUM!</v>
      </c>
      <c r="CX38" s="59" t="e">
        <f t="shared" si="14"/>
        <v>#NUM!</v>
      </c>
      <c r="CY38" s="59">
        <f ca="1">AVERAGE(OFFSET($CX$3,0,0,'Données projet'!$E$13+1,1))-AVERAGE(OFFSET($H$3,0,0,'Données projet'!$E$13+1,1))</f>
        <v>188.98184340090461</v>
      </c>
      <c r="CZ38" s="59">
        <f t="shared" si="42"/>
        <v>450.74604661797798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118.81758929939745</v>
      </c>
      <c r="DH38" s="21">
        <f>EXP(-LN(2)/2)*DH37+(1-EXP(-LN(2)/2))/(LN(2)/2)*DB38*DE38*VLOOKUP('Données projet'!$B$13,Paramètres!$A$1:$I$89,3,0)*0.475*44/12</f>
        <v>7.9482348350392047E-3</v>
      </c>
      <c r="DI38" s="22">
        <f t="shared" si="15"/>
        <v>118.8255375342325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>
        <f>VLOOKUP(A38,'Données projet'!$A$165:$I$185,2,0)</f>
        <v>323</v>
      </c>
      <c r="DM38" s="12">
        <f>VLOOKUP(A38,'Données projet'!$A$165:$I$185,9,0)</f>
        <v>8.6</v>
      </c>
      <c r="DN38" s="12">
        <f t="array" ref="DN38">INDEX(DM:DM,MIN(IF(ISNUMBER(DM38:DM234),ROW(DM38:DM234),"")))</f>
        <v>8.6</v>
      </c>
      <c r="DO38" s="12">
        <f>IF('Données projet'!$A$166&gt;35,DO37+DN38-DW37,IF(A38&lt;'Données projet'!$A$166,$DL$205^A38,IF(A38='Données projet'!$A$166,'Données projet'!$B$166,DO37+DN38-DW37)))</f>
        <v>323.00000000000011</v>
      </c>
      <c r="DP38" s="17">
        <f>DO38*VLOOKUP('Données projet'!$B$14,Paramètres!$A$1:$I$89,3,0)*VLOOKUP('Données projet'!$B$14,Paramètres!$A$1:$I$89,5,0)</f>
        <v>292.25040000000013</v>
      </c>
      <c r="DQ38" s="13">
        <f t="shared" si="43"/>
        <v>69.549383363839993</v>
      </c>
      <c r="DR38" s="20">
        <f t="shared" si="16"/>
        <v>630.13462269202148</v>
      </c>
      <c r="DS38" s="59">
        <f t="shared" si="17"/>
        <v>893.65827566009943</v>
      </c>
      <c r="DT38" s="59">
        <f ca="1">AVERAGE(OFFSET($DS$3,0,0,'Données projet'!$E$14+1,1))-AVERAGE(OFFSET($H$3,0,0,'Données projet'!$E$14+1,1))</f>
        <v>442.34161202733173</v>
      </c>
      <c r="DU38" s="59">
        <f t="shared" si="44"/>
        <v>622.90413492324399</v>
      </c>
      <c r="DV38" s="15">
        <f>IF(ISNA(VLOOKUP(A38,'Données projet'!$A$165:$I$185,3,0)),0,VLOOKUP(A38,'Données projet'!$A$165:$I$185,3,0))</f>
        <v>7</v>
      </c>
      <c r="DW38" s="15">
        <f>IF(ISNA(VLOOKUP(A38,'Données projet'!$A$165:$I$185,4,0)),0,VLOOKUP(A38,'Données projet'!$A$165:$I$185,4,0))</f>
        <v>11</v>
      </c>
      <c r="DX38" s="16">
        <f>IF(ISNA(VLOOKUP(A38,'Données projet'!$A$165:$I$185,5,0)),0%,VLOOKUP(A38,'Données projet'!$A$165:$I$185,5,0)*VLOOKUP('Données projet'!$B$14,Paramètres!$A$1:$I$89,7,0))</f>
        <v>0.3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3.3007576780246635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3.3007576780246635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8.0511538458333352</v>
      </c>
      <c r="EJ38" s="12">
        <f>IF('Données projet'!$A$192&gt;35,EJ37+EI38-ER37,IF(A38&lt;'Données projet'!$A$192,$EG$205^A38,IF(A38='Données projet'!$A$192,'Données projet'!$B$192,EJ37+EI38-ER37)))</f>
        <v>115.6019230791667</v>
      </c>
      <c r="EK38" s="17">
        <f>EJ38*VLOOKUP('Données projet'!$B$15,Paramètres!$A$1:$I$89,3,0)*VLOOKUP('Données projet'!$B$15,Paramètres!$A$1:$I$89,5,0)</f>
        <v>126.23730000245003</v>
      </c>
      <c r="EL38" s="13">
        <f t="shared" si="45"/>
        <v>33.125429201785664</v>
      </c>
      <c r="EM38" s="20">
        <f t="shared" si="19"/>
        <v>277.5567533640438</v>
      </c>
      <c r="EN38" s="59">
        <f t="shared" si="20"/>
        <v>541.08040633212181</v>
      </c>
      <c r="EO38" s="59">
        <f ca="1">AVERAGE(OFFSET($EN$3,0,0,'Données projet'!$E$15+1,1))-AVERAGE(OFFSET($H$3,0,0,'Données projet'!$E$15+1,1))</f>
        <v>767.9449852393318</v>
      </c>
      <c r="EP38" s="59">
        <f t="shared" si="46"/>
        <v>230.95605490295961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61.870087173112189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3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11</v>
      </c>
      <c r="H39" s="66">
        <f t="shared" si="1"/>
        <v>212.66666666666666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188.98184340090461</v>
      </c>
      <c r="T39" s="59">
        <f t="shared" si="34"/>
        <v>450.74604661797798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13.802500000000002</v>
      </c>
      <c r="AI39" s="13">
        <f>IF('Données projet'!$A$62&gt;35,AI38+AH39-AQ38,IF(A39&lt;'Données projet'!$A$62,$AF$205^A39,IF(A39='Données projet'!$A$62,'Données projet'!$B$62,AI38+AH39-AQ38)))</f>
        <v>165.19499999999999</v>
      </c>
      <c r="AJ39" s="13">
        <f>AI39*VLOOKUP('Données projet'!$B$10,Paramètres!$A$1:$I$89,3,0)*VLOOKUP('Données projet'!$B$10,Paramètres!$A$1:$I$89,5,0)</f>
        <v>149.468436</v>
      </c>
      <c r="AK39" s="13">
        <f t="shared" si="35"/>
        <v>38.457760846909196</v>
      </c>
      <c r="AL39" s="20">
        <f t="shared" si="4"/>
        <v>327.30479284170019</v>
      </c>
      <c r="AM39" s="59">
        <f t="shared" si="5"/>
        <v>591.34557711965408</v>
      </c>
      <c r="AN39" s="59">
        <f ca="1">AVERAGE(OFFSET($AM$3,0,0,'Données projet'!$E$10+1,1))-AVERAGE(OFFSET($H$3,0,0,'Données projet'!$E$10+1,1))</f>
        <v>725.60981534362895</v>
      </c>
      <c r="AO39" s="59">
        <f t="shared" si="36"/>
        <v>265.16078167969272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14.654894063059634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14.654894063059634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3.2100000000000009</v>
      </c>
      <c r="BD39" s="12">
        <f>IF('Données projet'!$A$88&gt;35,BD38+BC39-BL38,IF(A39&lt;'Données projet'!$A$88,$BA$205^A39,IF(A39='Données projet'!$A$88,'Données projet'!$B$88,BD38+BC39-BL38)))</f>
        <v>87.060000000000088</v>
      </c>
      <c r="BE39" s="13">
        <f>BD39*VLOOKUP('Données projet'!$B$11,Paramètres!$A$1:$I$89,3,0)*VLOOKUP('Données projet'!$B$11,Paramètres!$A$1:$I$89,5,0)</f>
        <v>100.29312000000009</v>
      </c>
      <c r="BF39" s="13">
        <f t="shared" si="37"/>
        <v>27.031817446285384</v>
      </c>
      <c r="BG39" s="20">
        <f t="shared" si="7"/>
        <v>221.75759938561384</v>
      </c>
      <c r="BH39" s="59">
        <f t="shared" si="8"/>
        <v>485.79838366356779</v>
      </c>
      <c r="BI39" s="59">
        <f ca="1">AVERAGE(OFFSET($BH$3,0,0,'Données projet'!$E$11+1,1))-AVERAGE(OFFSET($H$3,0,0,'Données projet'!$E$11+1,1))</f>
        <v>332.93090933713466</v>
      </c>
      <c r="BJ39" s="59">
        <f t="shared" si="38"/>
        <v>251.83579649532973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5.8890999846937353</v>
      </c>
      <c r="BR39" s="21">
        <f>EXP(-LN(2)/2)*BR38+(1-EXP(-LN(2)/2))/(LN(2)/2)*BL39*BO39*VLOOKUP('Données projet'!$B$11,Paramètres!$A$1:$I$89,3,0)*0.475*44/12</f>
        <v>3.3635260244878085E-4</v>
      </c>
      <c r="BS39" s="22">
        <f t="shared" si="9"/>
        <v>5.8894363372961838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8.0511538458333352</v>
      </c>
      <c r="BY39" s="12">
        <f>IF('Données projet'!$A$114&gt;35,BY38+BX39-CG38,IF(A39&lt;'Données projet'!$A$114,$BV$205^A39,IF(A39='Données projet'!$A$114,'Données projet'!$B$114,BY38+BX39-CG38)))</f>
        <v>123.65307692500004</v>
      </c>
      <c r="BZ39" s="13">
        <f>BY39*VLOOKUP('Données projet'!$B$12,Paramètres!$A$1:$I$89,3,0)*VLOOKUP('Données projet'!$B$12,Paramètres!$A$1:$I$89,5,0)</f>
        <v>140.81612400219004</v>
      </c>
      <c r="CA39" s="13">
        <f t="shared" si="39"/>
        <v>36.483904749093682</v>
      </c>
      <c r="CB39" s="20">
        <f t="shared" si="10"/>
        <v>308.79755007515246</v>
      </c>
      <c r="CC39" s="59">
        <f t="shared" si="11"/>
        <v>572.83833435310635</v>
      </c>
      <c r="CD39" s="59">
        <f ca="1">AVERAGE(OFFSET($CC$3,0,0,'Données projet'!$E$12+1,1))-AVERAGE(OFFSET($H$3,0,0,'Données projet'!$E$12+1,1))</f>
        <v>797.57191672067393</v>
      </c>
      <c r="CE39" s="59">
        <f t="shared" si="40"/>
        <v>238.59056544987126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>
        <f>CT39*VLOOKUP('Données projet'!$B$13,Paramètres!$A$1:$I$89,3,0)*VLOOKUP('Données projet'!$B$13,Paramètres!$A$1:$I$89,5,0)</f>
        <v>0</v>
      </c>
      <c r="CV39" s="13" t="e">
        <f t="shared" si="41"/>
        <v>#NUM!</v>
      </c>
      <c r="CW39" s="20" t="e">
        <f t="shared" si="13"/>
        <v>#NUM!</v>
      </c>
      <c r="CX39" s="59" t="e">
        <f t="shared" si="14"/>
        <v>#NUM!</v>
      </c>
      <c r="CY39" s="59">
        <f ca="1">AVERAGE(OFFSET($CX$3,0,0,'Données projet'!$E$13+1,1))-AVERAGE(OFFSET($H$3,0,0,'Données projet'!$E$13+1,1))</f>
        <v>188.98184340090461</v>
      </c>
      <c r="CZ39" s="59">
        <f t="shared" si="42"/>
        <v>450.74604661797798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115.56851607165997</v>
      </c>
      <c r="DH39" s="21">
        <f>EXP(-LN(2)/2)*DH38+(1-EXP(-LN(2)/2))/(LN(2)/2)*DB39*DE39*VLOOKUP('Données projet'!$B$13,Paramètres!$A$1:$I$89,3,0)*0.475*44/12</f>
        <v>5.6202507503193616E-3</v>
      </c>
      <c r="DI39" s="22">
        <f t="shared" si="15"/>
        <v>115.5741363224103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7.6</v>
      </c>
      <c r="DO39" s="12">
        <f>IF('Données projet'!$A$166&gt;35,DO38+DN39-DW38,IF(A39&lt;'Données projet'!$A$166,$DL$205^A39,IF(A39='Données projet'!$A$166,'Données projet'!$B$166,DO38+DN39-DW38)))</f>
        <v>319.60000000000014</v>
      </c>
      <c r="DP39" s="17">
        <f>DO39*VLOOKUP('Données projet'!$B$14,Paramètres!$A$1:$I$89,3,0)*VLOOKUP('Données projet'!$B$14,Paramètres!$A$1:$I$89,5,0)</f>
        <v>289.17408000000012</v>
      </c>
      <c r="DQ39" s="13">
        <f t="shared" si="43"/>
        <v>68.902103026957732</v>
      </c>
      <c r="DR39" s="20">
        <f t="shared" si="16"/>
        <v>623.64935210528495</v>
      </c>
      <c r="DS39" s="59">
        <f t="shared" si="17"/>
        <v>887.69013638323895</v>
      </c>
      <c r="DT39" s="59">
        <f ca="1">AVERAGE(OFFSET($DS$3,0,0,'Données projet'!$E$14+1,1))-AVERAGE(OFFSET($H$3,0,0,'Données projet'!$E$14+1,1))</f>
        <v>442.34161202733173</v>
      </c>
      <c r="DU39" s="59">
        <f t="shared" si="44"/>
        <v>622.90413492324399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3.2360318332219902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3.2360318332219902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8.0511538458333352</v>
      </c>
      <c r="EJ39" s="12">
        <f>IF('Données projet'!$A$192&gt;35,EJ38+EI39-ER38,IF(A39&lt;'Données projet'!$A$192,$EG$205^A39,IF(A39='Données projet'!$A$192,'Données projet'!$B$192,EJ38+EI39-ER38)))</f>
        <v>123.65307692500004</v>
      </c>
      <c r="EK39" s="17">
        <f>EJ39*VLOOKUP('Données projet'!$B$15,Paramètres!$A$1:$I$89,3,0)*VLOOKUP('Données projet'!$B$15,Paramètres!$A$1:$I$89,5,0)</f>
        <v>135.02916000210004</v>
      </c>
      <c r="EL39" s="13">
        <f t="shared" si="45"/>
        <v>35.155870996345392</v>
      </c>
      <c r="EM39" s="20">
        <f t="shared" si="19"/>
        <v>296.40559565562575</v>
      </c>
      <c r="EN39" s="59">
        <f t="shared" si="20"/>
        <v>560.44637993357969</v>
      </c>
      <c r="EO39" s="59">
        <f ca="1">AVERAGE(OFFSET($EN$3,0,0,'Données projet'!$E$15+1,1))-AVERAGE(OFFSET($H$3,0,0,'Données projet'!$E$15+1,1))</f>
        <v>767.9449852393318</v>
      </c>
      <c r="EP39" s="59">
        <f t="shared" si="46"/>
        <v>230.95605490295961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62.011122984896538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3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11</v>
      </c>
      <c r="H40" s="66">
        <f t="shared" si="1"/>
        <v>212.66666666666666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188.98184340090461</v>
      </c>
      <c r="T40" s="59">
        <f t="shared" si="34"/>
        <v>450.74604661797798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13.802500000000002</v>
      </c>
      <c r="AI40" s="13">
        <f>IF('Données projet'!$A$62&gt;35,AI39+AH40-AQ39,IF(A40&lt;'Données projet'!$A$62,$AF$205^A40,IF(A40='Données projet'!$A$62,'Données projet'!$B$62,AI39+AH40-AQ39)))</f>
        <v>178.9975</v>
      </c>
      <c r="AJ40" s="13">
        <f>AI40*VLOOKUP('Données projet'!$B$10,Paramètres!$A$1:$I$89,3,0)*VLOOKUP('Données projet'!$B$10,Paramètres!$A$1:$I$89,5,0)</f>
        <v>161.95693799999998</v>
      </c>
      <c r="AK40" s="13">
        <f t="shared" si="35"/>
        <v>41.283595456567447</v>
      </c>
      <c r="AL40" s="20">
        <f t="shared" si="4"/>
        <v>353.97726243685491</v>
      </c>
      <c r="AM40" s="59">
        <f t="shared" si="5"/>
        <v>618.52620695259088</v>
      </c>
      <c r="AN40" s="59">
        <f ca="1">AVERAGE(OFFSET($AM$3,0,0,'Données projet'!$E$10+1,1))-AVERAGE(OFFSET($H$3,0,0,'Données projet'!$E$10+1,1))</f>
        <v>725.60981534362895</v>
      </c>
      <c r="AO40" s="59">
        <f t="shared" si="36"/>
        <v>265.16078167969272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14.3675205290858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14.3675205290858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3.2100000000000009</v>
      </c>
      <c r="BD40" s="12">
        <f>IF('Données projet'!$A$88&gt;35,BD39+BC40-BL39,IF(A40&lt;'Données projet'!$A$88,$BA$205^A40,IF(A40='Données projet'!$A$88,'Données projet'!$B$88,BD39+BC40-BL39)))</f>
        <v>90.270000000000095</v>
      </c>
      <c r="BE40" s="13">
        <f>BD40*VLOOKUP('Données projet'!$B$11,Paramètres!$A$1:$I$89,3,0)*VLOOKUP('Données projet'!$B$11,Paramètres!$A$1:$I$89,5,0)</f>
        <v>103.9910400000001</v>
      </c>
      <c r="BF40" s="13">
        <f t="shared" si="37"/>
        <v>27.910631390376437</v>
      </c>
      <c r="BG40" s="20">
        <f t="shared" si="7"/>
        <v>229.72874433823907</v>
      </c>
      <c r="BH40" s="59">
        <f t="shared" si="8"/>
        <v>494.27768885397506</v>
      </c>
      <c r="BI40" s="59">
        <f ca="1">AVERAGE(OFFSET($BH$3,0,0,'Données projet'!$E$11+1,1))-AVERAGE(OFFSET($H$3,0,0,'Données projet'!$E$11+1,1))</f>
        <v>332.93090933713466</v>
      </c>
      <c r="BJ40" s="59">
        <f t="shared" si="38"/>
        <v>251.83579649532973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5.7280622359179763</v>
      </c>
      <c r="BR40" s="21">
        <f>EXP(-LN(2)/2)*BR39+(1-EXP(-LN(2)/2))/(LN(2)/2)*BL40*BO40*VLOOKUP('Données projet'!$B$11,Paramètres!$A$1:$I$89,3,0)*0.475*44/12</f>
        <v>2.3783720606127592E-4</v>
      </c>
      <c r="BS40" s="22">
        <f t="shared" si="9"/>
        <v>5.7283000731240374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8.0511538458333352</v>
      </c>
      <c r="BY40" s="12">
        <f>IF('Données projet'!$A$114&gt;35,BY39+BX40-CG39,IF(A40&lt;'Données projet'!$A$114,$BV$205^A40,IF(A40='Données projet'!$A$114,'Données projet'!$B$114,BY39+BX40-CG39)))</f>
        <v>131.70423077083336</v>
      </c>
      <c r="BZ40" s="13">
        <f>BY40*VLOOKUP('Données projet'!$B$12,Paramètres!$A$1:$I$89,3,0)*VLOOKUP('Données projet'!$B$12,Paramètres!$A$1:$I$89,5,0)</f>
        <v>149.98477800182505</v>
      </c>
      <c r="CA40" s="13">
        <f t="shared" si="39"/>
        <v>38.575126346714775</v>
      </c>
      <c r="CB40" s="20">
        <f t="shared" si="10"/>
        <v>328.40850007370682</v>
      </c>
      <c r="CC40" s="59">
        <f t="shared" si="11"/>
        <v>592.95744458944273</v>
      </c>
      <c r="CD40" s="59">
        <f ca="1">AVERAGE(OFFSET($CC$3,0,0,'Données projet'!$E$12+1,1))-AVERAGE(OFFSET($H$3,0,0,'Données projet'!$E$12+1,1))</f>
        <v>797.57191672067393</v>
      </c>
      <c r="CE40" s="59">
        <f t="shared" si="40"/>
        <v>238.59056544987126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>
        <f>CT40*VLOOKUP('Données projet'!$B$13,Paramètres!$A$1:$I$89,3,0)*VLOOKUP('Données projet'!$B$13,Paramètres!$A$1:$I$89,5,0)</f>
        <v>0</v>
      </c>
      <c r="CV40" s="13" t="e">
        <f t="shared" si="41"/>
        <v>#NUM!</v>
      </c>
      <c r="CW40" s="20" t="e">
        <f t="shared" si="13"/>
        <v>#NUM!</v>
      </c>
      <c r="CX40" s="59" t="e">
        <f t="shared" si="14"/>
        <v>#NUM!</v>
      </c>
      <c r="CY40" s="59">
        <f ca="1">AVERAGE(OFFSET($CX$3,0,0,'Données projet'!$E$13+1,1))-AVERAGE(OFFSET($H$3,0,0,'Données projet'!$E$13+1,1))</f>
        <v>188.98184340090461</v>
      </c>
      <c r="CZ40" s="59">
        <f t="shared" si="42"/>
        <v>450.74604661797798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112.40828892219631</v>
      </c>
      <c r="DH40" s="21">
        <f>EXP(-LN(2)/2)*DH39+(1-EXP(-LN(2)/2))/(LN(2)/2)*DB40*DE40*VLOOKUP('Données projet'!$B$13,Paramètres!$A$1:$I$89,3,0)*0.475*44/12</f>
        <v>3.9741174175196023E-3</v>
      </c>
      <c r="DI40" s="22">
        <f t="shared" si="15"/>
        <v>112.41226303961382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7.6</v>
      </c>
      <c r="DO40" s="12">
        <f>IF('Données projet'!$A$166&gt;35,DO39+DN40-DW39,IF(A40&lt;'Données projet'!$A$166,$DL$205^A40,IF(A40='Données projet'!$A$166,'Données projet'!$B$166,DO39+DN40-DW39)))</f>
        <v>327.20000000000016</v>
      </c>
      <c r="DP40" s="17">
        <f>DO40*VLOOKUP('Données projet'!$B$14,Paramètres!$A$1:$I$89,3,0)*VLOOKUP('Données projet'!$B$14,Paramètres!$A$1:$I$89,5,0)</f>
        <v>296.05056000000013</v>
      </c>
      <c r="DQ40" s="13">
        <f t="shared" si="43"/>
        <v>70.34787165092402</v>
      </c>
      <c r="DR40" s="20">
        <f t="shared" si="16"/>
        <v>638.14393512535958</v>
      </c>
      <c r="DS40" s="59">
        <f t="shared" si="17"/>
        <v>902.69287964109549</v>
      </c>
      <c r="DT40" s="59">
        <f ca="1">AVERAGE(OFFSET($DS$3,0,0,'Données projet'!$E$14+1,1))-AVERAGE(OFFSET($H$3,0,0,'Données projet'!$E$14+1,1))</f>
        <v>442.34161202733173</v>
      </c>
      <c r="DU40" s="59">
        <f t="shared" si="44"/>
        <v>622.90413492324399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3.1725752227570303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3.1725752227570303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8.0511538458333352</v>
      </c>
      <c r="EJ40" s="12">
        <f>IF('Données projet'!$A$192&gt;35,EJ39+EI40-ER39,IF(A40&lt;'Données projet'!$A$192,$EG$205^A40,IF(A40='Données projet'!$A$192,'Données projet'!$B$192,EJ39+EI40-ER39)))</f>
        <v>131.70423077083336</v>
      </c>
      <c r="EK40" s="17">
        <f>EJ40*VLOOKUP('Données projet'!$B$15,Paramètres!$A$1:$I$89,3,0)*VLOOKUP('Données projet'!$B$15,Paramètres!$A$1:$I$89,5,0)</f>
        <v>143.82102000175004</v>
      </c>
      <c r="EL40" s="13">
        <f t="shared" si="45"/>
        <v>37.170971003220714</v>
      </c>
      <c r="EM40" s="20">
        <f t="shared" si="19"/>
        <v>315.22771766699071</v>
      </c>
      <c r="EN40" s="59">
        <f t="shared" si="20"/>
        <v>579.77666218272668</v>
      </c>
      <c r="EO40" s="59">
        <f ca="1">AVERAGE(OFFSET($EN$3,0,0,'Données projet'!$E$15+1,1))-AVERAGE(OFFSET($H$3,0,0,'Données projet'!$E$15+1,1))</f>
        <v>767.9449852393318</v>
      </c>
      <c r="EP40" s="59">
        <f t="shared" si="46"/>
        <v>230.95605490295961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62.149712140655268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3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11</v>
      </c>
      <c r="H41" s="66">
        <f t="shared" si="1"/>
        <v>212.66666666666666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188.98184340090461</v>
      </c>
      <c r="T41" s="59">
        <f t="shared" si="34"/>
        <v>450.74604661797798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13.802500000000002</v>
      </c>
      <c r="AI41" s="13">
        <f>IF('Données projet'!$A$62&gt;35,AI40+AH41-AQ40,IF(A41&lt;'Données projet'!$A$62,$AF$205^A41,IF(A41='Données projet'!$A$62,'Données projet'!$B$62,AI40+AH41-AQ40)))</f>
        <v>192.8</v>
      </c>
      <c r="AJ41" s="13">
        <f>AI41*VLOOKUP('Données projet'!$B$10,Paramètres!$A$1:$I$89,3,0)*VLOOKUP('Données projet'!$B$10,Paramètres!$A$1:$I$89,5,0)</f>
        <v>174.44543999999999</v>
      </c>
      <c r="AK41" s="13">
        <f t="shared" si="35"/>
        <v>44.08415354960767</v>
      </c>
      <c r="AL41" s="20">
        <f t="shared" si="4"/>
        <v>380.6057087655667</v>
      </c>
      <c r="AM41" s="59">
        <f t="shared" si="5"/>
        <v>645.65399807503525</v>
      </c>
      <c r="AN41" s="59">
        <f ca="1">AVERAGE(OFFSET($AM$3,0,0,'Données projet'!$E$10+1,1))-AVERAGE(OFFSET($H$3,0,0,'Données projet'!$E$10+1,1))</f>
        <v>725.60981534362895</v>
      </c>
      <c r="AO41" s="59">
        <f t="shared" si="36"/>
        <v>265.16078167969272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14.085782214832644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14.085782214832644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3.2100000000000009</v>
      </c>
      <c r="BD41" s="12">
        <f>IF('Données projet'!$A$88&gt;35,BD40+BC41-BL40,IF(A41&lt;'Données projet'!$A$88,$BA$205^A41,IF(A41='Données projet'!$A$88,'Données projet'!$B$88,BD40+BC41-BL40)))</f>
        <v>93.480000000000103</v>
      </c>
      <c r="BE41" s="13">
        <f>BD41*VLOOKUP('Données projet'!$B$11,Paramètres!$A$1:$I$89,3,0)*VLOOKUP('Données projet'!$B$11,Paramètres!$A$1:$I$89,5,0)</f>
        <v>107.68896000000011</v>
      </c>
      <c r="BF41" s="13">
        <f t="shared" si="37"/>
        <v>28.785814472800038</v>
      </c>
      <c r="BG41" s="20">
        <f t="shared" si="7"/>
        <v>237.69356554012688</v>
      </c>
      <c r="BH41" s="59">
        <f t="shared" si="8"/>
        <v>502.74185484959543</v>
      </c>
      <c r="BI41" s="59">
        <f ca="1">AVERAGE(OFFSET($BH$3,0,0,'Données projet'!$E$11+1,1))-AVERAGE(OFFSET($H$3,0,0,'Données projet'!$E$11+1,1))</f>
        <v>332.93090933713466</v>
      </c>
      <c r="BJ41" s="59">
        <f t="shared" si="38"/>
        <v>251.83579649532973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5.5714280728510976</v>
      </c>
      <c r="BR41" s="21">
        <f>EXP(-LN(2)/2)*BR40+(1-EXP(-LN(2)/2))/(LN(2)/2)*BL41*BO41*VLOOKUP('Données projet'!$B$11,Paramètres!$A$1:$I$89,3,0)*0.475*44/12</f>
        <v>1.6817630122439045E-4</v>
      </c>
      <c r="BS41" s="22">
        <f t="shared" si="9"/>
        <v>5.5715962491523223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8.0511538458333352</v>
      </c>
      <c r="BY41" s="12">
        <f>IF('Données projet'!$A$114&gt;35,BY40+BX41-CG40,IF(A41&lt;'Données projet'!$A$114,$BV$205^A41,IF(A41='Données projet'!$A$114,'Données projet'!$B$114,BY40+BX41-CG40)))</f>
        <v>139.7553846166667</v>
      </c>
      <c r="BZ41" s="13">
        <f>BY41*VLOOKUP('Données projet'!$B$12,Paramètres!$A$1:$I$89,3,0)*VLOOKUP('Données projet'!$B$12,Paramètres!$A$1:$I$89,5,0)</f>
        <v>159.15343200146003</v>
      </c>
      <c r="CA41" s="13">
        <f t="shared" si="39"/>
        <v>40.651510715799269</v>
      </c>
      <c r="CB41" s="20">
        <f t="shared" si="10"/>
        <v>347.99360856589328</v>
      </c>
      <c r="CC41" s="59">
        <f t="shared" si="11"/>
        <v>613.04189787536188</v>
      </c>
      <c r="CD41" s="59">
        <f ca="1">AVERAGE(OFFSET($CC$3,0,0,'Données projet'!$E$12+1,1))-AVERAGE(OFFSET($H$3,0,0,'Données projet'!$E$12+1,1))</f>
        <v>797.57191672067393</v>
      </c>
      <c r="CE41" s="59">
        <f t="shared" si="40"/>
        <v>238.59056544987126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>
        <f>CT41*VLOOKUP('Données projet'!$B$13,Paramètres!$A$1:$I$89,3,0)*VLOOKUP('Données projet'!$B$13,Paramètres!$A$1:$I$89,5,0)</f>
        <v>0</v>
      </c>
      <c r="CV41" s="13" t="e">
        <f t="shared" si="41"/>
        <v>#NUM!</v>
      </c>
      <c r="CW41" s="20" t="e">
        <f t="shared" si="13"/>
        <v>#NUM!</v>
      </c>
      <c r="CX41" s="59" t="e">
        <f t="shared" si="14"/>
        <v>#NUM!</v>
      </c>
      <c r="CY41" s="59">
        <f ca="1">AVERAGE(OFFSET($CX$3,0,0,'Données projet'!$E$13+1,1))-AVERAGE(OFFSET($H$3,0,0,'Données projet'!$E$13+1,1))</f>
        <v>188.98184340090461</v>
      </c>
      <c r="CZ41" s="59">
        <f t="shared" si="42"/>
        <v>450.74604661797798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109.33447835032385</v>
      </c>
      <c r="DH41" s="21">
        <f>EXP(-LN(2)/2)*DH40+(1-EXP(-LN(2)/2))/(LN(2)/2)*DB41*DE41*VLOOKUP('Données projet'!$B$13,Paramètres!$A$1:$I$89,3,0)*0.475*44/12</f>
        <v>2.8101253751596808E-3</v>
      </c>
      <c r="DI41" s="22">
        <f t="shared" si="15"/>
        <v>109.33728847569901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7.6</v>
      </c>
      <c r="DO41" s="12">
        <f>IF('Données projet'!$A$166&gt;35,DO40+DN41-DW40,IF(A41&lt;'Données projet'!$A$166,$DL$205^A41,IF(A41='Données projet'!$A$166,'Données projet'!$B$166,DO40+DN41-DW40)))</f>
        <v>334.80000000000018</v>
      </c>
      <c r="DP41" s="17">
        <f>DO41*VLOOKUP('Données projet'!$B$14,Paramètres!$A$1:$I$89,3,0)*VLOOKUP('Données projet'!$B$14,Paramètres!$A$1:$I$89,5,0)</f>
        <v>302.92704000000015</v>
      </c>
      <c r="DQ41" s="13">
        <f t="shared" si="43"/>
        <v>71.789736305653022</v>
      </c>
      <c r="DR41" s="20">
        <f t="shared" si="16"/>
        <v>652.63171873234603</v>
      </c>
      <c r="DS41" s="59">
        <f t="shared" si="17"/>
        <v>917.68000804181452</v>
      </c>
      <c r="DT41" s="59">
        <f ca="1">AVERAGE(OFFSET($DS$3,0,0,'Données projet'!$E$14+1,1))-AVERAGE(OFFSET($H$3,0,0,'Données projet'!$E$14+1,1))</f>
        <v>442.34161202733173</v>
      </c>
      <c r="DU41" s="59">
        <f t="shared" si="44"/>
        <v>622.90413492324399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3.1103629577185776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3.1103629577185776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8.0511538458333352</v>
      </c>
      <c r="EJ41" s="12">
        <f>IF('Données projet'!$A$192&gt;35,EJ40+EI41-ER40,IF(A41&lt;'Données projet'!$A$192,$EG$205^A41,IF(A41='Données projet'!$A$192,'Données projet'!$B$192,EJ40+EI41-ER40)))</f>
        <v>139.7553846166667</v>
      </c>
      <c r="EK41" s="17">
        <f>EJ41*VLOOKUP('Données projet'!$B$15,Paramètres!$A$1:$I$89,3,0)*VLOOKUP('Données projet'!$B$15,Paramètres!$A$1:$I$89,5,0)</f>
        <v>152.61288000140004</v>
      </c>
      <c r="EL41" s="13">
        <f t="shared" si="45"/>
        <v>39.171773864657219</v>
      </c>
      <c r="EM41" s="20">
        <f t="shared" si="19"/>
        <v>334.02493881671637</v>
      </c>
      <c r="EN41" s="59">
        <f t="shared" si="20"/>
        <v>599.07322812618486</v>
      </c>
      <c r="EO41" s="59">
        <f ca="1">AVERAGE(OFFSET($EN$3,0,0,'Données projet'!$E$15+1,1))-AVERAGE(OFFSET($H$3,0,0,'Données projet'!$E$15+1,1))</f>
        <v>767.9449852393318</v>
      </c>
      <c r="EP41" s="59">
        <f t="shared" si="46"/>
        <v>230.95605490295961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62.285897084400517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3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11</v>
      </c>
      <c r="H42" s="66">
        <f t="shared" si="1"/>
        <v>212.66666666666666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188.98184340090461</v>
      </c>
      <c r="T42" s="59">
        <f t="shared" si="34"/>
        <v>450.74604661797798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13.802500000000002</v>
      </c>
      <c r="AI42" s="13">
        <f>IF('Données projet'!$A$62&gt;35,AI41+AH42-AQ41,IF(A42&lt;'Données projet'!$A$62,$AF$205^A42,IF(A42='Données projet'!$A$62,'Données projet'!$B$62,AI41+AH42-AQ41)))</f>
        <v>206.60250000000002</v>
      </c>
      <c r="AJ42" s="13">
        <f>AI42*VLOOKUP('Données projet'!$B$10,Paramètres!$A$1:$I$89,3,0)*VLOOKUP('Données projet'!$B$10,Paramètres!$A$1:$I$89,5,0)</f>
        <v>186.93394200000003</v>
      </c>
      <c r="AK42" s="13">
        <f t="shared" si="35"/>
        <v>46.86145046822454</v>
      </c>
      <c r="AL42" s="20">
        <f t="shared" si="4"/>
        <v>407.19364188215781</v>
      </c>
      <c r="AM42" s="59">
        <f t="shared" si="5"/>
        <v>672.73261346955542</v>
      </c>
      <c r="AN42" s="59">
        <f ca="1">AVERAGE(OFFSET($AM$3,0,0,'Données projet'!$E$10+1,1))-AVERAGE(OFFSET($H$3,0,0,'Données projet'!$E$10+1,1))</f>
        <v>725.60981534362895</v>
      </c>
      <c r="AO42" s="59">
        <f t="shared" si="36"/>
        <v>265.16078167969272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13.80956861707859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13.80956861707859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3.2100000000000009</v>
      </c>
      <c r="BD42" s="12">
        <f>IF('Données projet'!$A$88&gt;35,BD41+BC42-BL41,IF(A42&lt;'Données projet'!$A$88,$BA$205^A42,IF(A42='Données projet'!$A$88,'Données projet'!$B$88,BD41+BC42-BL41)))</f>
        <v>96.690000000000111</v>
      </c>
      <c r="BE42" s="13">
        <f>BD42*VLOOKUP('Données projet'!$B$11,Paramètres!$A$1:$I$89,3,0)*VLOOKUP('Données projet'!$B$11,Paramètres!$A$1:$I$89,5,0)</f>
        <v>111.38688000000012</v>
      </c>
      <c r="BF42" s="13">
        <f t="shared" si="37"/>
        <v>29.657505663755757</v>
      </c>
      <c r="BG42" s="20">
        <f t="shared" si="7"/>
        <v>245.65230503104144</v>
      </c>
      <c r="BH42" s="59">
        <f t="shared" si="8"/>
        <v>511.19127661843902</v>
      </c>
      <c r="BI42" s="59">
        <f ca="1">AVERAGE(OFFSET($BH$3,0,0,'Données projet'!$E$11+1,1))-AVERAGE(OFFSET($H$3,0,0,'Données projet'!$E$11+1,1))</f>
        <v>332.93090933713466</v>
      </c>
      <c r="BJ42" s="59">
        <f t="shared" si="38"/>
        <v>251.83579649532973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5.4190770792103153</v>
      </c>
      <c r="BR42" s="21">
        <f>EXP(-LN(2)/2)*BR41+(1-EXP(-LN(2)/2))/(LN(2)/2)*BL42*BO42*VLOOKUP('Données projet'!$B$11,Paramètres!$A$1:$I$89,3,0)*0.475*44/12</f>
        <v>1.1891860303063797E-4</v>
      </c>
      <c r="BS42" s="22">
        <f t="shared" si="9"/>
        <v>5.4191959978133459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8.0511538458333352</v>
      </c>
      <c r="BY42" s="12">
        <f>IF('Données projet'!$A$114&gt;35,BY41+BX42-CG41,IF(A42&lt;'Données projet'!$A$114,$BV$205^A42,IF(A42='Données projet'!$A$114,'Données projet'!$B$114,BY41+BX42-CG41)))</f>
        <v>147.80653846250004</v>
      </c>
      <c r="BZ42" s="13">
        <f>BY42*VLOOKUP('Données projet'!$B$12,Paramètres!$A$1:$I$89,3,0)*VLOOKUP('Données projet'!$B$12,Paramètres!$A$1:$I$89,5,0)</f>
        <v>168.32208600109504</v>
      </c>
      <c r="CA42" s="13">
        <f t="shared" si="39"/>
        <v>42.714009997061638</v>
      </c>
      <c r="CB42" s="20">
        <f t="shared" si="10"/>
        <v>367.55453386345613</v>
      </c>
      <c r="CC42" s="59">
        <f t="shared" si="11"/>
        <v>633.09350545085374</v>
      </c>
      <c r="CD42" s="59">
        <f ca="1">AVERAGE(OFFSET($CC$3,0,0,'Données projet'!$E$12+1,1))-AVERAGE(OFFSET($H$3,0,0,'Données projet'!$E$12+1,1))</f>
        <v>797.57191672067393</v>
      </c>
      <c r="CE42" s="59">
        <f t="shared" si="40"/>
        <v>238.59056544987126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>
        <f>CT42*VLOOKUP('Données projet'!$B$13,Paramètres!$A$1:$I$89,3,0)*VLOOKUP('Données projet'!$B$13,Paramètres!$A$1:$I$89,5,0)</f>
        <v>0</v>
      </c>
      <c r="CV42" s="13" t="e">
        <f t="shared" si="41"/>
        <v>#NUM!</v>
      </c>
      <c r="CW42" s="20" t="e">
        <f t="shared" si="13"/>
        <v>#NUM!</v>
      </c>
      <c r="CX42" s="59" t="e">
        <f t="shared" si="14"/>
        <v>#NUM!</v>
      </c>
      <c r="CY42" s="59">
        <f ca="1">AVERAGE(OFFSET($CX$3,0,0,'Données projet'!$E$13+1,1))-AVERAGE(OFFSET($H$3,0,0,'Données projet'!$E$13+1,1))</f>
        <v>188.98184340090461</v>
      </c>
      <c r="CZ42" s="59">
        <f t="shared" si="42"/>
        <v>450.74604661797798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106.34472129018391</v>
      </c>
      <c r="DH42" s="21">
        <f>EXP(-LN(2)/2)*DH41+(1-EXP(-LN(2)/2))/(LN(2)/2)*DB42*DE42*VLOOKUP('Données projet'!$B$13,Paramètres!$A$1:$I$89,3,0)*0.475*44/12</f>
        <v>1.9870587087598012E-3</v>
      </c>
      <c r="DI42" s="22">
        <f t="shared" si="15"/>
        <v>106.34670834889268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7.6</v>
      </c>
      <c r="DO42" s="12">
        <f>IF('Données projet'!$A$166&gt;35,DO41+DN42-DW41,IF(A42&lt;'Données projet'!$A$166,$DL$205^A42,IF(A42='Données projet'!$A$166,'Données projet'!$B$166,DO41+DN42-DW41)))</f>
        <v>342.4000000000002</v>
      </c>
      <c r="DP42" s="17">
        <f>DO42*VLOOKUP('Données projet'!$B$14,Paramètres!$A$1:$I$89,3,0)*VLOOKUP('Données projet'!$B$14,Paramètres!$A$1:$I$89,5,0)</f>
        <v>309.80352000000016</v>
      </c>
      <c r="DQ42" s="13">
        <f t="shared" si="43"/>
        <v>73.227795813703821</v>
      </c>
      <c r="DR42" s="20">
        <f t="shared" si="16"/>
        <v>667.11287504220115</v>
      </c>
      <c r="DS42" s="59">
        <f t="shared" si="17"/>
        <v>932.65184662959882</v>
      </c>
      <c r="DT42" s="59">
        <f ca="1">AVERAGE(OFFSET($DS$3,0,0,'Données projet'!$E$14+1,1))-AVERAGE(OFFSET($H$3,0,0,'Données projet'!$E$14+1,1))</f>
        <v>442.34161202733173</v>
      </c>
      <c r="DU42" s="59">
        <f t="shared" si="44"/>
        <v>622.90413492324399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3.0493706372517941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3.0493706372517941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8.0511538458333352</v>
      </c>
      <c r="EJ42" s="12">
        <f>IF('Données projet'!$A$192&gt;35,EJ41+EI42-ER41,IF(A42&lt;'Données projet'!$A$192,$EG$205^A42,IF(A42='Données projet'!$A$192,'Données projet'!$B$192,EJ41+EI42-ER41)))</f>
        <v>147.80653846250004</v>
      </c>
      <c r="EK42" s="17">
        <f>EJ42*VLOOKUP('Données projet'!$B$15,Paramètres!$A$1:$I$89,3,0)*VLOOKUP('Données projet'!$B$15,Paramètres!$A$1:$I$89,5,0)</f>
        <v>161.40474000105004</v>
      </c>
      <c r="EL42" s="13">
        <f t="shared" si="45"/>
        <v>41.15919706293522</v>
      </c>
      <c r="EM42" s="20">
        <f t="shared" si="19"/>
        <v>352.79885705310761</v>
      </c>
      <c r="EN42" s="59">
        <f t="shared" si="20"/>
        <v>618.33782864050522</v>
      </c>
      <c r="EO42" s="59">
        <f ca="1">AVERAGE(OFFSET($EN$3,0,0,'Données projet'!$E$15+1,1))-AVERAGE(OFFSET($H$3,0,0,'Données projet'!$E$15+1,1))</f>
        <v>767.9449852393318</v>
      </c>
      <c r="EP42" s="59">
        <f t="shared" si="46"/>
        <v>230.95605490295961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62.41971952383571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3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11</v>
      </c>
      <c r="H43" s="66">
        <f t="shared" si="1"/>
        <v>212.66666666666666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188.98184340090461</v>
      </c>
      <c r="T43" s="59">
        <f t="shared" si="34"/>
        <v>450.74604661797798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13.802500000000002</v>
      </c>
      <c r="AI43" s="13">
        <f>IF('Données projet'!$A$62&gt;35,AI42+AH43-AQ42,IF(A43&lt;'Données projet'!$A$62,$AF$205^A43,IF(A43='Données projet'!$A$62,'Données projet'!$B$62,AI42+AH43-AQ42)))</f>
        <v>220.40500000000003</v>
      </c>
      <c r="AJ43" s="13">
        <f>AI43*VLOOKUP('Données projet'!$B$10,Paramètres!$A$1:$I$89,3,0)*VLOOKUP('Données projet'!$B$10,Paramètres!$A$1:$I$89,5,0)</f>
        <v>199.42244400000001</v>
      </c>
      <c r="AK43" s="13">
        <f t="shared" si="35"/>
        <v>49.617217041644913</v>
      </c>
      <c r="AL43" s="20">
        <f t="shared" si="4"/>
        <v>433.74407631419825</v>
      </c>
      <c r="AM43" s="59">
        <f t="shared" si="5"/>
        <v>699.76521793900406</v>
      </c>
      <c r="AN43" s="59">
        <f ca="1">AVERAGE(OFFSET($AM$3,0,0,'Données projet'!$E$10+1,1))-AVERAGE(OFFSET($H$3,0,0,'Données projet'!$E$10+1,1))</f>
        <v>725.60981534362895</v>
      </c>
      <c r="AO43" s="59">
        <f t="shared" si="36"/>
        <v>265.16078167969272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13.538771399502831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13.538771399502831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99.9</v>
      </c>
      <c r="BB43" s="12">
        <f>VLOOKUP(A43,'Données projet'!$A$87:$I$107,9,0)</f>
        <v>3.2100000000000009</v>
      </c>
      <c r="BC43" s="12">
        <f t="array" ref="BC43">INDEX(BB:BB,MIN(IF(ISNUMBER(BB43:BB239),ROW(BB43:BB239),"")))</f>
        <v>3.2100000000000009</v>
      </c>
      <c r="BD43" s="12">
        <f>IF('Données projet'!$A$88&gt;35,BD42+BC43-BL42,IF(A43&lt;'Données projet'!$A$88,$BA$205^A43,IF(A43='Données projet'!$A$88,'Données projet'!$B$88,BD42+BC43-BL42)))</f>
        <v>99.900000000000119</v>
      </c>
      <c r="BE43" s="13">
        <f>BD43*VLOOKUP('Données projet'!$B$11,Paramètres!$A$1:$I$89,3,0)*VLOOKUP('Données projet'!$B$11,Paramètres!$A$1:$I$89,5,0)</f>
        <v>115.08480000000013</v>
      </c>
      <c r="BF43" s="13">
        <f t="shared" si="37"/>
        <v>30.525834182499</v>
      </c>
      <c r="BG43" s="20">
        <f t="shared" si="7"/>
        <v>253.60518786785261</v>
      </c>
      <c r="BH43" s="59">
        <f t="shared" si="8"/>
        <v>519.62632949265844</v>
      </c>
      <c r="BI43" s="59">
        <f ca="1">AVERAGE(OFFSET($BH$3,0,0,'Données projet'!$E$11+1,1))-AVERAGE(OFFSET($H$3,0,0,'Données projet'!$E$11+1,1))</f>
        <v>332.93090933713466</v>
      </c>
      <c r="BJ43" s="59">
        <f t="shared" si="38"/>
        <v>251.83579649532973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14.5</v>
      </c>
      <c r="BM43" s="16">
        <f>IF(ISNA(VLOOKUP(A43,'Données projet'!$A$87:$I$107,5,0)),0%,VLOOKUP(A43,'Données projet'!$A$87:$I$107,5,0)*VLOOKUP('Données projet'!$B$11,Paramètres!$A$1:$I$89,7,0))</f>
        <v>0.45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5.4012398367676324</v>
      </c>
      <c r="BQ43" s="21">
        <f>EXP(-LN(2)/25)*BQ42+(1-EXP(-LN(2)/25))/(LN(2)/25)*Calculateur!BL43*Calculateur!BN43*VLOOKUP('Données projet'!$B$11,Paramètres!$A$1:$I$89,3,0)*0.475*44/12</f>
        <v>5.2708921315024311</v>
      </c>
      <c r="BR43" s="21">
        <f>EXP(-LN(2)/2)*BR42+(1-EXP(-LN(2)/2))/(LN(2)/2)*BL43*BO43*VLOOKUP('Données projet'!$B$11,Paramètres!$A$1:$I$89,3,0)*0.475*44/12</f>
        <v>8.408815061219524E-5</v>
      </c>
      <c r="BS43" s="22">
        <f t="shared" si="9"/>
        <v>10.672216056420675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8.0511538458333352</v>
      </c>
      <c r="BY43" s="12">
        <f>IF('Données projet'!$A$114&gt;35,BY42+BX43-CG42,IF(A43&lt;'Données projet'!$A$114,$BV$205^A43,IF(A43='Données projet'!$A$114,'Données projet'!$B$114,BY42+BX43-CG42)))</f>
        <v>155.85769230833338</v>
      </c>
      <c r="BZ43" s="13">
        <f>BY43*VLOOKUP('Données projet'!$B$12,Paramètres!$A$1:$I$89,3,0)*VLOOKUP('Données projet'!$B$12,Paramètres!$A$1:$I$89,5,0)</f>
        <v>177.49074000073006</v>
      </c>
      <c r="CA43" s="13">
        <f t="shared" si="39"/>
        <v>44.763466744965683</v>
      </c>
      <c r="CB43" s="20">
        <f t="shared" si="10"/>
        <v>387.09274341542005</v>
      </c>
      <c r="CC43" s="59">
        <f t="shared" si="11"/>
        <v>653.11388504022591</v>
      </c>
      <c r="CD43" s="59">
        <f ca="1">AVERAGE(OFFSET($CC$3,0,0,'Données projet'!$E$12+1,1))-AVERAGE(OFFSET($H$3,0,0,'Données projet'!$E$12+1,1))</f>
        <v>797.57191672067393</v>
      </c>
      <c r="CE43" s="59">
        <f t="shared" si="40"/>
        <v>238.59056544987126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>
        <f>CT43*VLOOKUP('Données projet'!$B$13,Paramètres!$A$1:$I$89,3,0)*VLOOKUP('Données projet'!$B$13,Paramètres!$A$1:$I$89,5,0)</f>
        <v>0</v>
      </c>
      <c r="CV43" s="13" t="e">
        <f t="shared" si="41"/>
        <v>#NUM!</v>
      </c>
      <c r="CW43" s="20" t="e">
        <f t="shared" si="13"/>
        <v>#NUM!</v>
      </c>
      <c r="CX43" s="59" t="e">
        <f t="shared" si="14"/>
        <v>#NUM!</v>
      </c>
      <c r="CY43" s="59">
        <f ca="1">AVERAGE(OFFSET($CX$3,0,0,'Données projet'!$E$13+1,1))-AVERAGE(OFFSET($H$3,0,0,'Données projet'!$E$13+1,1))</f>
        <v>188.98184340090461</v>
      </c>
      <c r="CZ43" s="59">
        <f t="shared" si="42"/>
        <v>450.74604661797798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103.43671929407799</v>
      </c>
      <c r="DH43" s="21">
        <f>EXP(-LN(2)/2)*DH42+(1-EXP(-LN(2)/2))/(LN(2)/2)*DB43*DE43*VLOOKUP('Données projet'!$B$13,Paramètres!$A$1:$I$89,3,0)*0.475*44/12</f>
        <v>1.4050626875798404E-3</v>
      </c>
      <c r="DI43" s="22">
        <f t="shared" si="15"/>
        <v>103.43812435676557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350</v>
      </c>
      <c r="DM43" s="12">
        <f>VLOOKUP(A43,'Données projet'!$A$165:$I$185,9,0)</f>
        <v>7.6</v>
      </c>
      <c r="DN43" s="12">
        <f t="array" ref="DN43">INDEX(DM:DM,MIN(IF(ISNUMBER(DM43:DM239),ROW(DM43:DM239),"")))</f>
        <v>7.6</v>
      </c>
      <c r="DO43" s="12">
        <f>IF('Données projet'!$A$166&gt;35,DO42+DN43-DW42,IF(A43&lt;'Données projet'!$A$166,$DL$205^A43,IF(A43='Données projet'!$A$166,'Données projet'!$B$166,DO42+DN43-DW42)))</f>
        <v>350.00000000000023</v>
      </c>
      <c r="DP43" s="17">
        <f>DO43*VLOOKUP('Données projet'!$B$14,Paramètres!$A$1:$I$89,3,0)*VLOOKUP('Données projet'!$B$14,Paramètres!$A$1:$I$89,5,0)</f>
        <v>316.68000000000018</v>
      </c>
      <c r="DQ43" s="13">
        <f t="shared" si="43"/>
        <v>74.662144360177763</v>
      </c>
      <c r="DR43" s="20">
        <f t="shared" si="16"/>
        <v>681.58756809397653</v>
      </c>
      <c r="DS43" s="59">
        <f t="shared" si="17"/>
        <v>947.60870971878239</v>
      </c>
      <c r="DT43" s="59">
        <f ca="1">AVERAGE(OFFSET($DS$3,0,0,'Données projet'!$E$14+1,1))-AVERAGE(OFFSET($H$3,0,0,'Données projet'!$E$14+1,1))</f>
        <v>442.34161202733173</v>
      </c>
      <c r="DU43" s="59">
        <f t="shared" si="44"/>
        <v>622.90413492324399</v>
      </c>
      <c r="DV43" s="15">
        <f>IF(ISNA(VLOOKUP(A43,'Données projet'!$A$165:$I$185,3,0)),0,VLOOKUP(A43,'Données projet'!$A$165:$I$185,3,0))</f>
        <v>8</v>
      </c>
      <c r="DW43" s="15">
        <f>IF(ISNA(VLOOKUP(A43,'Données projet'!$A$165:$I$185,4,0)),0,VLOOKUP(A43,'Données projet'!$A$165:$I$185,4,0))</f>
        <v>9</v>
      </c>
      <c r="DX43" s="16">
        <f>IF(ISNA(VLOOKUP(A43,'Données projet'!$A$165:$I$185,5,0)),0%,VLOOKUP(A43,'Données projet'!$A$165:$I$185,5,0)*VLOOKUP('Données projet'!$B$14,Paramètres!$A$1:$I$89,7,0))</f>
        <v>0.3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5.6901942573715374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5.6901942573715374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8.0511538458333352</v>
      </c>
      <c r="EJ43" s="12">
        <f>IF('Données projet'!$A$192&gt;35,EJ42+EI43-ER42,IF(A43&lt;'Données projet'!$A$192,$EG$205^A43,IF(A43='Données projet'!$A$192,'Données projet'!$B$192,EJ42+EI43-ER42)))</f>
        <v>155.85769230833338</v>
      </c>
      <c r="EK43" s="17">
        <f>EJ43*VLOOKUP('Données projet'!$B$15,Paramètres!$A$1:$I$89,3,0)*VLOOKUP('Données projet'!$B$15,Paramètres!$A$1:$I$89,5,0)</f>
        <v>170.19660000070004</v>
      </c>
      <c r="EL43" s="13">
        <f t="shared" si="45"/>
        <v>43.134052483083032</v>
      </c>
      <c r="EM43" s="20">
        <f t="shared" si="19"/>
        <v>371.5508864092555</v>
      </c>
      <c r="EN43" s="59">
        <f t="shared" si="20"/>
        <v>637.5720280340613</v>
      </c>
      <c r="EO43" s="59">
        <f ca="1">AVERAGE(OFFSET($EN$3,0,0,'Données projet'!$E$15+1,1))-AVERAGE(OFFSET($H$3,0,0,'Données projet'!$E$15+1,1))</f>
        <v>767.9449852393318</v>
      </c>
      <c r="EP43" s="59">
        <f t="shared" si="46"/>
        <v>230.95605490295961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62.551220443128862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3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11</v>
      </c>
      <c r="H44" s="66">
        <f t="shared" si="1"/>
        <v>212.66666666666666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188.98184340090461</v>
      </c>
      <c r="T44" s="59">
        <f t="shared" si="34"/>
        <v>450.74604661797798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13.802500000000002</v>
      </c>
      <c r="AI44" s="13">
        <f>IF('Données projet'!$A$62&gt;35,AI43+AH44-AQ43,IF(A44&lt;'Données projet'!$A$62,$AF$205^A44,IF(A44='Données projet'!$A$62,'Données projet'!$B$62,AI43+AH44-AQ43)))</f>
        <v>234.20750000000004</v>
      </c>
      <c r="AJ44" s="13">
        <f>AI44*VLOOKUP('Données projet'!$B$10,Paramètres!$A$1:$I$89,3,0)*VLOOKUP('Données projet'!$B$10,Paramètres!$A$1:$I$89,5,0)</f>
        <v>211.910946</v>
      </c>
      <c r="AK44" s="13">
        <f t="shared" si="35"/>
        <v>52.352955065676788</v>
      </c>
      <c r="AL44" s="20">
        <f t="shared" si="4"/>
        <v>460.25962768938712</v>
      </c>
      <c r="AM44" s="59">
        <f t="shared" si="5"/>
        <v>726.7545747794228</v>
      </c>
      <c r="AN44" s="59">
        <f ca="1">AVERAGE(OFFSET($AM$3,0,0,'Données projet'!$E$10+1,1))-AVERAGE(OFFSET($H$3,0,0,'Données projet'!$E$10+1,1))</f>
        <v>725.60981534362895</v>
      </c>
      <c r="AO44" s="59">
        <f t="shared" si="36"/>
        <v>265.16078167969272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13.273284350193741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13.273284350193741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2.9299999999999997</v>
      </c>
      <c r="BD44" s="12">
        <f>IF('Données projet'!$A$88&gt;35,BD43+BC44-BL43,IF(A44&lt;'Données projet'!$A$88,$BA$205^A44,IF(A44='Données projet'!$A$88,'Données projet'!$B$88,BD43+BC44-BL43)))</f>
        <v>88.330000000000126</v>
      </c>
      <c r="BE44" s="13">
        <f>BD44*VLOOKUP('Données projet'!$B$11,Paramètres!$A$1:$I$89,3,0)*VLOOKUP('Données projet'!$B$11,Paramètres!$A$1:$I$89,5,0)</f>
        <v>101.75616000000014</v>
      </c>
      <c r="BF44" s="13">
        <f t="shared" si="37"/>
        <v>27.379953599527347</v>
      </c>
      <c r="BG44" s="20">
        <f t="shared" si="7"/>
        <v>224.91206451917699</v>
      </c>
      <c r="BH44" s="59">
        <f t="shared" si="8"/>
        <v>491.40701160921265</v>
      </c>
      <c r="BI44" s="59">
        <f ca="1">AVERAGE(OFFSET($BH$3,0,0,'Données projet'!$E$11+1,1))-AVERAGE(OFFSET($H$3,0,0,'Données projet'!$E$11+1,1))</f>
        <v>332.93090933713466</v>
      </c>
      <c r="BJ44" s="59">
        <f t="shared" si="38"/>
        <v>251.83579649532973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5.2953248179996217</v>
      </c>
      <c r="BQ44" s="21">
        <f>EXP(-LN(2)/25)*BQ43+(1-EXP(-LN(2)/25))/(LN(2)/25)*Calculateur!BL44*Calculateur!BN44*VLOOKUP('Données projet'!$B$11,Paramètres!$A$1:$I$89,3,0)*0.475*44/12</f>
        <v>5.1267593089823267</v>
      </c>
      <c r="BR44" s="21">
        <f>EXP(-LN(2)/2)*BR43+(1-EXP(-LN(2)/2))/(LN(2)/2)*BL44*BO44*VLOOKUP('Données projet'!$B$11,Paramètres!$A$1:$I$89,3,0)*0.475*44/12</f>
        <v>5.9459301515318993E-5</v>
      </c>
      <c r="BS44" s="22">
        <f t="shared" si="9"/>
        <v>10.422143586283465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8.0511538458333352</v>
      </c>
      <c r="BY44" s="12">
        <f>IF('Données projet'!$A$114&gt;35,BY43+BX44-CG43,IF(A44&lt;'Données projet'!$A$114,$BV$205^A44,IF(A44='Données projet'!$A$114,'Données projet'!$B$114,BY43+BX44-CG43)))</f>
        <v>163.90884615416672</v>
      </c>
      <c r="BZ44" s="13">
        <f>BY44*VLOOKUP('Données projet'!$B$12,Paramètres!$A$1:$I$89,3,0)*VLOOKUP('Données projet'!$B$12,Paramètres!$A$1:$I$89,5,0)</f>
        <v>186.65939400036507</v>
      </c>
      <c r="CA44" s="13">
        <f t="shared" si="39"/>
        <v>46.800631549496863</v>
      </c>
      <c r="CB44" s="20">
        <f t="shared" si="10"/>
        <v>406.6095444993428</v>
      </c>
      <c r="CC44" s="59">
        <f t="shared" si="11"/>
        <v>673.10449158937854</v>
      </c>
      <c r="CD44" s="59">
        <f ca="1">AVERAGE(OFFSET($CC$3,0,0,'Données projet'!$E$12+1,1))-AVERAGE(OFFSET($H$3,0,0,'Données projet'!$E$12+1,1))</f>
        <v>797.57191672067393</v>
      </c>
      <c r="CE44" s="59">
        <f t="shared" si="40"/>
        <v>238.59056544987126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>
        <f>CT44*VLOOKUP('Données projet'!$B$13,Paramètres!$A$1:$I$89,3,0)*VLOOKUP('Données projet'!$B$13,Paramètres!$A$1:$I$89,5,0)</f>
        <v>0</v>
      </c>
      <c r="CV44" s="13" t="e">
        <f t="shared" si="41"/>
        <v>#NUM!</v>
      </c>
      <c r="CW44" s="20" t="e">
        <f t="shared" si="13"/>
        <v>#NUM!</v>
      </c>
      <c r="CX44" s="59" t="e">
        <f t="shared" si="14"/>
        <v>#NUM!</v>
      </c>
      <c r="CY44" s="59">
        <f ca="1">AVERAGE(OFFSET($CX$3,0,0,'Données projet'!$E$13+1,1))-AVERAGE(OFFSET($H$3,0,0,'Données projet'!$E$13+1,1))</f>
        <v>188.98184340090461</v>
      </c>
      <c r="CZ44" s="59">
        <f t="shared" si="42"/>
        <v>450.74604661797798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100.60823676548077</v>
      </c>
      <c r="DH44" s="21">
        <f>EXP(-LN(2)/2)*DH43+(1-EXP(-LN(2)/2))/(LN(2)/2)*DB44*DE44*VLOOKUP('Données projet'!$B$13,Paramètres!$A$1:$I$89,3,0)*0.475*44/12</f>
        <v>9.9352935437990058E-4</v>
      </c>
      <c r="DI44" s="22">
        <f t="shared" si="15"/>
        <v>100.60923029483514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7.4</v>
      </c>
      <c r="DO44" s="12">
        <f>IF('Données projet'!$A$166&gt;35,DO43+DN44-DW43,IF(A44&lt;'Données projet'!$A$166,$DL$205^A44,IF(A44='Données projet'!$A$166,'Données projet'!$B$166,DO43+DN44-DW43)))</f>
        <v>348.4000000000002</v>
      </c>
      <c r="DP44" s="17">
        <f>DO44*VLOOKUP('Données projet'!$B$14,Paramètres!$A$1:$I$89,3,0)*VLOOKUP('Données projet'!$B$14,Paramètres!$A$1:$I$89,5,0)</f>
        <v>315.23232000000019</v>
      </c>
      <c r="DQ44" s="13">
        <f t="shared" si="43"/>
        <v>74.360480118488482</v>
      </c>
      <c r="DR44" s="20">
        <f t="shared" si="16"/>
        <v>678.54079353970099</v>
      </c>
      <c r="DS44" s="59">
        <f t="shared" si="17"/>
        <v>945.03574062973667</v>
      </c>
      <c r="DT44" s="59">
        <f ca="1">AVERAGE(OFFSET($DS$3,0,0,'Données projet'!$E$14+1,1))-AVERAGE(OFFSET($H$3,0,0,'Données projet'!$E$14+1,1))</f>
        <v>442.34161202733173</v>
      </c>
      <c r="DU44" s="59">
        <f t="shared" si="44"/>
        <v>622.90413492324399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5.5786130186602776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5.5786130186602776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8.0511538458333352</v>
      </c>
      <c r="EJ44" s="12">
        <f>IF('Données projet'!$A$192&gt;35,EJ43+EI44-ER43,IF(A44&lt;'Données projet'!$A$192,$EG$205^A44,IF(A44='Données projet'!$A$192,'Données projet'!$B$192,EJ43+EI44-ER43)))</f>
        <v>163.90884615416672</v>
      </c>
      <c r="EK44" s="17">
        <f>EJ44*VLOOKUP('Données projet'!$B$15,Paramètres!$A$1:$I$89,3,0)*VLOOKUP('Données projet'!$B$15,Paramètres!$A$1:$I$89,5,0)</f>
        <v>178.98846000035005</v>
      </c>
      <c r="EL44" s="13">
        <f t="shared" si="45"/>
        <v>45.097063393207009</v>
      </c>
      <c r="EM44" s="20">
        <f t="shared" si="19"/>
        <v>390.28228657711185</v>
      </c>
      <c r="EN44" s="59">
        <f t="shared" si="20"/>
        <v>656.77723366714758</v>
      </c>
      <c r="EO44" s="59">
        <f ca="1">AVERAGE(OFFSET($EN$3,0,0,'Données projet'!$E$15+1,1))-AVERAGE(OFFSET($H$3,0,0,'Données projet'!$E$15+1,1))</f>
        <v>767.9449852393318</v>
      </c>
      <c r="EP44" s="59">
        <f t="shared" si="46"/>
        <v>230.95605490295961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62.680440115464279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3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11</v>
      </c>
      <c r="H45" s="66">
        <f t="shared" si="1"/>
        <v>212.66666666666666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188.98184340090461</v>
      </c>
      <c r="T45" s="59">
        <f t="shared" si="34"/>
        <v>450.74604661797798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248.01</v>
      </c>
      <c r="AG45" s="12">
        <f>VLOOKUP(A45,'Données projet'!$A$61:$I$81,9,0)</f>
        <v>13.802500000000002</v>
      </c>
      <c r="AH45" s="12">
        <f t="array" ref="AH45">INDEX(AG:AG,MIN(IF(ISNUMBER(AG45:AG241),ROW(AG45:AG241),"")))</f>
        <v>13.802500000000002</v>
      </c>
      <c r="AI45" s="13">
        <f>IF('Données projet'!$A$62&gt;35,AI44+AH45-AQ44,IF(A45&lt;'Données projet'!$A$62,$AF$205^A45,IF(A45='Données projet'!$A$62,'Données projet'!$B$62,AI44+AH45-AQ44)))</f>
        <v>248.01000000000005</v>
      </c>
      <c r="AJ45" s="13">
        <f>AI45*VLOOKUP('Données projet'!$B$10,Paramètres!$A$1:$I$89,3,0)*VLOOKUP('Données projet'!$B$10,Paramètres!$A$1:$I$89,5,0)</f>
        <v>224.39944800000004</v>
      </c>
      <c r="AK45" s="13">
        <f t="shared" si="35"/>
        <v>55.06997932657665</v>
      </c>
      <c r="AL45" s="20">
        <f t="shared" si="4"/>
        <v>486.74258592712107</v>
      </c>
      <c r="AM45" s="59">
        <f t="shared" si="5"/>
        <v>753.70311901683522</v>
      </c>
      <c r="AN45" s="59">
        <f ca="1">AVERAGE(OFFSET($AM$3,0,0,'Données projet'!$E$10+1,1))-AVERAGE(OFFSET($H$3,0,0,'Données projet'!$E$10+1,1))</f>
        <v>725.60981534362895</v>
      </c>
      <c r="AO45" s="59">
        <f t="shared" si="36"/>
        <v>265.16078167969272</v>
      </c>
      <c r="AP45" s="15">
        <f>IF(ISNA(VLOOKUP(A45,'Données projet'!$A$61:$I$81,3,0)),0,VLOOKUP(A45,'Données projet'!$A$61:$I$81,3,0))</f>
        <v>2</v>
      </c>
      <c r="AQ45" s="15">
        <f>IF(ISNA(VLOOKUP(A45,'Données projet'!$A$61:$I$81,4,0)),0,VLOOKUP(A45,'Données projet'!$A$61:$I$81,4,0))</f>
        <v>55.41</v>
      </c>
      <c r="AR45" s="16">
        <f>IF(ISNA(VLOOKUP(A45,'Données projet'!$A$61:$I$81,5,0)),0%,VLOOKUP(A45,'Données projet'!$A$61:$I$81,5,0)*VLOOKUP('Données projet'!$B$10,Paramètres!$A$1:$I$89,7,0))</f>
        <v>0.43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36.844773844208383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36.844773844208383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2.9299999999999997</v>
      </c>
      <c r="BD45" s="12">
        <f>IF('Données projet'!$A$88&gt;35,BD44+BC45-BL44,IF(A45&lt;'Données projet'!$A$88,$BA$205^A45,IF(A45='Données projet'!$A$88,'Données projet'!$B$88,BD44+BC45-BL44)))</f>
        <v>91.260000000000133</v>
      </c>
      <c r="BE45" s="13">
        <f>BD45*VLOOKUP('Données projet'!$B$11,Paramètres!$A$1:$I$89,3,0)*VLOOKUP('Données projet'!$B$11,Paramètres!$A$1:$I$89,5,0)</f>
        <v>105.13152000000015</v>
      </c>
      <c r="BF45" s="13">
        <f t="shared" si="37"/>
        <v>28.180928221249058</v>
      </c>
      <c r="BG45" s="20">
        <f t="shared" si="7"/>
        <v>232.18584731867568</v>
      </c>
      <c r="BH45" s="59">
        <f t="shared" si="8"/>
        <v>499.14638040838986</v>
      </c>
      <c r="BI45" s="59">
        <f ca="1">AVERAGE(OFFSET($BH$3,0,0,'Données projet'!$E$11+1,1))-AVERAGE(OFFSET($H$3,0,0,'Données projet'!$E$11+1,1))</f>
        <v>332.93090933713466</v>
      </c>
      <c r="BJ45" s="59">
        <f t="shared" si="38"/>
        <v>251.83579649532973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5.1914867281478694</v>
      </c>
      <c r="BQ45" s="21">
        <f>EXP(-LN(2)/25)*BQ44+(1-EXP(-LN(2)/25))/(LN(2)/25)*Calculateur!BL45*Calculateur!BN45*VLOOKUP('Données projet'!$B$11,Paramètres!$A$1:$I$89,3,0)*0.475*44/12</f>
        <v>4.9865678060736505</v>
      </c>
      <c r="BR45" s="21">
        <f>EXP(-LN(2)/2)*BR44+(1-EXP(-LN(2)/2))/(LN(2)/2)*BL45*BO45*VLOOKUP('Données projet'!$B$11,Paramètres!$A$1:$I$89,3,0)*0.475*44/12</f>
        <v>4.2044075306097627E-5</v>
      </c>
      <c r="BS45" s="22">
        <f t="shared" si="9"/>
        <v>10.178096578296826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>
        <f>VLOOKUP(A45,'Données projet'!$A$113:$I$133,2,0)</f>
        <v>171.96</v>
      </c>
      <c r="BW45" s="12">
        <f>VLOOKUP(A45,'Données projet'!$A$113:$I$133,9,0)</f>
        <v>8.0511538458333352</v>
      </c>
      <c r="BX45" s="12">
        <f t="array" ref="BX45">INDEX(BW:BW,MIN(IF(ISNUMBER(BW45:BW241),ROW(BW45:BW241),"")))</f>
        <v>8.0511538458333352</v>
      </c>
      <c r="BY45" s="12">
        <f>IF('Données projet'!$A$114&gt;35,BY44+BX45-CG44,IF(A45&lt;'Données projet'!$A$114,$BV$205^A45,IF(A45='Données projet'!$A$114,'Données projet'!$B$114,BY44+BX45-CG44)))</f>
        <v>171.96000000000006</v>
      </c>
      <c r="BZ45" s="13">
        <f>BY45*VLOOKUP('Données projet'!$B$12,Paramètres!$A$1:$I$89,3,0)*VLOOKUP('Données projet'!$B$12,Paramètres!$A$1:$I$89,5,0)</f>
        <v>195.82804800000008</v>
      </c>
      <c r="CA45" s="13">
        <f t="shared" si="39"/>
        <v>48.826177097350865</v>
      </c>
      <c r="CB45" s="20">
        <f t="shared" si="10"/>
        <v>426.10610871121958</v>
      </c>
      <c r="CC45" s="59">
        <f t="shared" si="11"/>
        <v>693.06664180093367</v>
      </c>
      <c r="CD45" s="59">
        <f ca="1">AVERAGE(OFFSET($CC$3,0,0,'Données projet'!$E$12+1,1))-AVERAGE(OFFSET($H$3,0,0,'Données projet'!$E$12+1,1))</f>
        <v>797.57191672067393</v>
      </c>
      <c r="CE45" s="59">
        <f t="shared" si="40"/>
        <v>238.59056544987126</v>
      </c>
      <c r="CF45" s="15">
        <f>IF(ISNA(VLOOKUP(A45,'Données projet'!$A$113:$I$133,3,0)),0,VLOOKUP(A45,'Données projet'!$A$113:$I$133,3,0))</f>
        <v>1</v>
      </c>
      <c r="CG45" s="15">
        <f>IF(ISNA(VLOOKUP(A45,'Données projet'!$A$113:$I$133,4,0)),0,VLOOKUP(A45,'Données projet'!$A$113:$I$133,4,0))</f>
        <v>43.21</v>
      </c>
      <c r="CH45" s="16">
        <f>IF(ISNA(VLOOKUP(A45,'Données projet'!$A$113:$I$133,5,0)),0%,VLOOKUP(A45,'Données projet'!$A$113:$I$133,5,0)*VLOOKUP('Données projet'!$B$12,Paramètres!$A$1:$I$89,7,0))</f>
        <v>0.43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23.39091930828172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23.39091930828172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>
        <f>CT45*VLOOKUP('Données projet'!$B$13,Paramètres!$A$1:$I$89,3,0)*VLOOKUP('Données projet'!$B$13,Paramètres!$A$1:$I$89,5,0)</f>
        <v>0</v>
      </c>
      <c r="CV45" s="13" t="e">
        <f t="shared" si="41"/>
        <v>#NUM!</v>
      </c>
      <c r="CW45" s="20" t="e">
        <f t="shared" si="13"/>
        <v>#NUM!</v>
      </c>
      <c r="CX45" s="59" t="e">
        <f t="shared" si="14"/>
        <v>#NUM!</v>
      </c>
      <c r="CY45" s="59">
        <f ca="1">AVERAGE(OFFSET($CX$3,0,0,'Données projet'!$E$13+1,1))-AVERAGE(OFFSET($H$3,0,0,'Données projet'!$E$13+1,1))</f>
        <v>188.98184340090461</v>
      </c>
      <c r="CZ45" s="59">
        <f t="shared" si="42"/>
        <v>450.74604661797798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97.857099240371468</v>
      </c>
      <c r="DH45" s="21">
        <f>EXP(-LN(2)/2)*DH44+(1-EXP(-LN(2)/2))/(LN(2)/2)*DB45*DE45*VLOOKUP('Données projet'!$B$13,Paramètres!$A$1:$I$89,3,0)*0.475*44/12</f>
        <v>7.025313437899202E-4</v>
      </c>
      <c r="DI45" s="22">
        <f t="shared" si="15"/>
        <v>97.857801771715259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7.4</v>
      </c>
      <c r="DO45" s="12">
        <f>IF('Données projet'!$A$166&gt;35,DO44+DN45-DW44,IF(A45&lt;'Données projet'!$A$166,$DL$205^A45,IF(A45='Données projet'!$A$166,'Données projet'!$B$166,DO44+DN45-DW44)))</f>
        <v>355.80000000000018</v>
      </c>
      <c r="DP45" s="17">
        <f>DO45*VLOOKUP('Données projet'!$B$14,Paramètres!$A$1:$I$89,3,0)*VLOOKUP('Données projet'!$B$14,Paramètres!$A$1:$I$89,5,0)</f>
        <v>321.92784000000017</v>
      </c>
      <c r="DQ45" s="13">
        <f t="shared" si="43"/>
        <v>75.754337936715828</v>
      </c>
      <c r="DR45" s="20">
        <f t="shared" si="16"/>
        <v>692.62979323978027</v>
      </c>
      <c r="DS45" s="59">
        <f t="shared" si="17"/>
        <v>959.59032632949447</v>
      </c>
      <c r="DT45" s="59">
        <f ca="1">AVERAGE(OFFSET($DS$3,0,0,'Données projet'!$E$14+1,1))-AVERAGE(OFFSET($H$3,0,0,'Données projet'!$E$14+1,1))</f>
        <v>442.34161202733173</v>
      </c>
      <c r="DU45" s="59">
        <f t="shared" si="44"/>
        <v>622.90413492324399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5.4692198199823103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5.4692198199823103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171.96</v>
      </c>
      <c r="EH45" s="12">
        <f>VLOOKUP(A45,'Données projet'!$A$191:$I$211,9,0)</f>
        <v>8.0511538458333352</v>
      </c>
      <c r="EI45" s="12">
        <f t="array" ref="EI45">INDEX(EH:EH,MIN(IF(ISNUMBER(EH45:EH241),ROW(EH45:EH241),"")))</f>
        <v>8.0511538458333352</v>
      </c>
      <c r="EJ45" s="12">
        <f>IF('Données projet'!$A$192&gt;35,EJ44+EI45-ER44,IF(A45&lt;'Données projet'!$A$192,$EG$205^A45,IF(A45='Données projet'!$A$192,'Données projet'!$B$192,EJ44+EI45-ER44)))</f>
        <v>171.96000000000006</v>
      </c>
      <c r="EK45" s="17">
        <f>EJ45*VLOOKUP('Données projet'!$B$15,Paramètres!$A$1:$I$89,3,0)*VLOOKUP('Données projet'!$B$15,Paramètres!$A$1:$I$89,5,0)</f>
        <v>187.78032000000007</v>
      </c>
      <c r="EL45" s="13">
        <f t="shared" si="45"/>
        <v>47.048877993845274</v>
      </c>
      <c r="EM45" s="20">
        <f t="shared" si="19"/>
        <v>408.99418650594731</v>
      </c>
      <c r="EN45" s="59">
        <f t="shared" si="20"/>
        <v>675.95471959566146</v>
      </c>
      <c r="EO45" s="59">
        <f ca="1">AVERAGE(OFFSET($EN$3,0,0,'Données projet'!$E$15+1,1))-AVERAGE(OFFSET($H$3,0,0,'Données projet'!$E$15+1,1))</f>
        <v>767.9449852393318</v>
      </c>
      <c r="EP45" s="59">
        <f t="shared" si="46"/>
        <v>230.95605490295961</v>
      </c>
      <c r="EQ45" s="15">
        <f>IF(ISNA(VLOOKUP(A45,'Données projet'!$A$191:$I$211,3,0)),0,VLOOKUP(A45,'Données projet'!$A$191:$I$211,3,0))</f>
        <v>1</v>
      </c>
      <c r="ER45" s="15">
        <f>IF(ISNA(VLOOKUP(A45,'Données projet'!$A$191:$I$211,4,0)),0,VLOOKUP(A45,'Données projet'!$A$191:$I$211,4,0))</f>
        <v>43.21</v>
      </c>
      <c r="ES45" s="16">
        <f>IF(ISNA(VLOOKUP(A45,'Données projet'!$A$191:$I$211,5,0)),0%,VLOOKUP(A45,'Données projet'!$A$191:$I$211,5,0)*VLOOKUP('Données projet'!$B$15,Paramètres!$A$1:$I$89,7,0))</f>
        <v>0.43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22.42964865177699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22.42964865177699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62.807418115376585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3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11</v>
      </c>
      <c r="H46" s="66">
        <f t="shared" si="1"/>
        <v>212.66666666666666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188.98184340090461</v>
      </c>
      <c r="T46" s="59">
        <f t="shared" si="34"/>
        <v>450.74604661797798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14.015000000000004</v>
      </c>
      <c r="AI46" s="13">
        <f>IF('Données projet'!$A$62&gt;35,AI45+AH46-AQ45,IF(A46&lt;'Données projet'!$A$62,$AF$205^A46,IF(A46='Données projet'!$A$62,'Données projet'!$B$62,AI45+AH46-AQ45)))</f>
        <v>206.61500000000004</v>
      </c>
      <c r="AJ46" s="13">
        <f>AI46*VLOOKUP('Données projet'!$B$10,Paramètres!$A$1:$I$89,3,0)*VLOOKUP('Données projet'!$B$10,Paramètres!$A$1:$I$89,5,0)</f>
        <v>186.94525200000001</v>
      </c>
      <c r="AK46" s="13">
        <f t="shared" si="35"/>
        <v>46.863955679429196</v>
      </c>
      <c r="AL46" s="20">
        <f t="shared" si="4"/>
        <v>407.21770337500584</v>
      </c>
      <c r="AM46" s="59">
        <f t="shared" si="5"/>
        <v>674.63574558819846</v>
      </c>
      <c r="AN46" s="59">
        <f ca="1">AVERAGE(OFFSET($AM$3,0,0,'Données projet'!$E$10+1,1))-AVERAGE(OFFSET($H$3,0,0,'Données projet'!$E$10+1,1))</f>
        <v>725.60981534362895</v>
      </c>
      <c r="AO46" s="59">
        <f t="shared" si="36"/>
        <v>265.16078167969272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36.122270302216471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36.122270302216471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2.9299999999999997</v>
      </c>
      <c r="BD46" s="12">
        <f>IF('Données projet'!$A$88&gt;35,BD45+BC46-BL45,IF(A46&lt;'Données projet'!$A$88,$BA$205^A46,IF(A46='Données projet'!$A$88,'Données projet'!$B$88,BD45+BC46-BL45)))</f>
        <v>94.19000000000014</v>
      </c>
      <c r="BE46" s="13">
        <f>BD46*VLOOKUP('Données projet'!$B$11,Paramètres!$A$1:$I$89,3,0)*VLOOKUP('Données projet'!$B$11,Paramètres!$A$1:$I$89,5,0)</f>
        <v>108.50688000000015</v>
      </c>
      <c r="BF46" s="13">
        <f t="shared" si="37"/>
        <v>28.978914527332929</v>
      </c>
      <c r="BG46" s="20">
        <f t="shared" si="7"/>
        <v>239.45442546843842</v>
      </c>
      <c r="BH46" s="59">
        <f t="shared" si="8"/>
        <v>506.87246768163095</v>
      </c>
      <c r="BI46" s="59">
        <f ca="1">AVERAGE(OFFSET($BH$3,0,0,'Données projet'!$E$11+1,1))-AVERAGE(OFFSET($H$3,0,0,'Données projet'!$E$11+1,1))</f>
        <v>332.93090933713466</v>
      </c>
      <c r="BJ46" s="59">
        <f t="shared" si="38"/>
        <v>251.83579649532973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5.0896848399031285</v>
      </c>
      <c r="BQ46" s="21">
        <f>EXP(-LN(2)/25)*BQ45+(1-EXP(-LN(2)/25))/(LN(2)/25)*Calculateur!BL46*Calculateur!BN46*VLOOKUP('Données projet'!$B$11,Paramètres!$A$1:$I$89,3,0)*0.475*44/12</f>
        <v>4.8502098471843622</v>
      </c>
      <c r="BR46" s="21">
        <f>EXP(-LN(2)/2)*BR45+(1-EXP(-LN(2)/2))/(LN(2)/2)*BL46*BO46*VLOOKUP('Données projet'!$B$11,Paramètres!$A$1:$I$89,3,0)*0.475*44/12</f>
        <v>2.9729650757659503E-5</v>
      </c>
      <c r="BS46" s="22">
        <f t="shared" si="9"/>
        <v>9.9399244167382488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9.9475000000000016</v>
      </c>
      <c r="BY46" s="12">
        <f>IF('Données projet'!$A$114&gt;35,BY45+BX46-CG45,IF(A46&lt;'Données projet'!$A$114,$BV$205^A46,IF(A46='Données projet'!$A$114,'Données projet'!$B$114,BY45+BX46-CG45)))</f>
        <v>138.69750000000005</v>
      </c>
      <c r="BZ46" s="13">
        <f>BY46*VLOOKUP('Données projet'!$B$12,Paramètres!$A$1:$I$89,3,0)*VLOOKUP('Données projet'!$B$12,Paramètres!$A$1:$I$89,5,0)</f>
        <v>157.94871300000005</v>
      </c>
      <c r="CA46" s="13">
        <f t="shared" si="39"/>
        <v>40.379495013247535</v>
      </c>
      <c r="CB46" s="20">
        <f t="shared" si="10"/>
        <v>345.42162895640627</v>
      </c>
      <c r="CC46" s="59">
        <f t="shared" si="11"/>
        <v>612.83967116959889</v>
      </c>
      <c r="CD46" s="59">
        <f ca="1">AVERAGE(OFFSET($CC$3,0,0,'Données projet'!$E$12+1,1))-AVERAGE(OFFSET($H$3,0,0,'Données projet'!$E$12+1,1))</f>
        <v>797.57191672067393</v>
      </c>
      <c r="CE46" s="59">
        <f t="shared" si="40"/>
        <v>238.59056544987126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22.93223764769834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22.93223764769834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>
        <f>CT46*VLOOKUP('Données projet'!$B$13,Paramètres!$A$1:$I$89,3,0)*VLOOKUP('Données projet'!$B$13,Paramètres!$A$1:$I$89,5,0)</f>
        <v>0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188.98184340090461</v>
      </c>
      <c r="CZ46" s="59">
        <f t="shared" si="42"/>
        <v>450.74604661797798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95.181191715562321</v>
      </c>
      <c r="DH46" s="21">
        <f>EXP(-LN(2)/2)*DH45+(1-EXP(-LN(2)/2))/(LN(2)/2)*DB46*DE46*VLOOKUP('Données projet'!$B$13,Paramètres!$A$1:$I$89,3,0)*0.475*44/12</f>
        <v>4.9676467718995029E-4</v>
      </c>
      <c r="DI46" s="22">
        <f t="shared" si="15"/>
        <v>95.181688480239515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7.4</v>
      </c>
      <c r="DO46" s="12">
        <f>IF('Données projet'!$A$166&gt;35,DO45+DN46-DW45,IF(A46&lt;'Données projet'!$A$166,$DL$205^A46,IF(A46='Données projet'!$A$166,'Données projet'!$B$166,DO45+DN46-DW45)))</f>
        <v>363.20000000000016</v>
      </c>
      <c r="DP46" s="17">
        <f>DO46*VLOOKUP('Données projet'!$B$14,Paramètres!$A$1:$I$89,3,0)*VLOOKUP('Données projet'!$B$14,Paramètres!$A$1:$I$89,5,0)</f>
        <v>328.62336000000016</v>
      </c>
      <c r="DQ46" s="13">
        <f t="shared" si="43"/>
        <v>77.144825174157617</v>
      </c>
      <c r="DR46" s="20">
        <f t="shared" si="16"/>
        <v>706.71292251165812</v>
      </c>
      <c r="DS46" s="59">
        <f t="shared" si="17"/>
        <v>974.13096472485063</v>
      </c>
      <c r="DT46" s="59">
        <f ca="1">AVERAGE(OFFSET($DS$3,0,0,'Données projet'!$E$14+1,1))-AVERAGE(OFFSET($H$3,0,0,'Données projet'!$E$14+1,1))</f>
        <v>442.34161202733173</v>
      </c>
      <c r="DU46" s="59">
        <f t="shared" si="44"/>
        <v>622.90413492324399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5.3619717552071551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5.3619717552071551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9.9475000000000016</v>
      </c>
      <c r="EJ46" s="12">
        <f>IF('Données projet'!$A$192&gt;35,EJ45+EI46-ER45,IF(A46&lt;'Données projet'!$A$192,$EG$205^A46,IF(A46='Données projet'!$A$192,'Données projet'!$B$192,EJ45+EI46-ER45)))</f>
        <v>138.69750000000005</v>
      </c>
      <c r="EK46" s="17">
        <f>EJ46*VLOOKUP('Données projet'!$B$15,Paramètres!$A$1:$I$89,3,0)*VLOOKUP('Données projet'!$B$15,Paramètres!$A$1:$I$89,5,0)</f>
        <v>151.45767000000006</v>
      </c>
      <c r="EL46" s="13">
        <f t="shared" si="45"/>
        <v>38.909659679959752</v>
      </c>
      <c r="EM46" s="20">
        <f t="shared" si="19"/>
        <v>331.55643252593001</v>
      </c>
      <c r="EN46" s="59">
        <f t="shared" si="20"/>
        <v>598.97447473912257</v>
      </c>
      <c r="EO46" s="59">
        <f ca="1">AVERAGE(OFFSET($EN$3,0,0,'Données projet'!$E$15+1,1))-AVERAGE(OFFSET($H$3,0,0,'Données projet'!$E$15+1,1))</f>
        <v>767.9449852393318</v>
      </c>
      <c r="EP46" s="59">
        <f t="shared" si="46"/>
        <v>230.95605490295961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21.989816922450462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21.989816922450462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62.932193330870696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3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11</v>
      </c>
      <c r="H47" s="66">
        <f t="shared" si="1"/>
        <v>212.66666666666666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188.98184340090461</v>
      </c>
      <c r="T47" s="59">
        <f t="shared" si="34"/>
        <v>450.74604661797798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14.015000000000004</v>
      </c>
      <c r="AI47" s="13">
        <f>IF('Données projet'!$A$62&gt;35,AI46+AH47-AQ46,IF(A47&lt;'Données projet'!$A$62,$AF$205^A47,IF(A47='Données projet'!$A$62,'Données projet'!$B$62,AI46+AH47-AQ46)))</f>
        <v>220.63000000000005</v>
      </c>
      <c r="AJ47" s="13">
        <f>AI47*VLOOKUP('Données projet'!$B$10,Paramètres!$A$1:$I$89,3,0)*VLOOKUP('Données projet'!$B$10,Paramètres!$A$1:$I$89,5,0)</f>
        <v>199.62602400000003</v>
      </c>
      <c r="AK47" s="13">
        <f t="shared" si="35"/>
        <v>49.661970169140027</v>
      </c>
      <c r="AL47" s="20">
        <f t="shared" si="4"/>
        <v>434.17658984458558</v>
      </c>
      <c r="AM47" s="59">
        <f t="shared" si="5"/>
        <v>702.04420442080141</v>
      </c>
      <c r="AN47" s="59">
        <f ca="1">AVERAGE(OFFSET($AM$3,0,0,'Données projet'!$E$10+1,1))-AVERAGE(OFFSET($H$3,0,0,'Données projet'!$E$10+1,1))</f>
        <v>725.60981534362895</v>
      </c>
      <c r="AO47" s="59">
        <f t="shared" si="36"/>
        <v>265.16078167969272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35.413934613999373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35.413934613999373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2.9299999999999997</v>
      </c>
      <c r="BD47" s="12">
        <f>IF('Données projet'!$A$88&gt;35,BD46+BC47-BL46,IF(A47&lt;'Données projet'!$A$88,$BA$205^A47,IF(A47='Données projet'!$A$88,'Données projet'!$B$88,BD46+BC47-BL46)))</f>
        <v>97.120000000000147</v>
      </c>
      <c r="BE47" s="13">
        <f>BD47*VLOOKUP('Données projet'!$B$11,Paramètres!$A$1:$I$89,3,0)*VLOOKUP('Données projet'!$B$11,Paramètres!$A$1:$I$89,5,0)</f>
        <v>111.88224000000015</v>
      </c>
      <c r="BF47" s="13">
        <f t="shared" si="37"/>
        <v>29.774016142941445</v>
      </c>
      <c r="BG47" s="20">
        <f t="shared" si="7"/>
        <v>246.71797944895661</v>
      </c>
      <c r="BH47" s="59">
        <f t="shared" si="8"/>
        <v>514.58559402517244</v>
      </c>
      <c r="BI47" s="59">
        <f ca="1">AVERAGE(OFFSET($BH$3,0,0,'Données projet'!$E$11+1,1))-AVERAGE(OFFSET($H$3,0,0,'Données projet'!$E$11+1,1))</f>
        <v>332.93090933713466</v>
      </c>
      <c r="BJ47" s="59">
        <f t="shared" si="38"/>
        <v>251.83579649532973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4.9898792245938459</v>
      </c>
      <c r="BQ47" s="21">
        <f>EXP(-LN(2)/25)*BQ46+(1-EXP(-LN(2)/25))/(LN(2)/25)*Calculateur!BL47*Calculateur!BN47*VLOOKUP('Données projet'!$B$11,Paramètres!$A$1:$I$89,3,0)*0.475*44/12</f>
        <v>4.7175806038516557</v>
      </c>
      <c r="BR47" s="21">
        <f>EXP(-LN(2)/2)*BR46+(1-EXP(-LN(2)/2))/(LN(2)/2)*BL47*BO47*VLOOKUP('Données projet'!$B$11,Paramètres!$A$1:$I$89,3,0)*0.475*44/12</f>
        <v>2.1022037653048817E-5</v>
      </c>
      <c r="BS47" s="22">
        <f t="shared" si="9"/>
        <v>9.7074808504831545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9.9475000000000016</v>
      </c>
      <c r="BY47" s="12">
        <f>IF('Données projet'!$A$114&gt;35,BY46+BX47-CG46,IF(A47&lt;'Données projet'!$A$114,$BV$205^A47,IF(A47='Données projet'!$A$114,'Données projet'!$B$114,BY46+BX47-CG46)))</f>
        <v>148.64500000000004</v>
      </c>
      <c r="BZ47" s="13">
        <f>BY47*VLOOKUP('Données projet'!$B$12,Paramètres!$A$1:$I$89,3,0)*VLOOKUP('Données projet'!$B$12,Paramètres!$A$1:$I$89,5,0)</f>
        <v>169.27692600000003</v>
      </c>
      <c r="CA47" s="13">
        <f t="shared" si="39"/>
        <v>42.928038910438609</v>
      </c>
      <c r="CB47" s="20">
        <f t="shared" si="10"/>
        <v>369.59031388568059</v>
      </c>
      <c r="CC47" s="59">
        <f t="shared" si="11"/>
        <v>637.45792846189636</v>
      </c>
      <c r="CD47" s="59">
        <f ca="1">AVERAGE(OFFSET($CC$3,0,0,'Données projet'!$E$12+1,1))-AVERAGE(OFFSET($H$3,0,0,'Données projet'!$E$12+1,1))</f>
        <v>797.57191672067393</v>
      </c>
      <c r="CE47" s="59">
        <f t="shared" si="40"/>
        <v>238.59056544987126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22.482550454710811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22.482550454710811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>
        <f>CT47*VLOOKUP('Données projet'!$B$13,Paramètres!$A$1:$I$89,3,0)*VLOOKUP('Données projet'!$B$13,Paramètres!$A$1:$I$89,5,0)</f>
        <v>0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188.98184340090461</v>
      </c>
      <c r="CZ47" s="59">
        <f t="shared" si="42"/>
        <v>450.74604661797798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92.578457022738931</v>
      </c>
      <c r="DH47" s="21">
        <f>EXP(-LN(2)/2)*DH46+(1-EXP(-LN(2)/2))/(LN(2)/2)*DB47*DE47*VLOOKUP('Données projet'!$B$13,Paramètres!$A$1:$I$89,3,0)*0.475*44/12</f>
        <v>3.512656718949601E-4</v>
      </c>
      <c r="DI47" s="22">
        <f t="shared" si="15"/>
        <v>92.578808288410826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7.4</v>
      </c>
      <c r="DO47" s="12">
        <f>IF('Données projet'!$A$166&gt;35,DO46+DN47-DW46,IF(A47&lt;'Données projet'!$A$166,$DL$205^A47,IF(A47='Données projet'!$A$166,'Données projet'!$B$166,DO46+DN47-DW46)))</f>
        <v>370.60000000000014</v>
      </c>
      <c r="DP47" s="17">
        <f>DO47*VLOOKUP('Données projet'!$B$14,Paramètres!$A$1:$I$89,3,0)*VLOOKUP('Données projet'!$B$14,Paramètres!$A$1:$I$89,5,0)</f>
        <v>335.31888000000009</v>
      </c>
      <c r="DQ47" s="13">
        <f t="shared" si="43"/>
        <v>78.532018418019703</v>
      </c>
      <c r="DR47" s="20">
        <f t="shared" si="16"/>
        <v>720.79031474471776</v>
      </c>
      <c r="DS47" s="59">
        <f t="shared" si="17"/>
        <v>988.65792932093359</v>
      </c>
      <c r="DT47" s="59">
        <f ca="1">AVERAGE(OFFSET($DS$3,0,0,'Données projet'!$E$14+1,1))-AVERAGE(OFFSET($H$3,0,0,'Données projet'!$E$14+1,1))</f>
        <v>442.34161202733173</v>
      </c>
      <c r="DU47" s="59">
        <f t="shared" si="44"/>
        <v>622.90413492324399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5.2568267595673808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5.2568267595673808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9.9475000000000016</v>
      </c>
      <c r="EJ47" s="12">
        <f>IF('Données projet'!$A$192&gt;35,EJ46+EI47-ER46,IF(A47&lt;'Données projet'!$A$192,$EG$205^A47,IF(A47='Données projet'!$A$192,'Données projet'!$B$192,EJ46+EI47-ER46)))</f>
        <v>148.64500000000004</v>
      </c>
      <c r="EK47" s="17">
        <f>EJ47*VLOOKUP('Données projet'!$B$15,Paramètres!$A$1:$I$89,3,0)*VLOOKUP('Données projet'!$B$15,Paramètres!$A$1:$I$89,5,0)</f>
        <v>162.32034000000004</v>
      </c>
      <c r="EL47" s="13">
        <f t="shared" si="45"/>
        <v>41.365435208767344</v>
      </c>
      <c r="EM47" s="20">
        <f t="shared" si="19"/>
        <v>354.75272515526984</v>
      </c>
      <c r="EN47" s="59">
        <f t="shared" si="20"/>
        <v>622.62033973148561</v>
      </c>
      <c r="EO47" s="59">
        <f ca="1">AVERAGE(OFFSET($EN$3,0,0,'Données projet'!$E$15+1,1))-AVERAGE(OFFSET($H$3,0,0,'Données projet'!$E$15+1,1))</f>
        <v>767.9449852393318</v>
      </c>
      <c r="EP47" s="59">
        <f t="shared" si="46"/>
        <v>230.95605490295961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21.55861002506516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21.55861002506516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63.054803975331573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3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11</v>
      </c>
      <c r="H48" s="66">
        <f t="shared" si="1"/>
        <v>212.66666666666666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188.98184340090461</v>
      </c>
      <c r="T48" s="59">
        <f t="shared" si="34"/>
        <v>450.74604661797798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14.015000000000004</v>
      </c>
      <c r="AI48" s="13">
        <f>IF('Données projet'!$A$62&gt;35,AI47+AH48-AQ47,IF(A48&lt;'Données projet'!$A$62,$AF$205^A48,IF(A48='Données projet'!$A$62,'Données projet'!$B$62,AI47+AH48-AQ47)))</f>
        <v>234.64500000000007</v>
      </c>
      <c r="AJ48" s="13">
        <f>AI48*VLOOKUP('Données projet'!$B$10,Paramètres!$A$1:$I$89,3,0)*VLOOKUP('Données projet'!$B$10,Paramètres!$A$1:$I$89,5,0)</f>
        <v>212.30679600000005</v>
      </c>
      <c r="AK48" s="13">
        <f t="shared" si="35"/>
        <v>52.439357699522503</v>
      </c>
      <c r="AL48" s="20">
        <f t="shared" si="4"/>
        <v>461.09955102666845</v>
      </c>
      <c r="AM48" s="59">
        <f t="shared" si="5"/>
        <v>729.40893889050221</v>
      </c>
      <c r="AN48" s="59">
        <f ca="1">AVERAGE(OFFSET($AM$3,0,0,'Données projet'!$E$10+1,1))-AVERAGE(OFFSET($H$3,0,0,'Données projet'!$E$10+1,1))</f>
        <v>725.60981534362895</v>
      </c>
      <c r="AO48" s="59">
        <f t="shared" si="36"/>
        <v>265.16078167969272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34.719488956586098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34.719488956586098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2.9299999999999997</v>
      </c>
      <c r="BD48" s="12">
        <f>IF('Données projet'!$A$88&gt;35,BD47+BC48-BL47,IF(A48&lt;'Données projet'!$A$88,$BA$205^A48,IF(A48='Données projet'!$A$88,'Données projet'!$B$88,BD47+BC48-BL47)))</f>
        <v>100.05000000000015</v>
      </c>
      <c r="BE48" s="13">
        <f>BD48*VLOOKUP('Données projet'!$B$11,Paramètres!$A$1:$I$89,3,0)*VLOOKUP('Données projet'!$B$11,Paramètres!$A$1:$I$89,5,0)</f>
        <v>115.25760000000017</v>
      </c>
      <c r="BF48" s="13">
        <f t="shared" si="37"/>
        <v>30.566330085400256</v>
      </c>
      <c r="BG48" s="20">
        <f t="shared" si="7"/>
        <v>253.97667823207243</v>
      </c>
      <c r="BH48" s="59">
        <f t="shared" si="8"/>
        <v>522.28606609590622</v>
      </c>
      <c r="BI48" s="59">
        <f ca="1">AVERAGE(OFFSET($BH$3,0,0,'Données projet'!$E$11+1,1))-AVERAGE(OFFSET($H$3,0,0,'Données projet'!$E$11+1,1))</f>
        <v>332.93090933713466</v>
      </c>
      <c r="BJ48" s="59">
        <f t="shared" si="38"/>
        <v>251.83579649532973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4.8920307365253644</v>
      </c>
      <c r="BQ48" s="21">
        <f>EXP(-LN(2)/25)*BQ47+(1-EXP(-LN(2)/25))/(LN(2)/25)*Calculateur!BL48*Calculateur!BN48*VLOOKUP('Données projet'!$B$11,Paramètres!$A$1:$I$89,3,0)*0.475*44/12</f>
        <v>4.5885781141525506</v>
      </c>
      <c r="BR48" s="21">
        <f>EXP(-LN(2)/2)*BR47+(1-EXP(-LN(2)/2))/(LN(2)/2)*BL48*BO48*VLOOKUP('Données projet'!$B$11,Paramètres!$A$1:$I$89,3,0)*0.475*44/12</f>
        <v>1.4864825378829753E-5</v>
      </c>
      <c r="BS48" s="22">
        <f t="shared" si="9"/>
        <v>9.4806237155032935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9.9475000000000016</v>
      </c>
      <c r="BY48" s="12">
        <f>IF('Données projet'!$A$114&gt;35,BY47+BX48-CG47,IF(A48&lt;'Données projet'!$A$114,$BV$205^A48,IF(A48='Données projet'!$A$114,'Données projet'!$B$114,BY47+BX48-CG47)))</f>
        <v>158.59250000000003</v>
      </c>
      <c r="BZ48" s="13">
        <f>BY48*VLOOKUP('Données projet'!$B$12,Paramètres!$A$1:$I$89,3,0)*VLOOKUP('Données projet'!$B$12,Paramètres!$A$1:$I$89,5,0)</f>
        <v>180.60513900000004</v>
      </c>
      <c r="CA48" s="13">
        <f t="shared" si="39"/>
        <v>45.456792135568733</v>
      </c>
      <c r="CB48" s="20">
        <f t="shared" si="10"/>
        <v>393.72453006111556</v>
      </c>
      <c r="CC48" s="59">
        <f t="shared" si="11"/>
        <v>662.03391792494938</v>
      </c>
      <c r="CD48" s="59">
        <f ca="1">AVERAGE(OFFSET($CC$3,0,0,'Données projet'!$E$12+1,1))-AVERAGE(OFFSET($H$3,0,0,'Données projet'!$E$12+1,1))</f>
        <v>797.57191672067393</v>
      </c>
      <c r="CE48" s="59">
        <f t="shared" si="40"/>
        <v>238.59056544987126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22.041681353295662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22.041681353295662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>
        <f>CT48*VLOOKUP('Données projet'!$B$13,Paramètres!$A$1:$I$89,3,0)*VLOOKUP('Données projet'!$B$13,Paramètres!$A$1:$I$89,5,0)</f>
        <v>0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188.98184340090461</v>
      </c>
      <c r="CZ48" s="59">
        <f t="shared" si="42"/>
        <v>450.74604661797798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90.046894246962665</v>
      </c>
      <c r="DH48" s="21">
        <f>EXP(-LN(2)/2)*DH47+(1-EXP(-LN(2)/2))/(LN(2)/2)*DB48*DE48*VLOOKUP('Données projet'!$B$13,Paramètres!$A$1:$I$89,3,0)*0.475*44/12</f>
        <v>2.4838233859497515E-4</v>
      </c>
      <c r="DI48" s="22">
        <f t="shared" si="15"/>
        <v>90.047142629301263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>
        <f>VLOOKUP(A48,'Données projet'!$A$165:$I$185,2,0)</f>
        <v>378</v>
      </c>
      <c r="DM48" s="12">
        <f>VLOOKUP(A48,'Données projet'!$A$165:$I$185,9,0)</f>
        <v>7.4</v>
      </c>
      <c r="DN48" s="12">
        <f t="array" ref="DN48">INDEX(DM:DM,MIN(IF(ISNUMBER(DM48:DM244),ROW(DM48:DM244),"")))</f>
        <v>7.4</v>
      </c>
      <c r="DO48" s="12">
        <f>IF('Données projet'!$A$166&gt;35,DO47+DN48-DW47,IF(A48&lt;'Données projet'!$A$166,$DL$205^A48,IF(A48='Données projet'!$A$166,'Données projet'!$B$166,DO47+DN48-DW47)))</f>
        <v>378.00000000000011</v>
      </c>
      <c r="DP48" s="17">
        <f>DO48*VLOOKUP('Données projet'!$B$14,Paramètres!$A$1:$I$89,3,0)*VLOOKUP('Données projet'!$B$14,Paramètres!$A$1:$I$89,5,0)</f>
        <v>342.01440000000008</v>
      </c>
      <c r="DQ48" s="13">
        <f t="shared" si="43"/>
        <v>79.915991022086629</v>
      </c>
      <c r="DR48" s="20">
        <f t="shared" si="16"/>
        <v>734.86209769680102</v>
      </c>
      <c r="DS48" s="59">
        <f t="shared" si="17"/>
        <v>1003.1714855606349</v>
      </c>
      <c r="DT48" s="59">
        <f ca="1">AVERAGE(OFFSET($DS$3,0,0,'Données projet'!$E$14+1,1))-AVERAGE(OFFSET($H$3,0,0,'Données projet'!$E$14+1,1))</f>
        <v>442.34161202733173</v>
      </c>
      <c r="DU48" s="59">
        <f t="shared" si="44"/>
        <v>622.90413492324399</v>
      </c>
      <c r="DV48" s="15">
        <f>IF(ISNA(VLOOKUP(A48,'Données projet'!$A$165:$I$185,3,0)),0,VLOOKUP(A48,'Données projet'!$A$165:$I$185,3,0))</f>
        <v>9</v>
      </c>
      <c r="DW48" s="15">
        <f>IF(ISNA(VLOOKUP(A48,'Données projet'!$A$165:$I$185,4,0)),0,VLOOKUP(A48,'Données projet'!$A$165:$I$185,4,0))</f>
        <v>9</v>
      </c>
      <c r="DX48" s="16">
        <f>IF(ISNA(VLOOKUP(A48,'Données projet'!$A$165:$I$185,5,0)),0%,VLOOKUP(A48,'Données projet'!$A$165:$I$185,5,0)*VLOOKUP('Données projet'!$B$14,Paramètres!$A$1:$I$89,7,0))</f>
        <v>0.3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7.8543635115438022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7.8543635115438022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9.9475000000000016</v>
      </c>
      <c r="EJ48" s="12">
        <f>IF('Données projet'!$A$192&gt;35,EJ47+EI48-ER47,IF(A48&lt;'Données projet'!$A$192,$EG$205^A48,IF(A48='Données projet'!$A$192,'Données projet'!$B$192,EJ47+EI48-ER47)))</f>
        <v>158.59250000000003</v>
      </c>
      <c r="EK48" s="17">
        <f>EJ48*VLOOKUP('Données projet'!$B$15,Paramètres!$A$1:$I$89,3,0)*VLOOKUP('Données projet'!$B$15,Paramètres!$A$1:$I$89,5,0)</f>
        <v>173.18301000000002</v>
      </c>
      <c r="EL48" s="13">
        <f t="shared" si="45"/>
        <v>43.802140456619867</v>
      </c>
      <c r="EM48" s="20">
        <f t="shared" si="19"/>
        <v>377.91580371194624</v>
      </c>
      <c r="EN48" s="59">
        <f t="shared" si="20"/>
        <v>646.22519157578006</v>
      </c>
      <c r="EO48" s="59">
        <f ca="1">AVERAGE(OFFSET($EN$3,0,0,'Données projet'!$E$15+1,1))-AVERAGE(OFFSET($H$3,0,0,'Données projet'!$E$15+1,1))</f>
        <v>767.9449852393318</v>
      </c>
      <c r="EP48" s="59">
        <f t="shared" si="46"/>
        <v>230.95605490295961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21.135858831927347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21.135858831927347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63.175287599227396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3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11</v>
      </c>
      <c r="H49" s="66">
        <f t="shared" si="1"/>
        <v>212.66666666666666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188.98184340090461</v>
      </c>
      <c r="T49" s="59">
        <f t="shared" si="34"/>
        <v>450.74604661797798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14.015000000000004</v>
      </c>
      <c r="AI49" s="13">
        <f>IF('Données projet'!$A$62&gt;35,AI48+AH49-AQ48,IF(A49&lt;'Données projet'!$A$62,$AF$205^A49,IF(A49='Données projet'!$A$62,'Données projet'!$B$62,AI48+AH49-AQ48)))</f>
        <v>248.66000000000008</v>
      </c>
      <c r="AJ49" s="13">
        <f>AI49*VLOOKUP('Données projet'!$B$10,Paramètres!$A$1:$I$89,3,0)*VLOOKUP('Données projet'!$B$10,Paramètres!$A$1:$I$89,5,0)</f>
        <v>224.98756800000007</v>
      </c>
      <c r="AK49" s="13">
        <f t="shared" si="35"/>
        <v>55.197490604905951</v>
      </c>
      <c r="AL49" s="20">
        <f t="shared" si="4"/>
        <v>487.98897707021132</v>
      </c>
      <c r="AM49" s="59">
        <f t="shared" si="5"/>
        <v>756.73247444278002</v>
      </c>
      <c r="AN49" s="59">
        <f ca="1">AVERAGE(OFFSET($AM$3,0,0,'Données projet'!$E$10+1,1))-AVERAGE(OFFSET($H$3,0,0,'Données projet'!$E$10+1,1))</f>
        <v>725.60981534362895</v>
      </c>
      <c r="AO49" s="59">
        <f t="shared" si="36"/>
        <v>265.16078167969272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34.038660954944675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34.038660954944675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2.9299999999999997</v>
      </c>
      <c r="BD49" s="12">
        <f>IF('Données projet'!$A$88&gt;35,BD48+BC49-BL48,IF(A49&lt;'Données projet'!$A$88,$BA$205^A49,IF(A49='Données projet'!$A$88,'Données projet'!$B$88,BD48+BC49-BL48)))</f>
        <v>102.98000000000016</v>
      </c>
      <c r="BE49" s="13">
        <f>BD49*VLOOKUP('Données projet'!$B$11,Paramètres!$A$1:$I$89,3,0)*VLOOKUP('Données projet'!$B$11,Paramètres!$A$1:$I$89,5,0)</f>
        <v>118.63296000000018</v>
      </c>
      <c r="BF49" s="13">
        <f t="shared" si="37"/>
        <v>31.355947366584633</v>
      </c>
      <c r="BG49" s="20">
        <f t="shared" si="7"/>
        <v>261.23068033013521</v>
      </c>
      <c r="BH49" s="59">
        <f t="shared" si="8"/>
        <v>529.97417770270386</v>
      </c>
      <c r="BI49" s="59">
        <f ca="1">AVERAGE(OFFSET($BH$3,0,0,'Données projet'!$E$11+1,1))-AVERAGE(OFFSET($H$3,0,0,'Données projet'!$E$11+1,1))</f>
        <v>332.93090933713466</v>
      </c>
      <c r="BJ49" s="59">
        <f t="shared" si="38"/>
        <v>251.83579649532973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4.7961009976262208</v>
      </c>
      <c r="BQ49" s="21">
        <f>EXP(-LN(2)/25)*BQ48+(1-EXP(-LN(2)/25))/(LN(2)/25)*Calculateur!BL49*Calculateur!BN49*VLOOKUP('Données projet'!$B$11,Paramètres!$A$1:$I$89,3,0)*0.475*44/12</f>
        <v>4.4631032043182133</v>
      </c>
      <c r="BR49" s="21">
        <f>EXP(-LN(2)/2)*BR48+(1-EXP(-LN(2)/2))/(LN(2)/2)*BL49*BO49*VLOOKUP('Données projet'!$B$11,Paramètres!$A$1:$I$89,3,0)*0.475*44/12</f>
        <v>1.051101882652441E-5</v>
      </c>
      <c r="BS49" s="22">
        <f t="shared" si="9"/>
        <v>9.2592147129632618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9.9475000000000016</v>
      </c>
      <c r="BY49" s="12">
        <f>IF('Données projet'!$A$114&gt;35,BY48+BX49-CG48,IF(A49&lt;'Données projet'!$A$114,$BV$205^A49,IF(A49='Données projet'!$A$114,'Données projet'!$B$114,BY48+BX49-CG48)))</f>
        <v>168.54000000000002</v>
      </c>
      <c r="BZ49" s="13">
        <f>BY49*VLOOKUP('Données projet'!$B$12,Paramètres!$A$1:$I$89,3,0)*VLOOKUP('Données projet'!$B$12,Paramètres!$A$1:$I$89,5,0)</f>
        <v>191.93335200000001</v>
      </c>
      <c r="CA49" s="13">
        <f t="shared" si="39"/>
        <v>47.967137346746064</v>
      </c>
      <c r="CB49" s="20">
        <f t="shared" si="10"/>
        <v>417.82668561224938</v>
      </c>
      <c r="CC49" s="59">
        <f t="shared" si="11"/>
        <v>686.57018298481808</v>
      </c>
      <c r="CD49" s="59">
        <f ca="1">AVERAGE(OFFSET($CC$3,0,0,'Données projet'!$E$12+1,1))-AVERAGE(OFFSET($H$3,0,0,'Données projet'!$E$12+1,1))</f>
        <v>797.57191672067393</v>
      </c>
      <c r="CE49" s="59">
        <f t="shared" si="40"/>
        <v>238.59056544987126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21.609457426055666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21.609457426055666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>
        <f>CT49*VLOOKUP('Données projet'!$B$13,Paramètres!$A$1:$I$89,3,0)*VLOOKUP('Données projet'!$B$13,Paramètres!$A$1:$I$89,5,0)</f>
        <v>0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188.98184340090461</v>
      </c>
      <c r="CZ49" s="59">
        <f t="shared" si="42"/>
        <v>450.74604661797798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87.584557188419112</v>
      </c>
      <c r="DH49" s="21">
        <f>EXP(-LN(2)/2)*DH48+(1-EXP(-LN(2)/2))/(LN(2)/2)*DB49*DE49*VLOOKUP('Données projet'!$B$13,Paramètres!$A$1:$I$89,3,0)*0.475*44/12</f>
        <v>1.7563283594748005E-4</v>
      </c>
      <c r="DI49" s="22">
        <f t="shared" si="15"/>
        <v>87.584732821255059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369.00000000000011</v>
      </c>
      <c r="DP49" s="17">
        <f>DO49*VLOOKUP('Données projet'!$B$14,Paramètres!$A$1:$I$89,3,0)*VLOOKUP('Données projet'!$B$14,Paramètres!$A$1:$I$89,5,0)</f>
        <v>333.87120000000004</v>
      </c>
      <c r="DQ49" s="13">
        <f t="shared" si="43"/>
        <v>78.232360111376309</v>
      </c>
      <c r="DR49" s="20">
        <f t="shared" si="16"/>
        <v>717.74703386064709</v>
      </c>
      <c r="DS49" s="59">
        <f t="shared" si="17"/>
        <v>986.49053123321573</v>
      </c>
      <c r="DT49" s="59">
        <f ca="1">AVERAGE(OFFSET($DS$3,0,0,'Données projet'!$E$14+1,1))-AVERAGE(OFFSET($H$3,0,0,'Données projet'!$E$14+1,1))</f>
        <v>442.34161202733173</v>
      </c>
      <c r="DU49" s="59">
        <f t="shared" si="44"/>
        <v>622.90413492324399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7.700344233771129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7.700344233771129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9.9475000000000016</v>
      </c>
      <c r="EJ49" s="12">
        <f>IF('Données projet'!$A$192&gt;35,EJ48+EI49-ER48,IF(A49&lt;'Données projet'!$A$192,$EG$205^A49,IF(A49='Données projet'!$A$192,'Données projet'!$B$192,EJ48+EI49-ER48)))</f>
        <v>168.54000000000002</v>
      </c>
      <c r="EK49" s="17">
        <f>EJ49*VLOOKUP('Données projet'!$B$15,Paramètres!$A$1:$I$89,3,0)*VLOOKUP('Données projet'!$B$15,Paramètres!$A$1:$I$89,5,0)</f>
        <v>184.04568000000003</v>
      </c>
      <c r="EL49" s="13">
        <f t="shared" si="45"/>
        <v>46.221107752126649</v>
      </c>
      <c r="EM49" s="20">
        <f t="shared" si="19"/>
        <v>401.04798866828725</v>
      </c>
      <c r="EN49" s="59">
        <f t="shared" si="20"/>
        <v>669.79148604085594</v>
      </c>
      <c r="EO49" s="59">
        <f ca="1">AVERAGE(OFFSET($EN$3,0,0,'Données projet'!$E$15+1,1))-AVERAGE(OFFSET($H$3,0,0,'Données projet'!$E$15+1,1))</f>
        <v>767.9449852393318</v>
      </c>
      <c r="EP49" s="59">
        <f t="shared" si="46"/>
        <v>230.95605490295961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20.721397531834199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20.721397531834199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63.29368110160965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3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11</v>
      </c>
      <c r="H50" s="66">
        <f t="shared" si="1"/>
        <v>212.66666666666666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188.98184340090461</v>
      </c>
      <c r="T50" s="59">
        <f t="shared" si="34"/>
        <v>450.74604661797798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14.015000000000004</v>
      </c>
      <c r="AI50" s="13">
        <f>IF('Données projet'!$A$62&gt;35,AI49+AH50-AQ49,IF(A50&lt;'Données projet'!$A$62,$AF$205^A50,IF(A50='Données projet'!$A$62,'Données projet'!$B$62,AI49+AH50-AQ49)))</f>
        <v>262.67500000000007</v>
      </c>
      <c r="AJ50" s="13">
        <f>AI50*VLOOKUP('Données projet'!$B$10,Paramètres!$A$1:$I$89,3,0)*VLOOKUP('Données projet'!$B$10,Paramètres!$A$1:$I$89,5,0)</f>
        <v>237.66834000000003</v>
      </c>
      <c r="AK50" s="13">
        <f t="shared" si="35"/>
        <v>57.937577787044361</v>
      </c>
      <c r="AL50" s="20">
        <f t="shared" si="4"/>
        <v>514.8469734791023</v>
      </c>
      <c r="AM50" s="59">
        <f t="shared" si="5"/>
        <v>784.01704953095293</v>
      </c>
      <c r="AN50" s="59">
        <f ca="1">AVERAGE(OFFSET($AM$3,0,0,'Données projet'!$E$10+1,1))-AVERAGE(OFFSET($H$3,0,0,'Données projet'!$E$10+1,1))</f>
        <v>725.60981534362895</v>
      </c>
      <c r="AO50" s="59">
        <f t="shared" si="36"/>
        <v>265.16078167969272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33.371183575151363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33.371183575151363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2.9299999999999997</v>
      </c>
      <c r="BD50" s="12">
        <f>IF('Données projet'!$A$88&gt;35,BD49+BC50-BL49,IF(A50&lt;'Données projet'!$A$88,$BA$205^A50,IF(A50='Données projet'!$A$88,'Données projet'!$B$88,BD49+BC50-BL49)))</f>
        <v>105.91000000000017</v>
      </c>
      <c r="BE50" s="13">
        <f>BD50*VLOOKUP('Données projet'!$B$11,Paramètres!$A$1:$I$89,3,0)*VLOOKUP('Données projet'!$B$11,Paramètres!$A$1:$I$89,5,0)</f>
        <v>122.00832000000017</v>
      </c>
      <c r="BF50" s="13">
        <f t="shared" si="37"/>
        <v>32.142953524822055</v>
      </c>
      <c r="BG50" s="20">
        <f t="shared" si="7"/>
        <v>268.4801347223987</v>
      </c>
      <c r="BH50" s="59">
        <f t="shared" si="8"/>
        <v>537.65021077424933</v>
      </c>
      <c r="BI50" s="59">
        <f ca="1">AVERAGE(OFFSET($BH$3,0,0,'Données projet'!$E$11+1,1))-AVERAGE(OFFSET($H$3,0,0,'Données projet'!$E$11+1,1))</f>
        <v>332.93090933713466</v>
      </c>
      <c r="BJ50" s="59">
        <f t="shared" si="38"/>
        <v>251.83579649532973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4.7020523823955269</v>
      </c>
      <c r="BQ50" s="21">
        <f>EXP(-LN(2)/25)*BQ49+(1-EXP(-LN(2)/25))/(LN(2)/25)*Calculateur!BL50*Calculateur!BN50*VLOOKUP('Données projet'!$B$11,Paramètres!$A$1:$I$89,3,0)*0.475*44/12</f>
        <v>4.3410594124917345</v>
      </c>
      <c r="BR50" s="21">
        <f>EXP(-LN(2)/2)*BR49+(1-EXP(-LN(2)/2))/(LN(2)/2)*BL50*BO50*VLOOKUP('Données projet'!$B$11,Paramètres!$A$1:$I$89,3,0)*0.475*44/12</f>
        <v>7.4324126894148784E-6</v>
      </c>
      <c r="BS50" s="22">
        <f t="shared" si="9"/>
        <v>9.0431192272999503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9.9475000000000016</v>
      </c>
      <c r="BY50" s="12">
        <f>IF('Données projet'!$A$114&gt;35,BY49+BX50-CG49,IF(A50&lt;'Données projet'!$A$114,$BV$205^A50,IF(A50='Données projet'!$A$114,'Données projet'!$B$114,BY49+BX50-CG49)))</f>
        <v>178.48750000000001</v>
      </c>
      <c r="BZ50" s="13">
        <f>BY50*VLOOKUP('Données projet'!$B$12,Paramètres!$A$1:$I$89,3,0)*VLOOKUP('Données projet'!$B$12,Paramètres!$A$1:$I$89,5,0)</f>
        <v>203.26156499999999</v>
      </c>
      <c r="CA50" s="13">
        <f t="shared" si="39"/>
        <v>50.460284768468533</v>
      </c>
      <c r="CB50" s="20">
        <f t="shared" si="10"/>
        <v>441.89888834674935</v>
      </c>
      <c r="CC50" s="59">
        <f t="shared" si="11"/>
        <v>711.06896439859997</v>
      </c>
      <c r="CD50" s="59">
        <f ca="1">AVERAGE(OFFSET($CC$3,0,0,'Données projet'!$E$12+1,1))-AVERAGE(OFFSET($H$3,0,0,'Données projet'!$E$12+1,1))</f>
        <v>797.57191672067393</v>
      </c>
      <c r="CE50" s="59">
        <f t="shared" si="40"/>
        <v>238.59056544987126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21.185709146398281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21.185709146398281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>
        <f>CT50*VLOOKUP('Données projet'!$B$13,Paramètres!$A$1:$I$89,3,0)*VLOOKUP('Données projet'!$B$13,Paramètres!$A$1:$I$89,5,0)</f>
        <v>0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188.98184340090461</v>
      </c>
      <c r="CZ50" s="59">
        <f t="shared" si="42"/>
        <v>450.74604661797798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85.189552866230102</v>
      </c>
      <c r="DH50" s="21">
        <f>EXP(-LN(2)/2)*DH49+(1-EXP(-LN(2)/2))/(LN(2)/2)*DB50*DE50*VLOOKUP('Données projet'!$B$13,Paramètres!$A$1:$I$89,3,0)*0.475*44/12</f>
        <v>1.2419116929748757E-4</v>
      </c>
      <c r="DI50" s="22">
        <f t="shared" si="15"/>
        <v>85.189677057399393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369.00000000000011</v>
      </c>
      <c r="DP50" s="17">
        <f>DO50*VLOOKUP('Données projet'!$B$14,Paramètres!$A$1:$I$89,3,0)*VLOOKUP('Données projet'!$B$14,Paramètres!$A$1:$I$89,5,0)</f>
        <v>333.87120000000004</v>
      </c>
      <c r="DQ50" s="13">
        <f t="shared" si="43"/>
        <v>78.232360111376309</v>
      </c>
      <c r="DR50" s="20">
        <f t="shared" si="16"/>
        <v>717.74703386064709</v>
      </c>
      <c r="DS50" s="59">
        <f t="shared" si="17"/>
        <v>986.91710991249772</v>
      </c>
      <c r="DT50" s="59">
        <f ca="1">AVERAGE(OFFSET($DS$3,0,0,'Données projet'!$E$14+1,1))-AVERAGE(OFFSET($H$3,0,0,'Données projet'!$E$14+1,1))</f>
        <v>442.34161202733173</v>
      </c>
      <c r="DU50" s="59">
        <f t="shared" si="44"/>
        <v>622.90413492324399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7.5493451800930949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7.5493451800930949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9.9475000000000016</v>
      </c>
      <c r="EJ50" s="12">
        <f>IF('Données projet'!$A$192&gt;35,EJ49+EI50-ER49,IF(A50&lt;'Données projet'!$A$192,$EG$205^A50,IF(A50='Données projet'!$A$192,'Données projet'!$B$192,EJ49+EI50-ER49)))</f>
        <v>178.48750000000001</v>
      </c>
      <c r="EK50" s="17">
        <f>EJ50*VLOOKUP('Données projet'!$B$15,Paramètres!$A$1:$I$89,3,0)*VLOOKUP('Données projet'!$B$15,Paramètres!$A$1:$I$89,5,0)</f>
        <v>194.90835000000001</v>
      </c>
      <c r="EL50" s="13">
        <f t="shared" si="45"/>
        <v>48.623503266963233</v>
      </c>
      <c r="EM50" s="20">
        <f t="shared" si="19"/>
        <v>424.15131110662765</v>
      </c>
      <c r="EN50" s="59">
        <f t="shared" si="20"/>
        <v>693.32138715847827</v>
      </c>
      <c r="EO50" s="59">
        <f ca="1">AVERAGE(OFFSET($EN$3,0,0,'Données projet'!$E$15+1,1))-AVERAGE(OFFSET($H$3,0,0,'Données projet'!$E$15+1,1))</f>
        <v>767.9449852393318</v>
      </c>
      <c r="EP50" s="59">
        <f t="shared" si="46"/>
        <v>230.95605490295961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20.315063565039448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20.315063565039448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63.410020741413796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3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11</v>
      </c>
      <c r="H51" s="66">
        <f t="shared" si="1"/>
        <v>212.66666666666666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188.98184340090461</v>
      </c>
      <c r="T51" s="59">
        <f t="shared" si="34"/>
        <v>450.74604661797798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14.015000000000004</v>
      </c>
      <c r="AI51" s="13">
        <f>IF('Données projet'!$A$62&gt;35,AI50+AH51-AQ50,IF(A51&lt;'Données projet'!$A$62,$AF$205^A51,IF(A51='Données projet'!$A$62,'Données projet'!$B$62,AI50+AH51-AQ50)))</f>
        <v>276.69000000000005</v>
      </c>
      <c r="AJ51" s="13">
        <f>AI51*VLOOKUP('Données projet'!$B$10,Paramètres!$A$1:$I$89,3,0)*VLOOKUP('Données projet'!$B$10,Paramètres!$A$1:$I$89,5,0)</f>
        <v>250.34911200000005</v>
      </c>
      <c r="AK51" s="13">
        <f t="shared" si="35"/>
        <v>60.660691860184102</v>
      </c>
      <c r="AL51" s="20">
        <f t="shared" si="4"/>
        <v>541.67540838982075</v>
      </c>
      <c r="AM51" s="59">
        <f t="shared" si="5"/>
        <v>811.26466293455474</v>
      </c>
      <c r="AN51" s="59">
        <f ca="1">AVERAGE(OFFSET($AM$3,0,0,'Données projet'!$E$10+1,1))-AVERAGE(OFFSET($H$3,0,0,'Données projet'!$E$10+1,1))</f>
        <v>725.60981534362895</v>
      </c>
      <c r="AO51" s="59">
        <f t="shared" si="36"/>
        <v>265.16078167969272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32.716795019654796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32.716795019654796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2.9299999999999997</v>
      </c>
      <c r="BD51" s="12">
        <f>IF('Données projet'!$A$88&gt;35,BD50+BC51-BL50,IF(A51&lt;'Données projet'!$A$88,$BA$205^A51,IF(A51='Données projet'!$A$88,'Données projet'!$B$88,BD50+BC51-BL50)))</f>
        <v>108.84000000000017</v>
      </c>
      <c r="BE51" s="13">
        <f>BD51*VLOOKUP('Données projet'!$B$11,Paramètres!$A$1:$I$89,3,0)*VLOOKUP('Données projet'!$B$11,Paramètres!$A$1:$I$89,5,0)</f>
        <v>125.38368000000018</v>
      </c>
      <c r="BF51" s="13">
        <f t="shared" si="37"/>
        <v>32.927429096280108</v>
      </c>
      <c r="BG51" s="20">
        <f t="shared" si="7"/>
        <v>275.72518167602152</v>
      </c>
      <c r="BH51" s="59">
        <f t="shared" si="8"/>
        <v>545.3144362207554</v>
      </c>
      <c r="BI51" s="59">
        <f ca="1">AVERAGE(OFFSET($BH$3,0,0,'Données projet'!$E$11+1,1))-AVERAGE(OFFSET($H$3,0,0,'Données projet'!$E$11+1,1))</f>
        <v>332.93090933713466</v>
      </c>
      <c r="BJ51" s="59">
        <f t="shared" si="38"/>
        <v>251.83579649532973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4.6098480031455153</v>
      </c>
      <c r="BQ51" s="21">
        <f>EXP(-LN(2)/25)*BQ50+(1-EXP(-LN(2)/25))/(LN(2)/25)*Calculateur!BL51*Calculateur!BN51*VLOOKUP('Données projet'!$B$11,Paramètres!$A$1:$I$89,3,0)*0.475*44/12</f>
        <v>4.222352914570755</v>
      </c>
      <c r="BR51" s="21">
        <f>EXP(-LN(2)/2)*BR50+(1-EXP(-LN(2)/2))/(LN(2)/2)*BL51*BO51*VLOOKUP('Données projet'!$B$11,Paramètres!$A$1:$I$89,3,0)*0.475*44/12</f>
        <v>5.2555094132622059E-6</v>
      </c>
      <c r="BS51" s="22">
        <f t="shared" si="9"/>
        <v>8.8322061732256838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9.9475000000000016</v>
      </c>
      <c r="BY51" s="12">
        <f>IF('Données projet'!$A$114&gt;35,BY50+BX51-CG50,IF(A51&lt;'Données projet'!$A$114,$BV$205^A51,IF(A51='Données projet'!$A$114,'Données projet'!$B$114,BY50+BX51-CG50)))</f>
        <v>188.435</v>
      </c>
      <c r="BZ51" s="13">
        <f>BY51*VLOOKUP('Données projet'!$B$12,Paramètres!$A$1:$I$89,3,0)*VLOOKUP('Données projet'!$B$12,Paramètres!$A$1:$I$89,5,0)</f>
        <v>214.589778</v>
      </c>
      <c r="CA51" s="13">
        <f t="shared" si="39"/>
        <v>52.937302109424579</v>
      </c>
      <c r="CB51" s="20">
        <f t="shared" si="10"/>
        <v>465.94299785724775</v>
      </c>
      <c r="CC51" s="59">
        <f t="shared" si="11"/>
        <v>735.53225240198162</v>
      </c>
      <c r="CD51" s="59">
        <f ca="1">AVERAGE(OFFSET($CC$3,0,0,'Données projet'!$E$12+1,1))-AVERAGE(OFFSET($H$3,0,0,'Données projet'!$E$12+1,1))</f>
        <v>797.57191672067393</v>
      </c>
      <c r="CE51" s="59">
        <f t="shared" si="40"/>
        <v>238.59056544987126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20.770270312044048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20.770270312044048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>
        <f>CT51*VLOOKUP('Données projet'!$B$13,Paramètres!$A$1:$I$89,3,0)*VLOOKUP('Données projet'!$B$13,Paramètres!$A$1:$I$89,5,0)</f>
        <v>0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188.98184340090461</v>
      </c>
      <c r="CZ51" s="59">
        <f t="shared" si="42"/>
        <v>450.74604661797798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82.860040063179156</v>
      </c>
      <c r="DH51" s="21">
        <f>EXP(-LN(2)/2)*DH50+(1-EXP(-LN(2)/2))/(LN(2)/2)*DB51*DE51*VLOOKUP('Données projet'!$B$13,Paramètres!$A$1:$I$89,3,0)*0.475*44/12</f>
        <v>8.7816417973740025E-5</v>
      </c>
      <c r="DI51" s="22">
        <f t="shared" si="15"/>
        <v>82.86012787959713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369.00000000000011</v>
      </c>
      <c r="DP51" s="17">
        <f>DO51*VLOOKUP('Données projet'!$B$14,Paramètres!$A$1:$I$89,3,0)*VLOOKUP('Données projet'!$B$14,Paramètres!$A$1:$I$89,5,0)</f>
        <v>333.87120000000004</v>
      </c>
      <c r="DQ51" s="13">
        <f t="shared" si="43"/>
        <v>78.232360111376309</v>
      </c>
      <c r="DR51" s="20">
        <f t="shared" si="16"/>
        <v>717.74703386064709</v>
      </c>
      <c r="DS51" s="59">
        <f t="shared" si="17"/>
        <v>987.33628840538108</v>
      </c>
      <c r="DT51" s="59">
        <f ca="1">AVERAGE(OFFSET($DS$3,0,0,'Données projet'!$E$14+1,1))-AVERAGE(OFFSET($H$3,0,0,'Données projet'!$E$14+1,1))</f>
        <v>442.34161202733173</v>
      </c>
      <c r="DU51" s="59">
        <f t="shared" si="44"/>
        <v>622.90413492324399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7.4013071257573584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7.4013071257573584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9.9475000000000016</v>
      </c>
      <c r="EJ51" s="12">
        <f>IF('Données projet'!$A$192&gt;35,EJ50+EI51-ER50,IF(A51&lt;'Données projet'!$A$192,$EG$205^A51,IF(A51='Données projet'!$A$192,'Données projet'!$B$192,EJ50+EI51-ER50)))</f>
        <v>188.435</v>
      </c>
      <c r="EK51" s="17">
        <f>EJ51*VLOOKUP('Données projet'!$B$15,Paramètres!$A$1:$I$89,3,0)*VLOOKUP('Données projet'!$B$15,Paramètres!$A$1:$I$89,5,0)</f>
        <v>205.77101999999999</v>
      </c>
      <c r="EL51" s="13">
        <f t="shared" si="45"/>
        <v>51.010355844647442</v>
      </c>
      <c r="EM51" s="20">
        <f t="shared" si="19"/>
        <v>447.22756292942751</v>
      </c>
      <c r="EN51" s="59">
        <f t="shared" si="20"/>
        <v>716.81681747416144</v>
      </c>
      <c r="EO51" s="59">
        <f ca="1">AVERAGE(OFFSET($EN$3,0,0,'Données projet'!$E$15+1,1))-AVERAGE(OFFSET($H$3,0,0,'Données projet'!$E$15+1,1))</f>
        <v>767.9449852393318</v>
      </c>
      <c r="EP51" s="59">
        <f t="shared" si="46"/>
        <v>230.95605490295961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19.916697559494292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19.916697559494292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63.524342148563804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3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11</v>
      </c>
      <c r="H52" s="66">
        <f t="shared" si="1"/>
        <v>212.66666666666666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188.98184340090461</v>
      </c>
      <c r="T52" s="59">
        <f t="shared" si="34"/>
        <v>450.74604661797798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14.015000000000004</v>
      </c>
      <c r="AI52" s="13">
        <f>IF('Données projet'!$A$62&gt;35,AI51+AH52-AQ51,IF(A52&lt;'Données projet'!$A$62,$AF$205^A52,IF(A52='Données projet'!$A$62,'Données projet'!$B$62,AI51+AH52-AQ51)))</f>
        <v>290.70500000000004</v>
      </c>
      <c r="AJ52" s="13">
        <f>AI52*VLOOKUP('Données projet'!$B$10,Paramètres!$A$1:$I$89,3,0)*VLOOKUP('Données projet'!$B$10,Paramètres!$A$1:$I$89,5,0)</f>
        <v>263.02988400000004</v>
      </c>
      <c r="AK52" s="13">
        <f t="shared" si="35"/>
        <v>63.367790639848458</v>
      </c>
      <c r="AL52" s="20">
        <f t="shared" si="4"/>
        <v>568.47594999773617</v>
      </c>
      <c r="AM52" s="59">
        <f t="shared" si="5"/>
        <v>838.47711122564465</v>
      </c>
      <c r="AN52" s="59">
        <f ca="1">AVERAGE(OFFSET($AM$3,0,0,'Données projet'!$E$10+1,1))-AVERAGE(OFFSET($H$3,0,0,'Données projet'!$E$10+1,1))</f>
        <v>725.60981534362895</v>
      </c>
      <c r="AO52" s="59">
        <f t="shared" si="36"/>
        <v>265.16078167969272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32.075238624593908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32.075238624593908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2.9299999999999997</v>
      </c>
      <c r="BD52" s="12">
        <f>IF('Données projet'!$A$88&gt;35,BD51+BC52-BL51,IF(A52&lt;'Données projet'!$A$88,$BA$205^A52,IF(A52='Données projet'!$A$88,'Données projet'!$B$88,BD51+BC52-BL51)))</f>
        <v>111.77000000000018</v>
      </c>
      <c r="BE52" s="13">
        <f>BD52*VLOOKUP('Données projet'!$B$11,Paramètres!$A$1:$I$89,3,0)*VLOOKUP('Données projet'!$B$11,Paramètres!$A$1:$I$89,5,0)</f>
        <v>128.7590400000002</v>
      </c>
      <c r="BF52" s="13">
        <f t="shared" si="37"/>
        <v>33.709450034166778</v>
      </c>
      <c r="BG52" s="20">
        <f t="shared" si="7"/>
        <v>282.96595347617415</v>
      </c>
      <c r="BH52" s="59">
        <f t="shared" si="8"/>
        <v>552.96711470408263</v>
      </c>
      <c r="BI52" s="59">
        <f ca="1">AVERAGE(OFFSET($BH$3,0,0,'Données projet'!$E$11+1,1))-AVERAGE(OFFSET($H$3,0,0,'Données projet'!$E$11+1,1))</f>
        <v>332.93090933713466</v>
      </c>
      <c r="BJ52" s="59">
        <f t="shared" si="38"/>
        <v>251.83579649532973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4.519451695533478</v>
      </c>
      <c r="BQ52" s="21">
        <f>EXP(-LN(2)/25)*BQ51+(1-EXP(-LN(2)/25))/(LN(2)/25)*Calculateur!BL52*Calculateur!BN52*VLOOKUP('Données projet'!$B$11,Paramètres!$A$1:$I$89,3,0)*0.475*44/12</f>
        <v>4.1068924520779282</v>
      </c>
      <c r="BR52" s="21">
        <f>EXP(-LN(2)/2)*BR51+(1-EXP(-LN(2)/2))/(LN(2)/2)*BL52*BO52*VLOOKUP('Données projet'!$B$11,Paramètres!$A$1:$I$89,3,0)*0.475*44/12</f>
        <v>3.7162063447074396E-6</v>
      </c>
      <c r="BS52" s="22">
        <f t="shared" si="9"/>
        <v>8.6263478638177506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9.9475000000000016</v>
      </c>
      <c r="BY52" s="12">
        <f>IF('Données projet'!$A$114&gt;35,BY51+BX52-CG51,IF(A52&lt;'Données projet'!$A$114,$BV$205^A52,IF(A52='Données projet'!$A$114,'Données projet'!$B$114,BY51+BX52-CG51)))</f>
        <v>198.38249999999999</v>
      </c>
      <c r="BZ52" s="13">
        <f>BY52*VLOOKUP('Données projet'!$B$12,Paramètres!$A$1:$I$89,3,0)*VLOOKUP('Données projet'!$B$12,Paramètres!$A$1:$I$89,5,0)</f>
        <v>225.917991</v>
      </c>
      <c r="CA52" s="13">
        <f t="shared" si="39"/>
        <v>55.399137982572697</v>
      </c>
      <c r="CB52" s="20">
        <f t="shared" si="10"/>
        <v>489.96066631131407</v>
      </c>
      <c r="CC52" s="59">
        <f t="shared" si="11"/>
        <v>759.96182753922255</v>
      </c>
      <c r="CD52" s="59">
        <f ca="1">AVERAGE(OFFSET($CC$3,0,0,'Données projet'!$E$12+1,1))-AVERAGE(OFFSET($H$3,0,0,'Données projet'!$E$12+1,1))</f>
        <v>797.57191672067393</v>
      </c>
      <c r="CE52" s="59">
        <f t="shared" si="40"/>
        <v>238.59056544987126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20.362977979838831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20.362977979838831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>
        <f>CT52*VLOOKUP('Données projet'!$B$13,Paramètres!$A$1:$I$89,3,0)*VLOOKUP('Données projet'!$B$13,Paramètres!$A$1:$I$89,5,0)</f>
        <v>0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188.98184340090461</v>
      </c>
      <c r="CZ52" s="59">
        <f t="shared" si="42"/>
        <v>450.74604661797798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80.594227910231396</v>
      </c>
      <c r="DH52" s="21">
        <f>EXP(-LN(2)/2)*DH51+(1-EXP(-LN(2)/2))/(LN(2)/2)*DB52*DE52*VLOOKUP('Données projet'!$B$13,Paramètres!$A$1:$I$89,3,0)*0.475*44/12</f>
        <v>6.2095584648743786E-5</v>
      </c>
      <c r="DI52" s="22">
        <f t="shared" si="15"/>
        <v>80.594290005816049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369.00000000000011</v>
      </c>
      <c r="DP52" s="17">
        <f>DO52*VLOOKUP('Données projet'!$B$14,Paramètres!$A$1:$I$89,3,0)*VLOOKUP('Données projet'!$B$14,Paramètres!$A$1:$I$89,5,0)</f>
        <v>333.87120000000004</v>
      </c>
      <c r="DQ52" s="13">
        <f t="shared" si="43"/>
        <v>78.232360111376309</v>
      </c>
      <c r="DR52" s="20">
        <f t="shared" si="16"/>
        <v>717.74703386064709</v>
      </c>
      <c r="DS52" s="59">
        <f t="shared" si="17"/>
        <v>987.74819508855558</v>
      </c>
      <c r="DT52" s="59">
        <f ca="1">AVERAGE(OFFSET($DS$3,0,0,'Données projet'!$E$14+1,1))-AVERAGE(OFFSET($H$3,0,0,'Données projet'!$E$14+1,1))</f>
        <v>442.34161202733173</v>
      </c>
      <c r="DU52" s="59">
        <f t="shared" si="44"/>
        <v>622.90413492324399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7.2561720073728484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7.2561720073728484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9.9475000000000016</v>
      </c>
      <c r="EJ52" s="12">
        <f>IF('Données projet'!$A$192&gt;35,EJ51+EI52-ER51,IF(A52&lt;'Données projet'!$A$192,$EG$205^A52,IF(A52='Données projet'!$A$192,'Données projet'!$B$192,EJ51+EI52-ER51)))</f>
        <v>198.38249999999999</v>
      </c>
      <c r="EK52" s="17">
        <f>EJ52*VLOOKUP('Données projet'!$B$15,Paramètres!$A$1:$I$89,3,0)*VLOOKUP('Données projet'!$B$15,Paramètres!$A$1:$I$89,5,0)</f>
        <v>216.63368999999997</v>
      </c>
      <c r="EL52" s="13">
        <f t="shared" si="45"/>
        <v>53.382579568116093</v>
      </c>
      <c r="EM52" s="20">
        <f t="shared" si="19"/>
        <v>470.27833616446878</v>
      </c>
      <c r="EN52" s="59">
        <f t="shared" si="20"/>
        <v>740.27949739237727</v>
      </c>
      <c r="EO52" s="59">
        <f ca="1">AVERAGE(OFFSET($EN$3,0,0,'Données projet'!$E$15+1,1))-AVERAGE(OFFSET($H$3,0,0,'Données projet'!$E$15+1,1))</f>
        <v>767.9449852393318</v>
      </c>
      <c r="EP52" s="59">
        <f t="shared" si="46"/>
        <v>230.95605490295961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19.526143268338608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19.526143268338608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63.636680334884133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3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11</v>
      </c>
      <c r="H53" s="66">
        <f t="shared" si="1"/>
        <v>212.66666666666666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188.98184340090461</v>
      </c>
      <c r="T53" s="59">
        <f t="shared" si="34"/>
        <v>450.74604661797798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304.72000000000003</v>
      </c>
      <c r="AG53" s="12">
        <f>VLOOKUP(A53,'Données projet'!$A$61:$I$81,9,0)</f>
        <v>14.015000000000004</v>
      </c>
      <c r="AH53" s="12">
        <f t="array" ref="AH53">INDEX(AG:AG,MIN(IF(ISNUMBER(AG53:AG249),ROW(AG53:AG249),"")))</f>
        <v>14.015000000000004</v>
      </c>
      <c r="AI53" s="13">
        <f>IF('Données projet'!$A$62&gt;35,AI52+AH53-AQ52,IF(A53&lt;'Données projet'!$A$62,$AF$205^A53,IF(A53='Données projet'!$A$62,'Données projet'!$B$62,AI52+AH53-AQ52)))</f>
        <v>304.72000000000003</v>
      </c>
      <c r="AJ53" s="13">
        <f>AI53*VLOOKUP('Données projet'!$B$10,Paramètres!$A$1:$I$89,3,0)*VLOOKUP('Données projet'!$B$10,Paramètres!$A$1:$I$89,5,0)</f>
        <v>275.71065600000003</v>
      </c>
      <c r="AK53" s="13">
        <f t="shared" si="35"/>
        <v>66.059734370197603</v>
      </c>
      <c r="AL53" s="20">
        <f t="shared" si="4"/>
        <v>595.25009656142754</v>
      </c>
      <c r="AM53" s="59">
        <f t="shared" si="5"/>
        <v>865.65601881244288</v>
      </c>
      <c r="AN53" s="59">
        <f ca="1">AVERAGE(OFFSET($AM$3,0,0,'Données projet'!$E$10+1,1))-AVERAGE(OFFSET($H$3,0,0,'Données projet'!$E$10+1,1))</f>
        <v>725.60981534362895</v>
      </c>
      <c r="AO53" s="59">
        <f t="shared" si="36"/>
        <v>265.16078167969272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66.62</v>
      </c>
      <c r="AR53" s="16">
        <f>IF(ISNA(VLOOKUP(A53,'Données projet'!$A$61:$I$81,5,0)),0%,VLOOKUP(A53,'Données projet'!$A$61:$I$81,5,0)*VLOOKUP('Données projet'!$B$10,Paramètres!$A$1:$I$89,7,0))</f>
        <v>0.43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60.099440001341925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60.099440001341925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114.7</v>
      </c>
      <c r="BB53" s="12">
        <f>VLOOKUP(A53,'Données projet'!$A$87:$I$107,9,0)</f>
        <v>2.9299999999999997</v>
      </c>
      <c r="BC53" s="12">
        <f t="array" ref="BC53">INDEX(BB:BB,MIN(IF(ISNUMBER(BB53:BB249),ROW(BB53:BB249),"")))</f>
        <v>2.9299999999999997</v>
      </c>
      <c r="BD53" s="12">
        <f>IF('Données projet'!$A$88&gt;35,BD52+BC53-BL52,IF(A53&lt;'Données projet'!$A$88,$BA$205^A53,IF(A53='Données projet'!$A$88,'Données projet'!$B$88,BD52+BC53-BL52)))</f>
        <v>114.70000000000019</v>
      </c>
      <c r="BE53" s="13">
        <f>BD53*VLOOKUP('Données projet'!$B$11,Paramètres!$A$1:$I$89,3,0)*VLOOKUP('Données projet'!$B$11,Paramètres!$A$1:$I$89,5,0)</f>
        <v>132.1344000000002</v>
      </c>
      <c r="BF53" s="13">
        <f t="shared" si="37"/>
        <v>34.489088082737922</v>
      </c>
      <c r="BG53" s="20">
        <f t="shared" si="7"/>
        <v>290.20257507743554</v>
      </c>
      <c r="BH53" s="59">
        <f t="shared" si="8"/>
        <v>560.60849732845088</v>
      </c>
      <c r="BI53" s="59">
        <f ca="1">AVERAGE(OFFSET($BH$3,0,0,'Données projet'!$E$11+1,1))-AVERAGE(OFFSET($H$3,0,0,'Données projet'!$E$11+1,1))</f>
        <v>332.93090933713466</v>
      </c>
      <c r="BJ53" s="59">
        <f t="shared" si="38"/>
        <v>251.83579649532973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15.1</v>
      </c>
      <c r="BM53" s="16">
        <f>IF(ISNA(VLOOKUP(A53,'Données projet'!$A$87:$I$107,5,0)),0%,VLOOKUP(A53,'Données projet'!$A$87:$I$107,5,0)*VLOOKUP('Données projet'!$B$11,Paramètres!$A$1:$I$89,7,0))</f>
        <v>0.45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10.055567420597495</v>
      </c>
      <c r="BQ53" s="21">
        <f>EXP(-LN(2)/25)*BQ52+(1-EXP(-LN(2)/25))/(LN(2)/25)*Calculateur!BL53*Calculateur!BN53*VLOOKUP('Données projet'!$B$11,Paramètres!$A$1:$I$89,3,0)*0.475*44/12</f>
        <v>3.9945892620037697</v>
      </c>
      <c r="BR53" s="21">
        <f>EXP(-LN(2)/2)*BR52+(1-EXP(-LN(2)/2))/(LN(2)/2)*BL53*BO53*VLOOKUP('Données projet'!$B$11,Paramètres!$A$1:$I$89,3,0)*0.475*44/12</f>
        <v>2.6277547066311034E-6</v>
      </c>
      <c r="BS53" s="22">
        <f t="shared" si="9"/>
        <v>14.050159310355971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208.33</v>
      </c>
      <c r="BW53" s="12">
        <f>VLOOKUP(A53,'Données projet'!$A$113:$I$133,9,0)</f>
        <v>9.9475000000000016</v>
      </c>
      <c r="BX53" s="12">
        <f t="array" ref="BX53">INDEX(BW:BW,MIN(IF(ISNUMBER(BW53:BW249),ROW(BW53:BW249),"")))</f>
        <v>9.9475000000000016</v>
      </c>
      <c r="BY53" s="12">
        <f>IF('Données projet'!$A$114&gt;35,BY52+BX53-CG52,IF(A53&lt;'Données projet'!$A$114,$BV$205^A53,IF(A53='Données projet'!$A$114,'Données projet'!$B$114,BY52+BX53-CG52)))</f>
        <v>208.32999999999998</v>
      </c>
      <c r="BZ53" s="13">
        <f>BY53*VLOOKUP('Données projet'!$B$12,Paramètres!$A$1:$I$89,3,0)*VLOOKUP('Données projet'!$B$12,Paramètres!$A$1:$I$89,5,0)</f>
        <v>237.24620399999998</v>
      </c>
      <c r="CA53" s="13">
        <f t="shared" si="39"/>
        <v>57.846640494287307</v>
      </c>
      <c r="CB53" s="20">
        <f t="shared" si="10"/>
        <v>513.95337082755043</v>
      </c>
      <c r="CC53" s="59">
        <f t="shared" si="11"/>
        <v>784.35929307856577</v>
      </c>
      <c r="CD53" s="59">
        <f ca="1">AVERAGE(OFFSET($CC$3,0,0,'Données projet'!$E$12+1,1))-AVERAGE(OFFSET($H$3,0,0,'Données projet'!$E$12+1,1))</f>
        <v>797.57191672067393</v>
      </c>
      <c r="CE53" s="59">
        <f t="shared" si="40"/>
        <v>238.59056544987126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35.58</v>
      </c>
      <c r="CH53" s="16">
        <f>IF(ISNA(VLOOKUP(A53,'Données projet'!$A$113:$I$133,5,0)),0%,VLOOKUP(A53,'Données projet'!$A$113:$I$133,5,0)*VLOOKUP('Données projet'!$B$12,Paramètres!$A$1:$I$89,7,0))</f>
        <v>0.43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39.22423497968893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39.22423497968893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>
        <f>CT53*VLOOKUP('Données projet'!$B$13,Paramètres!$A$1:$I$89,3,0)*VLOOKUP('Données projet'!$B$13,Paramètres!$A$1:$I$89,5,0)</f>
        <v>0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188.98184340090461</v>
      </c>
      <c r="CZ53" s="59">
        <f t="shared" si="42"/>
        <v>450.74604661797798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78.39037450975988</v>
      </c>
      <c r="DH53" s="21">
        <f>EXP(-LN(2)/2)*DH52+(1-EXP(-LN(2)/2))/(LN(2)/2)*DB53*DE53*VLOOKUP('Données projet'!$B$13,Paramètres!$A$1:$I$89,3,0)*0.475*44/12</f>
        <v>4.3908208986870012E-5</v>
      </c>
      <c r="DI53" s="22">
        <f t="shared" si="15"/>
        <v>78.39041841796886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369.00000000000011</v>
      </c>
      <c r="DP53" s="17">
        <f>DO53*VLOOKUP('Données projet'!$B$14,Paramètres!$A$1:$I$89,3,0)*VLOOKUP('Données projet'!$B$14,Paramètres!$A$1:$I$89,5,0)</f>
        <v>333.87120000000004</v>
      </c>
      <c r="DQ53" s="13">
        <f t="shared" si="43"/>
        <v>78.232360111376309</v>
      </c>
      <c r="DR53" s="20">
        <f t="shared" si="16"/>
        <v>717.74703386064709</v>
      </c>
      <c r="DS53" s="59">
        <f t="shared" si="17"/>
        <v>988.15295611166243</v>
      </c>
      <c r="DT53" s="59">
        <f ca="1">AVERAGE(OFFSET($DS$3,0,0,'Données projet'!$E$14+1,1))-AVERAGE(OFFSET($H$3,0,0,'Données projet'!$E$14+1,1))</f>
        <v>442.34161202733173</v>
      </c>
      <c r="DU53" s="59">
        <f t="shared" si="44"/>
        <v>622.90413492324399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7.1138829001361774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7.1138829001361774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208.33</v>
      </c>
      <c r="EH53" s="12">
        <f>VLOOKUP(A53,'Données projet'!$A$191:$I$211,9,0)</f>
        <v>9.9475000000000016</v>
      </c>
      <c r="EI53" s="12">
        <f t="array" ref="EI53">INDEX(EH:EH,MIN(IF(ISNUMBER(EH53:EH249),ROW(EH53:EH249),"")))</f>
        <v>9.9475000000000016</v>
      </c>
      <c r="EJ53" s="12">
        <f>IF('Données projet'!$A$192&gt;35,EJ52+EI53-ER52,IF(A53&lt;'Données projet'!$A$192,$EG$205^A53,IF(A53='Données projet'!$A$192,'Données projet'!$B$192,EJ52+EI53-ER52)))</f>
        <v>208.32999999999998</v>
      </c>
      <c r="EK53" s="17">
        <f>EJ53*VLOOKUP('Données projet'!$B$15,Paramètres!$A$1:$I$89,3,0)*VLOOKUP('Données projet'!$B$15,Paramètres!$A$1:$I$89,5,0)</f>
        <v>227.49635999999998</v>
      </c>
      <c r="EL53" s="13">
        <f t="shared" si="45"/>
        <v>55.740991672215436</v>
      </c>
      <c r="EM53" s="20">
        <f t="shared" si="19"/>
        <v>493.30505416244182</v>
      </c>
      <c r="EN53" s="59">
        <f t="shared" si="20"/>
        <v>763.71097641345716</v>
      </c>
      <c r="EO53" s="59">
        <f ca="1">AVERAGE(OFFSET($EN$3,0,0,'Données projet'!$E$15+1,1))-AVERAGE(OFFSET($H$3,0,0,'Données projet'!$E$15+1,1))</f>
        <v>767.9449852393318</v>
      </c>
      <c r="EP53" s="59">
        <f t="shared" si="46"/>
        <v>230.95605490295961</v>
      </c>
      <c r="EQ53" s="15">
        <f>IF(ISNA(VLOOKUP(A53,'Données projet'!$A$191:$I$211,3,0)),0,VLOOKUP(A53,'Données projet'!$A$191:$I$211,3,0))</f>
        <v>2</v>
      </c>
      <c r="ER53" s="15">
        <f>IF(ISNA(VLOOKUP(A53,'Données projet'!$A$191:$I$211,4,0)),0,VLOOKUP(A53,'Données projet'!$A$191:$I$211,4,0))</f>
        <v>35.58</v>
      </c>
      <c r="ES53" s="16">
        <f>IF(ISNA(VLOOKUP(A53,'Données projet'!$A$191:$I$211,5,0)),0%,VLOOKUP(A53,'Données projet'!$A$191:$I$211,5,0)*VLOOKUP('Données projet'!$B$15,Paramètres!$A$1:$I$89,7,0))</f>
        <v>0.43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37.61228011750994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37.61228011750994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63.747069704822373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3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11</v>
      </c>
      <c r="H54" s="66">
        <f t="shared" si="1"/>
        <v>212.66666666666666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188.98184340090461</v>
      </c>
      <c r="T54" s="59">
        <f t="shared" si="34"/>
        <v>450.74604661797798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13.559999999999995</v>
      </c>
      <c r="AI54" s="13">
        <f>IF('Données projet'!$A$62&gt;35,AI53+AH54-AQ53,IF(A54&lt;'Données projet'!$A$62,$AF$205^A54,IF(A54='Données projet'!$A$62,'Données projet'!$B$62,AI53+AH54-AQ53)))</f>
        <v>251.66000000000003</v>
      </c>
      <c r="AJ54" s="13">
        <f>AI54*VLOOKUP('Données projet'!$B$10,Paramètres!$A$1:$I$89,3,0)*VLOOKUP('Données projet'!$B$10,Paramètres!$A$1:$I$89,5,0)</f>
        <v>227.70196800000002</v>
      </c>
      <c r="AK54" s="13">
        <f t="shared" si="35"/>
        <v>55.785503263186797</v>
      </c>
      <c r="AL54" s="20">
        <f t="shared" si="4"/>
        <v>493.74067911671705</v>
      </c>
      <c r="AM54" s="59">
        <f t="shared" si="5"/>
        <v>764.54434069199851</v>
      </c>
      <c r="AN54" s="59">
        <f ca="1">AVERAGE(OFFSET($AM$3,0,0,'Données projet'!$E$10+1,1))-AVERAGE(OFFSET($H$3,0,0,'Données projet'!$E$10+1,1))</f>
        <v>725.60981534362895</v>
      </c>
      <c r="AO54" s="59">
        <f t="shared" si="36"/>
        <v>265.16078167969272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58.92092663995443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58.92092663995443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2.5799999999999996</v>
      </c>
      <c r="BD54" s="12">
        <f>IF('Données projet'!$A$88&gt;35,BD53+BC54-BL53,IF(A54&lt;'Données projet'!$A$88,$BA$205^A54,IF(A54='Données projet'!$A$88,'Données projet'!$B$88,BD53+BC54-BL53)))</f>
        <v>102.18000000000019</v>
      </c>
      <c r="BE54" s="13">
        <f>BD54*VLOOKUP('Données projet'!$B$11,Paramètres!$A$1:$I$89,3,0)*VLOOKUP('Données projet'!$B$11,Paramètres!$A$1:$I$89,5,0)</f>
        <v>117.71136000000021</v>
      </c>
      <c r="BF54" s="13">
        <f t="shared" si="37"/>
        <v>31.140614850534014</v>
      </c>
      <c r="BG54" s="20">
        <f t="shared" si="7"/>
        <v>259.25052286468042</v>
      </c>
      <c r="BH54" s="59">
        <f t="shared" si="8"/>
        <v>530.05418443996177</v>
      </c>
      <c r="BI54" s="59">
        <f ca="1">AVERAGE(OFFSET($BH$3,0,0,'Données projet'!$E$11+1,1))-AVERAGE(OFFSET($H$3,0,0,'Données projet'!$E$11+1,1))</f>
        <v>332.93090933713466</v>
      </c>
      <c r="BJ54" s="59">
        <f t="shared" si="38"/>
        <v>251.83579649532973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9.8583838767700929</v>
      </c>
      <c r="BQ54" s="21">
        <f>EXP(-LN(2)/25)*BQ53+(1-EXP(-LN(2)/25))/(LN(2)/25)*Calculateur!BL54*Calculateur!BN54*VLOOKUP('Données projet'!$B$11,Paramètres!$A$1:$I$89,3,0)*0.475*44/12</f>
        <v>3.885357008567957</v>
      </c>
      <c r="BR54" s="21">
        <f>EXP(-LN(2)/2)*BR53+(1-EXP(-LN(2)/2))/(LN(2)/2)*BL54*BO54*VLOOKUP('Données projet'!$B$11,Paramètres!$A$1:$I$89,3,0)*0.475*44/12</f>
        <v>1.85810317235372E-6</v>
      </c>
      <c r="BS54" s="22">
        <f t="shared" si="9"/>
        <v>13.743742743441221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10.118749999999999</v>
      </c>
      <c r="BY54" s="12">
        <f>IF('Données projet'!$A$114&gt;35,BY53+BX54-CG53,IF(A54&lt;'Données projet'!$A$114,$BV$205^A54,IF(A54='Données projet'!$A$114,'Données projet'!$B$114,BY53+BX54-CG53)))</f>
        <v>182.86874999999998</v>
      </c>
      <c r="BZ54" s="13">
        <f>BY54*VLOOKUP('Données projet'!$B$12,Paramètres!$A$1:$I$89,3,0)*VLOOKUP('Données projet'!$B$12,Paramètres!$A$1:$I$89,5,0)</f>
        <v>208.25093249999998</v>
      </c>
      <c r="CA54" s="13">
        <f t="shared" si="39"/>
        <v>51.553184591235386</v>
      </c>
      <c r="CB54" s="20">
        <f t="shared" si="10"/>
        <v>452.49217060056822</v>
      </c>
      <c r="CC54" s="59">
        <f t="shared" si="11"/>
        <v>723.29583217584968</v>
      </c>
      <c r="CD54" s="59">
        <f ca="1">AVERAGE(OFFSET($CC$3,0,0,'Données projet'!$E$12+1,1))-AVERAGE(OFFSET($H$3,0,0,'Données projet'!$E$12+1,1))</f>
        <v>797.57191672067393</v>
      </c>
      <c r="CE54" s="59">
        <f t="shared" si="40"/>
        <v>238.59056544987126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38.455071656158225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38.455071656158225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>
        <f>CT54*VLOOKUP('Données projet'!$B$13,Paramètres!$A$1:$I$89,3,0)*VLOOKUP('Données projet'!$B$13,Paramètres!$A$1:$I$89,5,0)</f>
        <v>0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188.98184340090461</v>
      </c>
      <c r="CZ54" s="59">
        <f t="shared" si="42"/>
        <v>450.74604661797798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76.246785596419869</v>
      </c>
      <c r="DH54" s="21">
        <f>EXP(-LN(2)/2)*DH53+(1-EXP(-LN(2)/2))/(LN(2)/2)*DB54*DE54*VLOOKUP('Données projet'!$B$13,Paramètres!$A$1:$I$89,3,0)*0.475*44/12</f>
        <v>3.1047792324371893E-5</v>
      </c>
      <c r="DI54" s="22">
        <f t="shared" si="15"/>
        <v>76.246816644212188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369.00000000000011</v>
      </c>
      <c r="DP54" s="17">
        <f>DO54*VLOOKUP('Données projet'!$B$14,Paramètres!$A$1:$I$89,3,0)*VLOOKUP('Données projet'!$B$14,Paramètres!$A$1:$I$89,5,0)</f>
        <v>333.87120000000004</v>
      </c>
      <c r="DQ54" s="13">
        <f t="shared" si="43"/>
        <v>78.232360111376309</v>
      </c>
      <c r="DR54" s="20">
        <f t="shared" si="16"/>
        <v>717.74703386064709</v>
      </c>
      <c r="DS54" s="59">
        <f t="shared" si="17"/>
        <v>988.55069543592845</v>
      </c>
      <c r="DT54" s="59">
        <f ca="1">AVERAGE(OFFSET($DS$3,0,0,'Données projet'!$E$14+1,1))-AVERAGE(OFFSET($H$3,0,0,'Données projet'!$E$14+1,1))</f>
        <v>442.34161202733173</v>
      </c>
      <c r="DU54" s="59">
        <f t="shared" si="44"/>
        <v>622.90413492324399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6.9743839955046312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6.9743839955046312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10.118749999999999</v>
      </c>
      <c r="EJ54" s="12">
        <f>IF('Données projet'!$A$192&gt;35,EJ53+EI54-ER53,IF(A54&lt;'Données projet'!$A$192,$EG$205^A54,IF(A54='Données projet'!$A$192,'Données projet'!$B$192,EJ53+EI54-ER53)))</f>
        <v>182.86874999999998</v>
      </c>
      <c r="EK54" s="17">
        <f>EJ54*VLOOKUP('Données projet'!$B$15,Paramètres!$A$1:$I$89,3,0)*VLOOKUP('Données projet'!$B$15,Paramètres!$A$1:$I$89,5,0)</f>
        <v>199.69267499999998</v>
      </c>
      <c r="EL54" s="13">
        <f t="shared" si="45"/>
        <v>49.676620948454676</v>
      </c>
      <c r="EM54" s="20">
        <f t="shared" si="19"/>
        <v>434.31819044355854</v>
      </c>
      <c r="EN54" s="59">
        <f t="shared" si="20"/>
        <v>705.12185201883995</v>
      </c>
      <c r="EO54" s="59">
        <f ca="1">AVERAGE(OFFSET($EN$3,0,0,'Données projet'!$E$15+1,1))-AVERAGE(OFFSET($H$3,0,0,'Données projet'!$E$15+1,1))</f>
        <v>767.9449852393318</v>
      </c>
      <c r="EP54" s="59">
        <f t="shared" si="46"/>
        <v>230.95605490295961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36.87472624563118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36.87472624563118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63.855544065985839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3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11</v>
      </c>
      <c r="H55" s="66">
        <f t="shared" si="1"/>
        <v>212.66666666666666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188.98184340090461</v>
      </c>
      <c r="T55" s="59">
        <f t="shared" si="34"/>
        <v>450.74604661797798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13.559999999999995</v>
      </c>
      <c r="AI55" s="13">
        <f>IF('Données projet'!$A$62&gt;35,AI54+AH55-AQ54,IF(A55&lt;'Données projet'!$A$62,$AF$205^A55,IF(A55='Données projet'!$A$62,'Données projet'!$B$62,AI54+AH55-AQ54)))</f>
        <v>265.22000000000003</v>
      </c>
      <c r="AJ55" s="13">
        <f>AI55*VLOOKUP('Données projet'!$B$10,Paramètres!$A$1:$I$89,3,0)*VLOOKUP('Données projet'!$B$10,Paramètres!$A$1:$I$89,5,0)</f>
        <v>239.97105600000003</v>
      </c>
      <c r="AK55" s="13">
        <f t="shared" si="35"/>
        <v>58.433302995905095</v>
      </c>
      <c r="AL55" s="20">
        <f t="shared" si="4"/>
        <v>519.72092525120149</v>
      </c>
      <c r="AM55" s="59">
        <f t="shared" si="5"/>
        <v>790.91542626268483</v>
      </c>
      <c r="AN55" s="59">
        <f ca="1">AVERAGE(OFFSET($AM$3,0,0,'Données projet'!$E$10+1,1))-AVERAGE(OFFSET($H$3,0,0,'Données projet'!$E$10+1,1))</f>
        <v>725.60981534362895</v>
      </c>
      <c r="AO55" s="59">
        <f t="shared" si="36"/>
        <v>265.16078167969272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57.765523206761571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57.765523206761571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2.5799999999999996</v>
      </c>
      <c r="BD55" s="12">
        <f>IF('Données projet'!$A$88&gt;35,BD54+BC55-BL54,IF(A55&lt;'Données projet'!$A$88,$BA$205^A55,IF(A55='Données projet'!$A$88,'Données projet'!$B$88,BD54+BC55-BL54)))</f>
        <v>104.76000000000019</v>
      </c>
      <c r="BE55" s="13">
        <f>BD55*VLOOKUP('Données projet'!$B$11,Paramètres!$A$1:$I$89,3,0)*VLOOKUP('Données projet'!$B$11,Paramètres!$A$1:$I$89,5,0)</f>
        <v>120.68352000000021</v>
      </c>
      <c r="BF55" s="13">
        <f t="shared" si="37"/>
        <v>31.834366372319558</v>
      </c>
      <c r="BG55" s="20">
        <f t="shared" si="7"/>
        <v>265.6353187651236</v>
      </c>
      <c r="BH55" s="59">
        <f t="shared" si="8"/>
        <v>536.829819776607</v>
      </c>
      <c r="BI55" s="59">
        <f ca="1">AVERAGE(OFFSET($BH$3,0,0,'Données projet'!$E$11+1,1))-AVERAGE(OFFSET($H$3,0,0,'Données projet'!$E$11+1,1))</f>
        <v>332.93090933713466</v>
      </c>
      <c r="BJ55" s="59">
        <f t="shared" si="38"/>
        <v>251.83579649532973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9.66506698196706</v>
      </c>
      <c r="BQ55" s="21">
        <f>EXP(-LN(2)/25)*BQ54+(1-EXP(-LN(2)/25))/(LN(2)/25)*Calculateur!BL55*Calculateur!BN55*VLOOKUP('Données projet'!$B$11,Paramètres!$A$1:$I$89,3,0)*0.475*44/12</f>
        <v>3.7791117168466211</v>
      </c>
      <c r="BR55" s="21">
        <f>EXP(-LN(2)/2)*BR54+(1-EXP(-LN(2)/2))/(LN(2)/2)*BL55*BO55*VLOOKUP('Données projet'!$B$11,Paramètres!$A$1:$I$89,3,0)*0.475*44/12</f>
        <v>1.3138773533155519E-6</v>
      </c>
      <c r="BS55" s="22">
        <f t="shared" si="9"/>
        <v>13.444180012691035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10.118749999999999</v>
      </c>
      <c r="BY55" s="12">
        <f>IF('Données projet'!$A$114&gt;35,BY54+BX55-CG54,IF(A55&lt;'Données projet'!$A$114,$BV$205^A55,IF(A55='Données projet'!$A$114,'Données projet'!$B$114,BY54+BX55-CG54)))</f>
        <v>192.98749999999998</v>
      </c>
      <c r="BZ55" s="13">
        <f>BY55*VLOOKUP('Données projet'!$B$12,Paramètres!$A$1:$I$89,3,0)*VLOOKUP('Données projet'!$B$12,Paramètres!$A$1:$I$89,5,0)</f>
        <v>219.77416499999998</v>
      </c>
      <c r="CA55" s="13">
        <f t="shared" si="39"/>
        <v>54.065798665568828</v>
      </c>
      <c r="CB55" s="20">
        <f t="shared" si="10"/>
        <v>476.9379367175323</v>
      </c>
      <c r="CC55" s="59">
        <f t="shared" si="11"/>
        <v>748.13243772901569</v>
      </c>
      <c r="CD55" s="59">
        <f ca="1">AVERAGE(OFFSET($CC$3,0,0,'Données projet'!$E$12+1,1))-AVERAGE(OFFSET($H$3,0,0,'Données projet'!$E$12+1,1))</f>
        <v>797.57191672067393</v>
      </c>
      <c r="CE55" s="59">
        <f t="shared" si="40"/>
        <v>238.59056544987126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37.700991156258659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37.700991156258659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>
        <f>CT55*VLOOKUP('Données projet'!$B$13,Paramètres!$A$1:$I$89,3,0)*VLOOKUP('Données projet'!$B$13,Paramètres!$A$1:$I$89,5,0)</f>
        <v>0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188.98184340090461</v>
      </c>
      <c r="CZ55" s="59">
        <f t="shared" si="42"/>
        <v>450.74604661797798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74.161813234641571</v>
      </c>
      <c r="DH55" s="21">
        <f>EXP(-LN(2)/2)*DH54+(1-EXP(-LN(2)/2))/(LN(2)/2)*DB55*DE55*VLOOKUP('Données projet'!$B$13,Paramètres!$A$1:$I$89,3,0)*0.475*44/12</f>
        <v>2.1954104493435006E-5</v>
      </c>
      <c r="DI55" s="22">
        <f t="shared" si="15"/>
        <v>74.161835188746068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369.00000000000011</v>
      </c>
      <c r="DP55" s="17">
        <f>DO55*VLOOKUP('Données projet'!$B$14,Paramètres!$A$1:$I$89,3,0)*VLOOKUP('Données projet'!$B$14,Paramètres!$A$1:$I$89,5,0)</f>
        <v>333.87120000000004</v>
      </c>
      <c r="DQ55" s="13">
        <f t="shared" si="43"/>
        <v>78.232360111376309</v>
      </c>
      <c r="DR55" s="20">
        <f t="shared" si="16"/>
        <v>717.74703386064709</v>
      </c>
      <c r="DS55" s="59">
        <f t="shared" si="17"/>
        <v>988.94153487213043</v>
      </c>
      <c r="DT55" s="59">
        <f ca="1">AVERAGE(OFFSET($DS$3,0,0,'Données projet'!$E$14+1,1))-AVERAGE(OFFSET($H$3,0,0,'Données projet'!$E$14+1,1))</f>
        <v>442.34161202733173</v>
      </c>
      <c r="DU55" s="59">
        <f t="shared" si="44"/>
        <v>622.90413492324399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6.8376205793069795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6.8376205793069795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10.118749999999999</v>
      </c>
      <c r="EJ55" s="12">
        <f>IF('Données projet'!$A$192&gt;35,EJ54+EI55-ER54,IF(A55&lt;'Données projet'!$A$192,$EG$205^A55,IF(A55='Données projet'!$A$192,'Données projet'!$B$192,EJ54+EI55-ER54)))</f>
        <v>192.98749999999998</v>
      </c>
      <c r="EK55" s="17">
        <f>EJ55*VLOOKUP('Données projet'!$B$15,Paramètres!$A$1:$I$89,3,0)*VLOOKUP('Données projet'!$B$15,Paramètres!$A$1:$I$89,5,0)</f>
        <v>210.74234999999996</v>
      </c>
      <c r="EL55" s="13">
        <f t="shared" si="45"/>
        <v>52.097774519278559</v>
      </c>
      <c r="EM55" s="20">
        <f t="shared" si="19"/>
        <v>457.77988353774339</v>
      </c>
      <c r="EN55" s="59">
        <f t="shared" si="20"/>
        <v>728.97438454922678</v>
      </c>
      <c r="EO55" s="59">
        <f ca="1">AVERAGE(OFFSET($EN$3,0,0,'Données projet'!$E$15+1,1))-AVERAGE(OFFSET($H$3,0,0,'Données projet'!$E$15+1,1))</f>
        <v>767.9449852393318</v>
      </c>
      <c r="EP55" s="59">
        <f t="shared" si="46"/>
        <v>230.95605490295961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36.151635355316522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36.151635355316522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63.962136639495462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3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11</v>
      </c>
      <c r="H56" s="66">
        <f t="shared" si="1"/>
        <v>212.66666666666666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188.98184340090461</v>
      </c>
      <c r="T56" s="59">
        <f t="shared" si="34"/>
        <v>450.74604661797798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13.559999999999995</v>
      </c>
      <c r="AI56" s="13">
        <f>IF('Données projet'!$A$62&gt;35,AI55+AH56-AQ55,IF(A56&lt;'Données projet'!$A$62,$AF$205^A56,IF(A56='Données projet'!$A$62,'Données projet'!$B$62,AI55+AH56-AQ55)))</f>
        <v>278.78000000000003</v>
      </c>
      <c r="AJ56" s="13">
        <f>AI56*VLOOKUP('Données projet'!$B$10,Paramètres!$A$1:$I$89,3,0)*VLOOKUP('Données projet'!$B$10,Paramètres!$A$1:$I$89,5,0)</f>
        <v>252.24014399999999</v>
      </c>
      <c r="AK56" s="13">
        <f t="shared" si="35"/>
        <v>61.065384641947205</v>
      </c>
      <c r="AL56" s="20">
        <f t="shared" si="4"/>
        <v>545.67379571805805</v>
      </c>
      <c r="AM56" s="59">
        <f t="shared" si="5"/>
        <v>817.25235597531127</v>
      </c>
      <c r="AN56" s="59">
        <f ca="1">AVERAGE(OFFSET($AM$3,0,0,'Données projet'!$E$10+1,1))-AVERAGE(OFFSET($H$3,0,0,'Données projet'!$E$10+1,1))</f>
        <v>725.60981534362895</v>
      </c>
      <c r="AO56" s="59">
        <f t="shared" si="36"/>
        <v>265.16078167969272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56.632776530167114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56.632776530167114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2.5799999999999996</v>
      </c>
      <c r="BD56" s="12">
        <f>IF('Données projet'!$A$88&gt;35,BD55+BC56-BL55,IF(A56&lt;'Données projet'!$A$88,$BA$205^A56,IF(A56='Données projet'!$A$88,'Données projet'!$B$88,BD55+BC56-BL55)))</f>
        <v>107.34000000000019</v>
      </c>
      <c r="BE56" s="13">
        <f>BD56*VLOOKUP('Données projet'!$B$11,Paramètres!$A$1:$I$89,3,0)*VLOOKUP('Données projet'!$B$11,Paramètres!$A$1:$I$89,5,0)</f>
        <v>123.6556800000002</v>
      </c>
      <c r="BF56" s="13">
        <f t="shared" si="37"/>
        <v>32.526131775385238</v>
      </c>
      <c r="BG56" s="20">
        <f t="shared" si="7"/>
        <v>272.0166555087963</v>
      </c>
      <c r="BH56" s="59">
        <f t="shared" si="8"/>
        <v>543.59521576604959</v>
      </c>
      <c r="BI56" s="59">
        <f ca="1">AVERAGE(OFFSET($BH$3,0,0,'Données projet'!$E$11+1,1))-AVERAGE(OFFSET($H$3,0,0,'Données projet'!$E$11+1,1))</f>
        <v>332.93090933713466</v>
      </c>
      <c r="BJ56" s="59">
        <f t="shared" si="38"/>
        <v>251.83579649532973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9.4755409135594508</v>
      </c>
      <c r="BQ56" s="21">
        <f>EXP(-LN(2)/25)*BQ55+(1-EXP(-LN(2)/25))/(LN(2)/25)*Calculateur!BL56*Calculateur!BN56*VLOOKUP('Données projet'!$B$11,Paramètres!$A$1:$I$89,3,0)*0.475*44/12</f>
        <v>3.6757717082146022</v>
      </c>
      <c r="BR56" s="21">
        <f>EXP(-LN(2)/2)*BR55+(1-EXP(-LN(2)/2))/(LN(2)/2)*BL56*BO56*VLOOKUP('Données projet'!$B$11,Paramètres!$A$1:$I$89,3,0)*0.475*44/12</f>
        <v>9.2905158617686022E-7</v>
      </c>
      <c r="BS56" s="22">
        <f t="shared" si="9"/>
        <v>13.151313550825639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10.118749999999999</v>
      </c>
      <c r="BY56" s="12">
        <f>IF('Données projet'!$A$114&gt;35,BY55+BX56-CG55,IF(A56&lt;'Données projet'!$A$114,$BV$205^A56,IF(A56='Données projet'!$A$114,'Données projet'!$B$114,BY55+BX56-CG55)))</f>
        <v>203.10624999999999</v>
      </c>
      <c r="BZ56" s="13">
        <f>BY56*VLOOKUP('Données projet'!$B$12,Paramètres!$A$1:$I$89,3,0)*VLOOKUP('Données projet'!$B$12,Paramètres!$A$1:$I$89,5,0)</f>
        <v>231.29739750000002</v>
      </c>
      <c r="CA56" s="13">
        <f t="shared" si="39"/>
        <v>56.563117299882443</v>
      </c>
      <c r="CB56" s="20">
        <f t="shared" si="10"/>
        <v>501.35706327646199</v>
      </c>
      <c r="CC56" s="59">
        <f t="shared" si="11"/>
        <v>772.93562353371522</v>
      </c>
      <c r="CD56" s="59">
        <f ca="1">AVERAGE(OFFSET($CC$3,0,0,'Données projet'!$E$12+1,1))-AVERAGE(OFFSET($H$3,0,0,'Données projet'!$E$12+1,1))</f>
        <v>797.57191672067393</v>
      </c>
      <c r="CE56" s="59">
        <f t="shared" si="40"/>
        <v>238.59056544987126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36.961697715018431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36.961697715018431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>
        <f>CT56*VLOOKUP('Données projet'!$B$13,Paramètres!$A$1:$I$89,3,0)*VLOOKUP('Données projet'!$B$13,Paramètres!$A$1:$I$89,5,0)</f>
        <v>0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188.98184340090461</v>
      </c>
      <c r="CZ56" s="59">
        <f t="shared" si="42"/>
        <v>450.74604661797798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72.133854551740043</v>
      </c>
      <c r="DH56" s="21">
        <f>EXP(-LN(2)/2)*DH55+(1-EXP(-LN(2)/2))/(LN(2)/2)*DB56*DE56*VLOOKUP('Données projet'!$B$13,Paramètres!$A$1:$I$89,3,0)*0.475*44/12</f>
        <v>1.5523896162185947E-5</v>
      </c>
      <c r="DI56" s="22">
        <f t="shared" si="15"/>
        <v>72.13387007563621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369.00000000000011</v>
      </c>
      <c r="DP56" s="17">
        <f>DO56*VLOOKUP('Données projet'!$B$14,Paramètres!$A$1:$I$89,3,0)*VLOOKUP('Données projet'!$B$14,Paramètres!$A$1:$I$89,5,0)</f>
        <v>333.87120000000004</v>
      </c>
      <c r="DQ56" s="13">
        <f t="shared" si="43"/>
        <v>78.232360111376309</v>
      </c>
      <c r="DR56" s="20">
        <f t="shared" si="16"/>
        <v>717.74703386064709</v>
      </c>
      <c r="DS56" s="59">
        <f t="shared" si="17"/>
        <v>989.32559411790044</v>
      </c>
      <c r="DT56" s="59">
        <f ca="1">AVERAGE(OFFSET($DS$3,0,0,'Données projet'!$E$14+1,1))-AVERAGE(OFFSET($H$3,0,0,'Données projet'!$E$14+1,1))</f>
        <v>442.34161202733173</v>
      </c>
      <c r="DU56" s="59">
        <f t="shared" si="44"/>
        <v>622.90413492324399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6.7035390102835164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6.7035390102835164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10.118749999999999</v>
      </c>
      <c r="EJ56" s="12">
        <f>IF('Données projet'!$A$192&gt;35,EJ55+EI56-ER55,IF(A56&lt;'Données projet'!$A$192,$EG$205^A56,IF(A56='Données projet'!$A$192,'Données projet'!$B$192,EJ55+EI56-ER55)))</f>
        <v>203.10624999999999</v>
      </c>
      <c r="EK56" s="17">
        <f>EJ56*VLOOKUP('Données projet'!$B$15,Paramètres!$A$1:$I$89,3,0)*VLOOKUP('Données projet'!$B$15,Paramètres!$A$1:$I$89,5,0)</f>
        <v>221.79202499999997</v>
      </c>
      <c r="EL56" s="13">
        <f t="shared" si="45"/>
        <v>54.504189412324834</v>
      </c>
      <c r="EM56" s="20">
        <f t="shared" si="19"/>
        <v>481.2159067681323</v>
      </c>
      <c r="EN56" s="59">
        <f t="shared" si="20"/>
        <v>752.79446702538553</v>
      </c>
      <c r="EO56" s="59">
        <f ca="1">AVERAGE(OFFSET($EN$3,0,0,'Données projet'!$E$15+1,1))-AVERAGE(OFFSET($H$3,0,0,'Données projet'!$E$15+1,1))</f>
        <v>767.9449852393318</v>
      </c>
      <c r="EP56" s="59">
        <f t="shared" si="46"/>
        <v>230.95605490295961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35.44272383631904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35.44272383631904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64.066880070159982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3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11</v>
      </c>
      <c r="H57" s="66">
        <f t="shared" si="1"/>
        <v>212.66666666666666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188.98184340090461</v>
      </c>
      <c r="T57" s="59">
        <f t="shared" si="34"/>
        <v>450.74604661797798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13.559999999999995</v>
      </c>
      <c r="AI57" s="13">
        <f>IF('Données projet'!$A$62&gt;35,AI56+AH57-AQ56,IF(A57&lt;'Données projet'!$A$62,$AF$205^A57,IF(A57='Données projet'!$A$62,'Données projet'!$B$62,AI56+AH57-AQ56)))</f>
        <v>292.34000000000003</v>
      </c>
      <c r="AJ57" s="13">
        <f>AI57*VLOOKUP('Données projet'!$B$10,Paramètres!$A$1:$I$89,3,0)*VLOOKUP('Données projet'!$B$10,Paramètres!$A$1:$I$89,5,0)</f>
        <v>264.509232</v>
      </c>
      <c r="AK57" s="13">
        <f t="shared" si="35"/>
        <v>63.682600004728563</v>
      </c>
      <c r="AL57" s="20">
        <f t="shared" si="4"/>
        <v>571.60077407490223</v>
      </c>
      <c r="AM57" s="59">
        <f t="shared" si="5"/>
        <v>843.55673100863919</v>
      </c>
      <c r="AN57" s="59">
        <f ca="1">AVERAGE(OFFSET($AM$3,0,0,'Données projet'!$E$10+1,1))-AVERAGE(OFFSET($H$3,0,0,'Données projet'!$E$10+1,1))</f>
        <v>725.60981534362895</v>
      </c>
      <c r="AO57" s="59">
        <f t="shared" si="36"/>
        <v>265.16078167969272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55.522242324993421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55.522242324993421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2.5799999999999996</v>
      </c>
      <c r="BD57" s="12">
        <f>IF('Données projet'!$A$88&gt;35,BD56+BC57-BL56,IF(A57&lt;'Données projet'!$A$88,$BA$205^A57,IF(A57='Données projet'!$A$88,'Données projet'!$B$88,BD56+BC57-BL56)))</f>
        <v>109.92000000000019</v>
      </c>
      <c r="BE57" s="13">
        <f>BD57*VLOOKUP('Données projet'!$B$11,Paramètres!$A$1:$I$89,3,0)*VLOOKUP('Données projet'!$B$11,Paramètres!$A$1:$I$89,5,0)</f>
        <v>126.62784000000021</v>
      </c>
      <c r="BF57" s="13">
        <f t="shared" si="37"/>
        <v>33.21596429020444</v>
      </c>
      <c r="BG57" s="20">
        <f t="shared" si="7"/>
        <v>278.39462580543977</v>
      </c>
      <c r="BH57" s="59">
        <f t="shared" si="8"/>
        <v>550.35058273917662</v>
      </c>
      <c r="BI57" s="59">
        <f ca="1">AVERAGE(OFFSET($BH$3,0,0,'Données projet'!$E$11+1,1))-AVERAGE(OFFSET($H$3,0,0,'Données projet'!$E$11+1,1))</f>
        <v>332.93090933713466</v>
      </c>
      <c r="BJ57" s="59">
        <f t="shared" si="38"/>
        <v>251.83579649532973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9.289731335753828</v>
      </c>
      <c r="BQ57" s="21">
        <f>EXP(-LN(2)/25)*BQ56+(1-EXP(-LN(2)/25))/(LN(2)/25)*Calculateur!BL57*Calculateur!BN57*VLOOKUP('Données projet'!$B$11,Paramètres!$A$1:$I$89,3,0)*0.475*44/12</f>
        <v>3.5752575375530409</v>
      </c>
      <c r="BR57" s="21">
        <f>EXP(-LN(2)/2)*BR56+(1-EXP(-LN(2)/2))/(LN(2)/2)*BL57*BO57*VLOOKUP('Données projet'!$B$11,Paramètres!$A$1:$I$89,3,0)*0.475*44/12</f>
        <v>6.5693867665777605E-7</v>
      </c>
      <c r="BS57" s="22">
        <f t="shared" si="9"/>
        <v>12.864989530245545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10.118749999999999</v>
      </c>
      <c r="BY57" s="12">
        <f>IF('Données projet'!$A$114&gt;35,BY56+BX57-CG56,IF(A57&lt;'Données projet'!$A$114,$BV$205^A57,IF(A57='Données projet'!$A$114,'Données projet'!$B$114,BY56+BX57-CG56)))</f>
        <v>213.22499999999999</v>
      </c>
      <c r="BZ57" s="13">
        <f>BY57*VLOOKUP('Données projet'!$B$12,Paramètres!$A$1:$I$89,3,0)*VLOOKUP('Données projet'!$B$12,Paramètres!$A$1:$I$89,5,0)</f>
        <v>242.82062999999999</v>
      </c>
      <c r="CA57" s="13">
        <f t="shared" si="39"/>
        <v>59.045989469043064</v>
      </c>
      <c r="CB57" s="20">
        <f t="shared" si="10"/>
        <v>525.75102890858318</v>
      </c>
      <c r="CC57" s="59">
        <f t="shared" si="11"/>
        <v>797.70698584232014</v>
      </c>
      <c r="CD57" s="59">
        <f ca="1">AVERAGE(OFFSET($CC$3,0,0,'Données projet'!$E$12+1,1))-AVERAGE(OFFSET($H$3,0,0,'Données projet'!$E$12+1,1))</f>
        <v>797.57191672067393</v>
      </c>
      <c r="CE57" s="59">
        <f t="shared" si="40"/>
        <v>238.59056544987126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36.236901367236449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36.236901367236449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>
        <f>CT57*VLOOKUP('Données projet'!$B$13,Paramètres!$A$1:$I$89,3,0)*VLOOKUP('Données projet'!$B$13,Paramètres!$A$1:$I$89,5,0)</f>
        <v>0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188.98184340090461</v>
      </c>
      <c r="CZ57" s="59">
        <f t="shared" si="42"/>
        <v>450.74604661797798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70.161350505668167</v>
      </c>
      <c r="DH57" s="21">
        <f>EXP(-LN(2)/2)*DH56+(1-EXP(-LN(2)/2))/(LN(2)/2)*DB57*DE57*VLOOKUP('Données projet'!$B$13,Paramètres!$A$1:$I$89,3,0)*0.475*44/12</f>
        <v>1.0977052246717503E-5</v>
      </c>
      <c r="DI57" s="22">
        <f t="shared" si="15"/>
        <v>70.161361482720409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369.00000000000011</v>
      </c>
      <c r="DP57" s="17">
        <f>DO57*VLOOKUP('Données projet'!$B$14,Paramètres!$A$1:$I$89,3,0)*VLOOKUP('Données projet'!$B$14,Paramètres!$A$1:$I$89,5,0)</f>
        <v>333.87120000000004</v>
      </c>
      <c r="DQ57" s="13">
        <f t="shared" si="43"/>
        <v>78.232360111376309</v>
      </c>
      <c r="DR57" s="20">
        <f t="shared" si="16"/>
        <v>717.74703386064709</v>
      </c>
      <c r="DS57" s="59">
        <f t="shared" si="17"/>
        <v>989.70299079438405</v>
      </c>
      <c r="DT57" s="59">
        <f ca="1">AVERAGE(OFFSET($DS$3,0,0,'Données projet'!$E$14+1,1))-AVERAGE(OFFSET($H$3,0,0,'Données projet'!$E$14+1,1))</f>
        <v>442.34161202733173</v>
      </c>
      <c r="DU57" s="59">
        <f t="shared" si="44"/>
        <v>622.90413492324399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6.5720866990469222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6.5720866990469222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10.118749999999999</v>
      </c>
      <c r="EJ57" s="12">
        <f>IF('Données projet'!$A$192&gt;35,EJ56+EI57-ER56,IF(A57&lt;'Données projet'!$A$192,$EG$205^A57,IF(A57='Données projet'!$A$192,'Données projet'!$B$192,EJ56+EI57-ER56)))</f>
        <v>213.22499999999999</v>
      </c>
      <c r="EK57" s="17">
        <f>EJ57*VLOOKUP('Données projet'!$B$15,Paramètres!$A$1:$I$89,3,0)*VLOOKUP('Données projet'!$B$15,Paramètres!$A$1:$I$89,5,0)</f>
        <v>232.8417</v>
      </c>
      <c r="EL57" s="13">
        <f t="shared" si="45"/>
        <v>56.89668369931843</v>
      </c>
      <c r="EM57" s="20">
        <f t="shared" si="19"/>
        <v>504.62768494297961</v>
      </c>
      <c r="EN57" s="59">
        <f t="shared" si="20"/>
        <v>776.58364187671646</v>
      </c>
      <c r="EO57" s="59">
        <f ca="1">AVERAGE(OFFSET($EN$3,0,0,'Données projet'!$E$15+1,1))-AVERAGE(OFFSET($H$3,0,0,'Données projet'!$E$15+1,1))</f>
        <v>767.9449852393318</v>
      </c>
      <c r="EP57" s="59">
        <f t="shared" si="46"/>
        <v>230.95605490295961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34.747713639815771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34.747713639815771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64.169806436473692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3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11</v>
      </c>
      <c r="H58" s="66">
        <f t="shared" si="1"/>
        <v>212.66666666666666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188.98184340090461</v>
      </c>
      <c r="T58" s="59">
        <f t="shared" si="34"/>
        <v>450.74604661797798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13.559999999999995</v>
      </c>
      <c r="AI58" s="13">
        <f>IF('Données projet'!$A$62&gt;35,AI57+AH58-AQ57,IF(A58&lt;'Données projet'!$A$62,$AF$205^A58,IF(A58='Données projet'!$A$62,'Données projet'!$B$62,AI57+AH58-AQ57)))</f>
        <v>305.90000000000003</v>
      </c>
      <c r="AJ58" s="13">
        <f>AI58*VLOOKUP('Données projet'!$B$10,Paramètres!$A$1:$I$89,3,0)*VLOOKUP('Données projet'!$B$10,Paramètres!$A$1:$I$89,5,0)</f>
        <v>276.77832000000001</v>
      </c>
      <c r="AK58" s="13">
        <f t="shared" si="35"/>
        <v>66.28571740098451</v>
      </c>
      <c r="AL58" s="20">
        <f t="shared" si="4"/>
        <v>597.5031984733813</v>
      </c>
      <c r="AM58" s="59">
        <f t="shared" si="5"/>
        <v>869.83000509499743</v>
      </c>
      <c r="AN58" s="59">
        <f ca="1">AVERAGE(OFFSET($AM$3,0,0,'Données projet'!$E$10+1,1))-AVERAGE(OFFSET($H$3,0,0,'Données projet'!$E$10+1,1))</f>
        <v>725.60981534362895</v>
      </c>
      <c r="AO58" s="59">
        <f t="shared" si="36"/>
        <v>265.16078167969272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54.433485018224204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54.433485018224204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2.5799999999999996</v>
      </c>
      <c r="BD58" s="12">
        <f>IF('Données projet'!$A$88&gt;35,BD57+BC58-BL57,IF(A58&lt;'Données projet'!$A$88,$BA$205^A58,IF(A58='Données projet'!$A$88,'Données projet'!$B$88,BD57+BC58-BL57)))</f>
        <v>112.50000000000018</v>
      </c>
      <c r="BE58" s="13">
        <f>BD58*VLOOKUP('Données projet'!$B$11,Paramètres!$A$1:$I$89,3,0)*VLOOKUP('Données projet'!$B$11,Paramètres!$A$1:$I$89,5,0)</f>
        <v>129.60000000000019</v>
      </c>
      <c r="BF58" s="13">
        <f t="shared" si="37"/>
        <v>33.903914505888089</v>
      </c>
      <c r="BG58" s="20">
        <f t="shared" si="7"/>
        <v>284.76931776442206</v>
      </c>
      <c r="BH58" s="59">
        <f t="shared" si="8"/>
        <v>557.09612438603813</v>
      </c>
      <c r="BI58" s="59">
        <f ca="1">AVERAGE(OFFSET($BH$3,0,0,'Données projet'!$E$11+1,1))-AVERAGE(OFFSET($H$3,0,0,'Données projet'!$E$11+1,1))</f>
        <v>332.93090933713466</v>
      </c>
      <c r="BJ58" s="59">
        <f t="shared" si="38"/>
        <v>251.83579649532973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9.1075653704363226</v>
      </c>
      <c r="BQ58" s="21">
        <f>EXP(-LN(2)/25)*BQ57+(1-EXP(-LN(2)/25))/(LN(2)/25)*Calculateur!BL58*Calculateur!BN58*VLOOKUP('Données projet'!$B$11,Paramètres!$A$1:$I$89,3,0)*0.475*44/12</f>
        <v>3.4774919321740305</v>
      </c>
      <c r="BR58" s="21">
        <f>EXP(-LN(2)/2)*BR57+(1-EXP(-LN(2)/2))/(LN(2)/2)*BL58*BO58*VLOOKUP('Données projet'!$B$11,Paramètres!$A$1:$I$89,3,0)*0.475*44/12</f>
        <v>4.6452579308843016E-7</v>
      </c>
      <c r="BS58" s="22">
        <f t="shared" si="9"/>
        <v>12.585057767136147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10.118749999999999</v>
      </c>
      <c r="BY58" s="12">
        <f>IF('Données projet'!$A$114&gt;35,BY57+BX58-CG57,IF(A58&lt;'Données projet'!$A$114,$BV$205^A58,IF(A58='Données projet'!$A$114,'Données projet'!$B$114,BY57+BX58-CG57)))</f>
        <v>223.34375</v>
      </c>
      <c r="BZ58" s="13">
        <f>BY58*VLOOKUP('Données projet'!$B$12,Paramètres!$A$1:$I$89,3,0)*VLOOKUP('Données projet'!$B$12,Paramètres!$A$1:$I$89,5,0)</f>
        <v>254.34386249999997</v>
      </c>
      <c r="CA58" s="13">
        <f t="shared" si="39"/>
        <v>61.515179017267748</v>
      </c>
      <c r="CB58" s="20">
        <f t="shared" si="10"/>
        <v>550.12116397590796</v>
      </c>
      <c r="CC58" s="59">
        <f t="shared" si="11"/>
        <v>822.44797059752409</v>
      </c>
      <c r="CD58" s="59">
        <f ca="1">AVERAGE(OFFSET($CC$3,0,0,'Données projet'!$E$12+1,1))-AVERAGE(OFFSET($H$3,0,0,'Données projet'!$E$12+1,1))</f>
        <v>797.57191672067393</v>
      </c>
      <c r="CE58" s="59">
        <f t="shared" si="40"/>
        <v>238.59056544987126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35.526317833752351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35.526317833752351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>
        <f>CT58*VLOOKUP('Données projet'!$B$13,Paramètres!$A$1:$I$89,3,0)*VLOOKUP('Données projet'!$B$13,Paramètres!$A$1:$I$89,5,0)</f>
        <v>0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188.98184340090461</v>
      </c>
      <c r="CZ58" s="59">
        <f t="shared" si="42"/>
        <v>450.74604661797798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68.242784686465598</v>
      </c>
      <c r="DH58" s="21">
        <f>EXP(-LN(2)/2)*DH57+(1-EXP(-LN(2)/2))/(LN(2)/2)*DB58*DE58*VLOOKUP('Données projet'!$B$13,Paramètres!$A$1:$I$89,3,0)*0.475*44/12</f>
        <v>7.7619480810929733E-6</v>
      </c>
      <c r="DI58" s="22">
        <f t="shared" si="15"/>
        <v>68.242792448413681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369.00000000000011</v>
      </c>
      <c r="DP58" s="17">
        <f>DO58*VLOOKUP('Données projet'!$B$14,Paramètres!$A$1:$I$89,3,0)*VLOOKUP('Données projet'!$B$14,Paramètres!$A$1:$I$89,5,0)</f>
        <v>333.87120000000004</v>
      </c>
      <c r="DQ58" s="13">
        <f t="shared" si="43"/>
        <v>78.232360111376309</v>
      </c>
      <c r="DR58" s="20">
        <f t="shared" si="16"/>
        <v>717.74703386064709</v>
      </c>
      <c r="DS58" s="59">
        <f t="shared" si="17"/>
        <v>990.07384048226322</v>
      </c>
      <c r="DT58" s="59">
        <f ca="1">AVERAGE(OFFSET($DS$3,0,0,'Données projet'!$E$14+1,1))-AVERAGE(OFFSET($H$3,0,0,'Données projet'!$E$14+1,1))</f>
        <v>442.34161202733173</v>
      </c>
      <c r="DU58" s="59">
        <f t="shared" si="44"/>
        <v>622.90413492324399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6.4432120874556844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6.4432120874556844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10.118749999999999</v>
      </c>
      <c r="EJ58" s="12">
        <f>IF('Données projet'!$A$192&gt;35,EJ57+EI58-ER57,IF(A58&lt;'Données projet'!$A$192,$EG$205^A58,IF(A58='Données projet'!$A$192,'Données projet'!$B$192,EJ57+EI58-ER57)))</f>
        <v>223.34375</v>
      </c>
      <c r="EK58" s="17">
        <f>EJ58*VLOOKUP('Données projet'!$B$15,Paramètres!$A$1:$I$89,3,0)*VLOOKUP('Données projet'!$B$15,Paramètres!$A$1:$I$89,5,0)</f>
        <v>243.89137499999998</v>
      </c>
      <c r="EL58" s="13">
        <f t="shared" si="45"/>
        <v>59.275993420136281</v>
      </c>
      <c r="EM58" s="20">
        <f t="shared" si="19"/>
        <v>528.01649999840402</v>
      </c>
      <c r="EN58" s="59">
        <f t="shared" si="20"/>
        <v>800.34330662002014</v>
      </c>
      <c r="EO58" s="59">
        <f ca="1">AVERAGE(OFFSET($EN$3,0,0,'Données projet'!$E$15+1,1))-AVERAGE(OFFSET($H$3,0,0,'Données projet'!$E$15+1,1))</f>
        <v>767.9449852393318</v>
      </c>
      <c r="EP58" s="59">
        <f t="shared" si="46"/>
        <v>230.95605490295961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34.066332169351568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34.066332169351568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64.270947260440764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3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11</v>
      </c>
      <c r="H59" s="66">
        <f t="shared" si="1"/>
        <v>212.66666666666666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188.98184340090461</v>
      </c>
      <c r="T59" s="59">
        <f t="shared" si="34"/>
        <v>450.74604661797798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13.559999999999995</v>
      </c>
      <c r="AI59" s="13">
        <f>IF('Données projet'!$A$62&gt;35,AI58+AH59-AQ58,IF(A59&lt;'Données projet'!$A$62,$AF$205^A59,IF(A59='Données projet'!$A$62,'Données projet'!$B$62,AI58+AH59-AQ58)))</f>
        <v>319.46000000000004</v>
      </c>
      <c r="AJ59" s="13">
        <f>AI59*VLOOKUP('Données projet'!$B$10,Paramètres!$A$1:$I$89,3,0)*VLOOKUP('Données projet'!$B$10,Paramètres!$A$1:$I$89,5,0)</f>
        <v>289.04740800000002</v>
      </c>
      <c r="AK59" s="13">
        <f t="shared" si="35"/>
        <v>68.875433179996975</v>
      </c>
      <c r="AL59" s="20">
        <f t="shared" si="4"/>
        <v>623.38228172182801</v>
      </c>
      <c r="AM59" s="59">
        <f t="shared" si="5"/>
        <v>896.07350461833425</v>
      </c>
      <c r="AN59" s="59">
        <f ca="1">AVERAGE(OFFSET($AM$3,0,0,'Données projet'!$E$10+1,1))-AVERAGE(OFFSET($H$3,0,0,'Données projet'!$E$10+1,1))</f>
        <v>725.60981534362895</v>
      </c>
      <c r="AO59" s="59">
        <f t="shared" si="36"/>
        <v>265.16078167969272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53.366077578164344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53.366077578164344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2.5799999999999996</v>
      </c>
      <c r="BD59" s="12">
        <f>IF('Données projet'!$A$88&gt;35,BD58+BC59-BL58,IF(A59&lt;'Données projet'!$A$88,$BA$205^A59,IF(A59='Données projet'!$A$88,'Données projet'!$B$88,BD58+BC59-BL58)))</f>
        <v>115.08000000000018</v>
      </c>
      <c r="BE59" s="13">
        <f>BD59*VLOOKUP('Données projet'!$B$11,Paramètres!$A$1:$I$89,3,0)*VLOOKUP('Données projet'!$B$11,Paramètres!$A$1:$I$89,5,0)</f>
        <v>132.5721600000002</v>
      </c>
      <c r="BF59" s="13">
        <f t="shared" si="37"/>
        <v>34.590030558776284</v>
      </c>
      <c r="BG59" s="20">
        <f t="shared" si="7"/>
        <v>291.14081522320231</v>
      </c>
      <c r="BH59" s="59">
        <f t="shared" si="8"/>
        <v>563.83203811970861</v>
      </c>
      <c r="BI59" s="59">
        <f ca="1">AVERAGE(OFFSET($BH$3,0,0,'Données projet'!$E$11+1,1))-AVERAGE(OFFSET($H$3,0,0,'Données projet'!$E$11+1,1))</f>
        <v>332.93090933713466</v>
      </c>
      <c r="BJ59" s="59">
        <f t="shared" si="38"/>
        <v>251.83579649532973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8.928971568588425</v>
      </c>
      <c r="BQ59" s="21">
        <f>EXP(-LN(2)/25)*BQ58+(1-EXP(-LN(2)/25))/(LN(2)/25)*Calculateur!BL59*Calculateur!BN59*VLOOKUP('Données projet'!$B$11,Paramètres!$A$1:$I$89,3,0)*0.475*44/12</f>
        <v>3.3823997324153789</v>
      </c>
      <c r="BR59" s="21">
        <f>EXP(-LN(2)/2)*BR58+(1-EXP(-LN(2)/2))/(LN(2)/2)*BL59*BO59*VLOOKUP('Données projet'!$B$11,Paramètres!$A$1:$I$89,3,0)*0.475*44/12</f>
        <v>3.2846933832888808E-7</v>
      </c>
      <c r="BS59" s="22">
        <f t="shared" si="9"/>
        <v>12.311371629473143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10.118749999999999</v>
      </c>
      <c r="BY59" s="12">
        <f>IF('Données projet'!$A$114&gt;35,BY58+BX59-CG58,IF(A59&lt;'Données projet'!$A$114,$BV$205^A59,IF(A59='Données projet'!$A$114,'Données projet'!$B$114,BY58+BX59-CG58)))</f>
        <v>233.46250000000001</v>
      </c>
      <c r="BZ59" s="13">
        <f>BY59*VLOOKUP('Données projet'!$B$12,Paramètres!$A$1:$I$89,3,0)*VLOOKUP('Données projet'!$B$12,Paramètres!$A$1:$I$89,5,0)</f>
        <v>265.86709500000001</v>
      </c>
      <c r="CA59" s="13">
        <f t="shared" si="39"/>
        <v>63.971376663278058</v>
      </c>
      <c r="CB59" s="20">
        <f t="shared" si="10"/>
        <v>574.46867148020931</v>
      </c>
      <c r="CC59" s="59">
        <f t="shared" si="11"/>
        <v>847.15989437671556</v>
      </c>
      <c r="CD59" s="59">
        <f ca="1">AVERAGE(OFFSET($CC$3,0,0,'Données projet'!$E$12+1,1))-AVERAGE(OFFSET($H$3,0,0,'Données projet'!$E$12+1,1))</f>
        <v>797.57191672067393</v>
      </c>
      <c r="CE59" s="59">
        <f t="shared" si="40"/>
        <v>238.59056544987126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34.82966840994672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34.82966840994672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>
        <f>CT59*VLOOKUP('Données projet'!$B$13,Paramètres!$A$1:$I$89,3,0)*VLOOKUP('Données projet'!$B$13,Paramètres!$A$1:$I$89,5,0)</f>
        <v>0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188.98184340090461</v>
      </c>
      <c r="CZ59" s="59">
        <f t="shared" si="42"/>
        <v>450.74604661797798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66.376682150482125</v>
      </c>
      <c r="DH59" s="21">
        <f>EXP(-LN(2)/2)*DH58+(1-EXP(-LN(2)/2))/(LN(2)/2)*DB59*DE59*VLOOKUP('Données projet'!$B$13,Paramètres!$A$1:$I$89,3,0)*0.475*44/12</f>
        <v>5.4885261233587515E-6</v>
      </c>
      <c r="DI59" s="22">
        <f t="shared" si="15"/>
        <v>66.376687639008253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369.00000000000011</v>
      </c>
      <c r="DP59" s="17">
        <f>DO59*VLOOKUP('Données projet'!$B$14,Paramètres!$A$1:$I$89,3,0)*VLOOKUP('Données projet'!$B$14,Paramètres!$A$1:$I$89,5,0)</f>
        <v>333.87120000000004</v>
      </c>
      <c r="DQ59" s="13">
        <f t="shared" si="43"/>
        <v>78.232360111376309</v>
      </c>
      <c r="DR59" s="20">
        <f t="shared" si="16"/>
        <v>717.74703386064709</v>
      </c>
      <c r="DS59" s="59">
        <f t="shared" si="17"/>
        <v>990.43825675715334</v>
      </c>
      <c r="DT59" s="59">
        <f ca="1">AVERAGE(OFFSET($DS$3,0,0,'Données projet'!$E$14+1,1))-AVERAGE(OFFSET($H$3,0,0,'Données projet'!$E$14+1,1))</f>
        <v>442.34161202733173</v>
      </c>
      <c r="DU59" s="59">
        <f t="shared" si="44"/>
        <v>622.90413492324399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6.3168646283919996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6.3168646283919996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10.118749999999999</v>
      </c>
      <c r="EJ59" s="12">
        <f>IF('Données projet'!$A$192&gt;35,EJ58+EI59-ER58,IF(A59&lt;'Données projet'!$A$192,$EG$205^A59,IF(A59='Données projet'!$A$192,'Données projet'!$B$192,EJ58+EI59-ER58)))</f>
        <v>233.46250000000001</v>
      </c>
      <c r="EK59" s="17">
        <f>EJ59*VLOOKUP('Données projet'!$B$15,Paramètres!$A$1:$I$89,3,0)*VLOOKUP('Données projet'!$B$15,Paramètres!$A$1:$I$89,5,0)</f>
        <v>254.94104999999999</v>
      </c>
      <c r="EL59" s="13">
        <f t="shared" si="45"/>
        <v>61.642784150966996</v>
      </c>
      <c r="EM59" s="20">
        <f t="shared" si="19"/>
        <v>551.38351114626744</v>
      </c>
      <c r="EN59" s="59">
        <f t="shared" si="20"/>
        <v>824.0747340427738</v>
      </c>
      <c r="EO59" s="59">
        <f ca="1">AVERAGE(OFFSET($EN$3,0,0,'Données projet'!$E$15+1,1))-AVERAGE(OFFSET($H$3,0,0,'Données projet'!$E$15+1,1))</f>
        <v>767.9449852393318</v>
      </c>
      <c r="EP59" s="59">
        <f t="shared" si="46"/>
        <v>230.95605490295961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33.398312173921511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33.398312173921511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64.370333517229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3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11</v>
      </c>
      <c r="H60" s="66">
        <f t="shared" si="1"/>
        <v>212.66666666666666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188.98184340090461</v>
      </c>
      <c r="T60" s="59">
        <f t="shared" si="34"/>
        <v>450.74604661797798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13.559999999999995</v>
      </c>
      <c r="AI60" s="13">
        <f>IF('Données projet'!$A$62&gt;35,AI59+AH60-AQ59,IF(A60&lt;'Données projet'!$A$62,$AF$205^A60,IF(A60='Données projet'!$A$62,'Données projet'!$B$62,AI59+AH60-AQ59)))</f>
        <v>333.02000000000004</v>
      </c>
      <c r="AJ60" s="13">
        <f>AI60*VLOOKUP('Données projet'!$B$10,Paramètres!$A$1:$I$89,3,0)*VLOOKUP('Données projet'!$B$10,Paramètres!$A$1:$I$89,5,0)</f>
        <v>301.31649600000003</v>
      </c>
      <c r="AK60" s="13">
        <f t="shared" si="35"/>
        <v>71.45238123186985</v>
      </c>
      <c r="AL60" s="20">
        <f t="shared" si="4"/>
        <v>649.23912784550669</v>
      </c>
      <c r="AM60" s="59">
        <f t="shared" si="5"/>
        <v>922.28844520924667</v>
      </c>
      <c r="AN60" s="59">
        <f ca="1">AVERAGE(OFFSET($AM$3,0,0,'Données projet'!$E$10+1,1))-AVERAGE(OFFSET($H$3,0,0,'Données projet'!$E$10+1,1))</f>
        <v>725.60981534362895</v>
      </c>
      <c r="AO60" s="59">
        <f t="shared" si="36"/>
        <v>265.16078167969272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52.31960134694981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52.31960134694981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2.5799999999999996</v>
      </c>
      <c r="BD60" s="12">
        <f>IF('Données projet'!$A$88&gt;35,BD59+BC60-BL59,IF(A60&lt;'Données projet'!$A$88,$BA$205^A60,IF(A60='Données projet'!$A$88,'Données projet'!$B$88,BD59+BC60-BL59)))</f>
        <v>117.66000000000018</v>
      </c>
      <c r="BE60" s="13">
        <f>BD60*VLOOKUP('Données projet'!$B$11,Paramètres!$A$1:$I$89,3,0)*VLOOKUP('Données projet'!$B$11,Paramètres!$A$1:$I$89,5,0)</f>
        <v>135.5443200000002</v>
      </c>
      <c r="BF60" s="13">
        <f t="shared" si="37"/>
        <v>35.274358303640398</v>
      </c>
      <c r="BG60" s="20">
        <f t="shared" si="7"/>
        <v>297.50919804550739</v>
      </c>
      <c r="BH60" s="59">
        <f t="shared" si="8"/>
        <v>570.55851540924732</v>
      </c>
      <c r="BI60" s="59">
        <f ca="1">AVERAGE(OFFSET($BH$3,0,0,'Données projet'!$E$11+1,1))-AVERAGE(OFFSET($H$3,0,0,'Données projet'!$E$11+1,1))</f>
        <v>332.93090933713466</v>
      </c>
      <c r="BJ60" s="59">
        <f t="shared" si="38"/>
        <v>251.83579649532973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8.7538798822633019</v>
      </c>
      <c r="BQ60" s="21">
        <f>EXP(-LN(2)/25)*BQ59+(1-EXP(-LN(2)/25))/(LN(2)/25)*Calculateur!BL60*Calculateur!BN60*VLOOKUP('Données projet'!$B$11,Paramètres!$A$1:$I$89,3,0)*0.475*44/12</f>
        <v>3.2899078338598091</v>
      </c>
      <c r="BR60" s="21">
        <f>EXP(-LN(2)/2)*BR59+(1-EXP(-LN(2)/2))/(LN(2)/2)*BL60*BO60*VLOOKUP('Données projet'!$B$11,Paramètres!$A$1:$I$89,3,0)*0.475*44/12</f>
        <v>2.3226289654421513E-7</v>
      </c>
      <c r="BS60" s="22">
        <f t="shared" si="9"/>
        <v>12.043787948386008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10.118749999999999</v>
      </c>
      <c r="BY60" s="12">
        <f>IF('Données projet'!$A$114&gt;35,BY59+BX60-CG59,IF(A60&lt;'Données projet'!$A$114,$BV$205^A60,IF(A60='Données projet'!$A$114,'Données projet'!$B$114,BY59+BX60-CG59)))</f>
        <v>243.58125000000001</v>
      </c>
      <c r="BZ60" s="13">
        <f>BY60*VLOOKUP('Données projet'!$B$12,Paramètres!$A$1:$I$89,3,0)*VLOOKUP('Données projet'!$B$12,Paramètres!$A$1:$I$89,5,0)</f>
        <v>277.39032750000001</v>
      </c>
      <c r="CA60" s="13">
        <f t="shared" si="39"/>
        <v>66.415209865418817</v>
      </c>
      <c r="CB60" s="20">
        <f t="shared" si="10"/>
        <v>598.79464424477112</v>
      </c>
      <c r="CC60" s="59">
        <f t="shared" si="11"/>
        <v>871.84396160851111</v>
      </c>
      <c r="CD60" s="59">
        <f ca="1">AVERAGE(OFFSET($CC$3,0,0,'Données projet'!$E$12+1,1))-AVERAGE(OFFSET($H$3,0,0,'Données projet'!$E$12+1,1))</f>
        <v>797.57191672067393</v>
      </c>
      <c r="CE60" s="59">
        <f t="shared" si="40"/>
        <v>238.59056544987126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34.146679856427724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34.146679856427724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>
        <f>CT60*VLOOKUP('Données projet'!$B$13,Paramètres!$A$1:$I$89,3,0)*VLOOKUP('Données projet'!$B$13,Paramètres!$A$1:$I$89,5,0)</f>
        <v>0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188.98184340090461</v>
      </c>
      <c r="CZ60" s="59">
        <f t="shared" si="42"/>
        <v>450.74604661797798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64.561608286479185</v>
      </c>
      <c r="DH60" s="21">
        <f>EXP(-LN(2)/2)*DH59+(1-EXP(-LN(2)/2))/(LN(2)/2)*DB60*DE60*VLOOKUP('Données projet'!$B$13,Paramètres!$A$1:$I$89,3,0)*0.475*44/12</f>
        <v>3.8809740405464866E-6</v>
      </c>
      <c r="DI60" s="22">
        <f t="shared" si="15"/>
        <v>64.56161216745322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369.00000000000011</v>
      </c>
      <c r="DP60" s="17">
        <f>DO60*VLOOKUP('Données projet'!$B$14,Paramètres!$A$1:$I$89,3,0)*VLOOKUP('Données projet'!$B$14,Paramètres!$A$1:$I$89,5,0)</f>
        <v>333.87120000000004</v>
      </c>
      <c r="DQ60" s="13">
        <f t="shared" si="43"/>
        <v>78.232360111376309</v>
      </c>
      <c r="DR60" s="20">
        <f t="shared" si="16"/>
        <v>717.74703386064709</v>
      </c>
      <c r="DS60" s="59">
        <f t="shared" si="17"/>
        <v>990.79635122438708</v>
      </c>
      <c r="DT60" s="59">
        <f ca="1">AVERAGE(OFFSET($DS$3,0,0,'Données projet'!$E$14+1,1))-AVERAGE(OFFSET($H$3,0,0,'Données projet'!$E$14+1,1))</f>
        <v>442.34161202733173</v>
      </c>
      <c r="DU60" s="59">
        <f t="shared" si="44"/>
        <v>622.90413492324399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6.1929947659362128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6.1929947659362128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10.118749999999999</v>
      </c>
      <c r="EJ60" s="12">
        <f>IF('Données projet'!$A$192&gt;35,EJ59+EI60-ER59,IF(A60&lt;'Données projet'!$A$192,$EG$205^A60,IF(A60='Données projet'!$A$192,'Données projet'!$B$192,EJ59+EI60-ER59)))</f>
        <v>243.58125000000001</v>
      </c>
      <c r="EK60" s="17">
        <f>EJ60*VLOOKUP('Données projet'!$B$15,Paramètres!$A$1:$I$89,3,0)*VLOOKUP('Données projet'!$B$15,Paramètres!$A$1:$I$89,5,0)</f>
        <v>265.990725</v>
      </c>
      <c r="EL60" s="13">
        <f t="shared" si="45"/>
        <v>63.997660510334271</v>
      </c>
      <c r="EM60" s="20">
        <f t="shared" si="19"/>
        <v>574.72977143049877</v>
      </c>
      <c r="EN60" s="59">
        <f t="shared" si="20"/>
        <v>847.77908879423876</v>
      </c>
      <c r="EO60" s="59">
        <f ca="1">AVERAGE(OFFSET($EN$3,0,0,'Données projet'!$E$15+1,1))-AVERAGE(OFFSET($H$3,0,0,'Données projet'!$E$15+1,1))</f>
        <v>767.9449852393318</v>
      </c>
      <c r="EP60" s="59">
        <f t="shared" si="46"/>
        <v>230.95605490295961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32.74339164314987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32.74339164314987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64.467995644656355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3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11</v>
      </c>
      <c r="H61" s="66">
        <f t="shared" si="1"/>
        <v>212.66666666666666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188.98184340090461</v>
      </c>
      <c r="T61" s="59">
        <f t="shared" si="34"/>
        <v>450.74604661797798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346.58</v>
      </c>
      <c r="AG61" s="12">
        <f>VLOOKUP(A61,'Données projet'!$A$61:$I$81,9,0)</f>
        <v>13.559999999999995</v>
      </c>
      <c r="AH61" s="12">
        <f t="array" ref="AH61">INDEX(AG:AG,MIN(IF(ISNUMBER(AG61:AG257),ROW(AG61:AG257),"")))</f>
        <v>13.559999999999995</v>
      </c>
      <c r="AI61" s="13">
        <f>IF('Données projet'!$A$62&gt;35,AI60+AH61-AQ60,IF(A61&lt;'Données projet'!$A$62,$AF$205^A61,IF(A61='Données projet'!$A$62,'Données projet'!$B$62,AI60+AH61-AQ60)))</f>
        <v>346.58000000000004</v>
      </c>
      <c r="AJ61" s="13">
        <f>AI61*VLOOKUP('Données projet'!$B$10,Paramètres!$A$1:$I$89,3,0)*VLOOKUP('Données projet'!$B$10,Paramètres!$A$1:$I$89,5,0)</f>
        <v>313.58558400000004</v>
      </c>
      <c r="AK61" s="13">
        <f t="shared" si="35"/>
        <v>74.017140903550782</v>
      </c>
      <c r="AL61" s="20">
        <f t="shared" si="4"/>
        <v>675.07474587368438</v>
      </c>
      <c r="AM61" s="59">
        <f t="shared" si="5"/>
        <v>948.47594556623073</v>
      </c>
      <c r="AN61" s="59">
        <f ca="1">AVERAGE(OFFSET($AM$3,0,0,'Données projet'!$E$10+1,1))-AVERAGE(OFFSET($H$3,0,0,'Données projet'!$E$10+1,1))</f>
        <v>725.60981534362895</v>
      </c>
      <c r="AO61" s="59">
        <f t="shared" si="36"/>
        <v>265.16078167969272</v>
      </c>
      <c r="AP61" s="15">
        <f>IF(ISNA(VLOOKUP(A61,'Données projet'!$A$61:$I$81,3,0)),0,VLOOKUP(A61,'Données projet'!$A$61:$I$81,3,0))</f>
        <v>4</v>
      </c>
      <c r="AQ61" s="15">
        <f>IF(ISNA(VLOOKUP(A61,'Données projet'!$A$61:$I$81,4,0)),0,VLOOKUP(A61,'Données projet'!$A$61:$I$81,4,0))</f>
        <v>62.16</v>
      </c>
      <c r="AR61" s="16">
        <f>IF(ISNA(VLOOKUP(A61,'Données projet'!$A$61:$I$81,5,0)),0%,VLOOKUP(A61,'Données projet'!$A$61:$I$81,5,0)*VLOOKUP('Données projet'!$B$10,Paramètres!$A$1:$I$89,7,0))</f>
        <v>0.43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78.028582792822419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78.028582792822419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2.5799999999999996</v>
      </c>
      <c r="BD61" s="12">
        <f>IF('Données projet'!$A$88&gt;35,BD60+BC61-BL60,IF(A61&lt;'Données projet'!$A$88,$BA$205^A61,IF(A61='Données projet'!$A$88,'Données projet'!$B$88,BD60+BC61-BL60)))</f>
        <v>120.24000000000018</v>
      </c>
      <c r="BE61" s="13">
        <f>BD61*VLOOKUP('Données projet'!$B$11,Paramètres!$A$1:$I$89,3,0)*VLOOKUP('Données projet'!$B$11,Paramètres!$A$1:$I$89,5,0)</f>
        <v>138.5164800000002</v>
      </c>
      <c r="BF61" s="13">
        <f t="shared" si="37"/>
        <v>35.956941469445923</v>
      </c>
      <c r="BG61" s="20">
        <f t="shared" si="7"/>
        <v>303.87454239261865</v>
      </c>
      <c r="BH61" s="59">
        <f t="shared" si="8"/>
        <v>577.27574208516501</v>
      </c>
      <c r="BI61" s="59">
        <f ca="1">AVERAGE(OFFSET($BH$3,0,0,'Données projet'!$E$11+1,1))-AVERAGE(OFFSET($H$3,0,0,'Données projet'!$E$11+1,1))</f>
        <v>332.93090933713466</v>
      </c>
      <c r="BJ61" s="59">
        <f t="shared" si="38"/>
        <v>251.83579649532973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8.5822216371116316</v>
      </c>
      <c r="BQ61" s="21">
        <f>EXP(-LN(2)/25)*BQ60+(1-EXP(-LN(2)/25))/(LN(2)/25)*Calculateur!BL61*Calculateur!BN61*VLOOKUP('Données projet'!$B$11,Paramètres!$A$1:$I$89,3,0)*0.475*44/12</f>
        <v>3.1999451311341787</v>
      </c>
      <c r="BR61" s="21">
        <f>EXP(-LN(2)/2)*BR60+(1-EXP(-LN(2)/2))/(LN(2)/2)*BL61*BO61*VLOOKUP('Données projet'!$B$11,Paramètres!$A$1:$I$89,3,0)*0.475*44/12</f>
        <v>1.6423466916444407E-7</v>
      </c>
      <c r="BS61" s="22">
        <f t="shared" si="9"/>
        <v>11.782166932480479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>
        <f>VLOOKUP(A61,'Données projet'!$A$113:$I$133,2,0)</f>
        <v>253.7</v>
      </c>
      <c r="BW61" s="12">
        <f>VLOOKUP(A61,'Données projet'!$A$113:$I$133,9,0)</f>
        <v>10.118749999999999</v>
      </c>
      <c r="BX61" s="12">
        <f t="array" ref="BX61">INDEX(BW:BW,MIN(IF(ISNUMBER(BW61:BW257),ROW(BW61:BW257),"")))</f>
        <v>10.118749999999999</v>
      </c>
      <c r="BY61" s="12">
        <f>IF('Données projet'!$A$114&gt;35,BY60+BX61-CG60,IF(A61&lt;'Données projet'!$A$114,$BV$205^A61,IF(A61='Données projet'!$A$114,'Données projet'!$B$114,BY60+BX61-CG60)))</f>
        <v>253.70000000000002</v>
      </c>
      <c r="BZ61" s="13">
        <f>BY61*VLOOKUP('Données projet'!$B$12,Paramètres!$A$1:$I$89,3,0)*VLOOKUP('Données projet'!$B$12,Paramètres!$A$1:$I$89,5,0)</f>
        <v>288.91356000000002</v>
      </c>
      <c r="CA61" s="13">
        <f t="shared" si="39"/>
        <v>68.847251001339458</v>
      </c>
      <c r="CB61" s="20">
        <f t="shared" si="10"/>
        <v>623.10007916066616</v>
      </c>
      <c r="CC61" s="59">
        <f t="shared" si="11"/>
        <v>896.50127885321251</v>
      </c>
      <c r="CD61" s="59">
        <f ca="1">AVERAGE(OFFSET($CC$3,0,0,'Données projet'!$E$12+1,1))-AVERAGE(OFFSET($H$3,0,0,'Données projet'!$E$12+1,1))</f>
        <v>797.57191672067393</v>
      </c>
      <c r="CE61" s="59">
        <f t="shared" si="40"/>
        <v>238.59056544987126</v>
      </c>
      <c r="CF61" s="15">
        <f>IF(ISNA(VLOOKUP(A61,'Données projet'!$A$113:$I$133,3,0)),0,VLOOKUP(A61,'Données projet'!$A$113:$I$133,3,0))</f>
        <v>3</v>
      </c>
      <c r="CG61" s="15">
        <f>IF(ISNA(VLOOKUP(A61,'Données projet'!$A$113:$I$133,4,0)),0,VLOOKUP(A61,'Données projet'!$A$113:$I$133,4,0))</f>
        <v>44.93</v>
      </c>
      <c r="CH61" s="16">
        <f>IF(ISNA(VLOOKUP(A61,'Données projet'!$A$113:$I$133,5,0)),0%,VLOOKUP(A61,'Données projet'!$A$113:$I$133,5,0)*VLOOKUP('Données projet'!$B$12,Paramètres!$A$1:$I$89,7,0))</f>
        <v>0.43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57.799093190752757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57.799093190752757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>
        <f>CT61*VLOOKUP('Données projet'!$B$13,Paramètres!$A$1:$I$89,3,0)*VLOOKUP('Données projet'!$B$13,Paramètres!$A$1:$I$89,5,0)</f>
        <v>0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188.98184340090461</v>
      </c>
      <c r="CZ61" s="59">
        <f t="shared" si="42"/>
        <v>450.74604661797798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62.79616771273799</v>
      </c>
      <c r="DH61" s="21">
        <f>EXP(-LN(2)/2)*DH60+(1-EXP(-LN(2)/2))/(LN(2)/2)*DB61*DE61*VLOOKUP('Données projet'!$B$13,Paramètres!$A$1:$I$89,3,0)*0.475*44/12</f>
        <v>2.7442630616793758E-6</v>
      </c>
      <c r="DI61" s="22">
        <f t="shared" si="15"/>
        <v>62.796170457001054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369.00000000000011</v>
      </c>
      <c r="DP61" s="17">
        <f>DO61*VLOOKUP('Données projet'!$B$14,Paramètres!$A$1:$I$89,3,0)*VLOOKUP('Données projet'!$B$14,Paramètres!$A$1:$I$89,5,0)</f>
        <v>333.87120000000004</v>
      </c>
      <c r="DQ61" s="13">
        <f t="shared" si="43"/>
        <v>78.232360111376309</v>
      </c>
      <c r="DR61" s="20">
        <f t="shared" si="16"/>
        <v>717.74703386064709</v>
      </c>
      <c r="DS61" s="59">
        <f t="shared" si="17"/>
        <v>991.14823355319345</v>
      </c>
      <c r="DT61" s="59">
        <f ca="1">AVERAGE(OFFSET($DS$3,0,0,'Données projet'!$E$14+1,1))-AVERAGE(OFFSET($H$3,0,0,'Données projet'!$E$14+1,1))</f>
        <v>442.34161202733173</v>
      </c>
      <c r="DU61" s="59">
        <f t="shared" si="44"/>
        <v>622.90413492324399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6.0715539159300285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6.0715539159300285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>
        <f>VLOOKUP(A61,'Données projet'!$A$191:$I$211,2,0)</f>
        <v>253.7</v>
      </c>
      <c r="EH61" s="12">
        <f>VLOOKUP(A61,'Données projet'!$A$191:$I$211,9,0)</f>
        <v>10.118749999999999</v>
      </c>
      <c r="EI61" s="12">
        <f t="array" ref="EI61">INDEX(EH:EH,MIN(IF(ISNUMBER(EH61:EH257),ROW(EH61:EH257),"")))</f>
        <v>10.118749999999999</v>
      </c>
      <c r="EJ61" s="12">
        <f>IF('Données projet'!$A$192&gt;35,EJ60+EI61-ER60,IF(A61&lt;'Données projet'!$A$192,$EG$205^A61,IF(A61='Données projet'!$A$192,'Données projet'!$B$192,EJ60+EI61-ER60)))</f>
        <v>253.70000000000002</v>
      </c>
      <c r="EK61" s="17">
        <f>EJ61*VLOOKUP('Données projet'!$B$15,Paramètres!$A$1:$I$89,3,0)*VLOOKUP('Données projet'!$B$15,Paramètres!$A$1:$I$89,5,0)</f>
        <v>277.04040000000003</v>
      </c>
      <c r="EL61" s="13">
        <f t="shared" si="45"/>
        <v>66.341174041033128</v>
      </c>
      <c r="EM61" s="20">
        <f t="shared" si="19"/>
        <v>598.05624145479942</v>
      </c>
      <c r="EN61" s="59">
        <f t="shared" si="20"/>
        <v>871.45744114734578</v>
      </c>
      <c r="EO61" s="59">
        <f ca="1">AVERAGE(OFFSET($EN$3,0,0,'Données projet'!$E$15+1,1))-AVERAGE(OFFSET($H$3,0,0,'Données projet'!$E$15+1,1))</f>
        <v>767.9449852393318</v>
      </c>
      <c r="EP61" s="59">
        <f t="shared" si="46"/>
        <v>230.95605490295961</v>
      </c>
      <c r="EQ61" s="15">
        <f>IF(ISNA(VLOOKUP(A61,'Données projet'!$A$191:$I$211,3,0)),0,VLOOKUP(A61,'Données projet'!$A$191:$I$211,3,0))</f>
        <v>3</v>
      </c>
      <c r="ER61" s="15">
        <f>IF(ISNA(VLOOKUP(A61,'Données projet'!$A$191:$I$211,4,0)),0,VLOOKUP(A61,'Données projet'!$A$191:$I$211,4,0))</f>
        <v>44.93</v>
      </c>
      <c r="ES61" s="16">
        <f>IF(ISNA(VLOOKUP(A61,'Données projet'!$A$191:$I$211,5,0)),0%,VLOOKUP(A61,'Données projet'!$A$191:$I$211,5,0)*VLOOKUP('Données projet'!$B$15,Paramètres!$A$1:$I$89,7,0))</f>
        <v>0.43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55.423787991132784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55.423787991132784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64.563963552512647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3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11</v>
      </c>
      <c r="H62" s="66">
        <f t="shared" si="1"/>
        <v>212.66666666666666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188.98184340090461</v>
      </c>
      <c r="T62" s="59">
        <f t="shared" si="34"/>
        <v>450.74604661797798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13.062500000000007</v>
      </c>
      <c r="AI62" s="13">
        <f>IF('Données projet'!$A$62&gt;35,AI61+AH62-AQ61,IF(A62&lt;'Données projet'!$A$62,$AF$205^A62,IF(A62='Données projet'!$A$62,'Données projet'!$B$62,AI61+AH62-AQ61)))</f>
        <v>297.48250000000007</v>
      </c>
      <c r="AJ62" s="13">
        <f>AI62*VLOOKUP('Données projet'!$B$10,Paramètres!$A$1:$I$89,3,0)*VLOOKUP('Données projet'!$B$10,Paramètres!$A$1:$I$89,5,0)</f>
        <v>269.16216600000007</v>
      </c>
      <c r="AK62" s="13">
        <f t="shared" si="35"/>
        <v>64.671427618025248</v>
      </c>
      <c r="AL62" s="20">
        <f t="shared" si="4"/>
        <v>581.42684221806064</v>
      </c>
      <c r="AM62" s="59">
        <f t="shared" si="5"/>
        <v>855.17381986769965</v>
      </c>
      <c r="AN62" s="59">
        <f ca="1">AVERAGE(OFFSET($AM$3,0,0,'Données projet'!$E$10+1,1))-AVERAGE(OFFSET($H$3,0,0,'Données projet'!$E$10+1,1))</f>
        <v>725.60981534362895</v>
      </c>
      <c r="AO62" s="59">
        <f t="shared" si="36"/>
        <v>265.16078167969272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76.498489876991286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76.498489876991286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2.5799999999999996</v>
      </c>
      <c r="BD62" s="12">
        <f>IF('Données projet'!$A$88&gt;35,BD61+BC62-BL61,IF(A62&lt;'Données projet'!$A$88,$BA$205^A62,IF(A62='Données projet'!$A$88,'Données projet'!$B$88,BD61+BC62-BL61)))</f>
        <v>122.82000000000018</v>
      </c>
      <c r="BE62" s="13">
        <f>BD62*VLOOKUP('Données projet'!$B$11,Paramètres!$A$1:$I$89,3,0)*VLOOKUP('Données projet'!$B$11,Paramètres!$A$1:$I$89,5,0)</f>
        <v>141.48864000000017</v>
      </c>
      <c r="BF62" s="13">
        <f t="shared" si="37"/>
        <v>36.637821801368787</v>
      </c>
      <c r="BG62" s="20">
        <f t="shared" si="7"/>
        <v>310.23692097071756</v>
      </c>
      <c r="BH62" s="59">
        <f t="shared" si="8"/>
        <v>583.98389862035651</v>
      </c>
      <c r="BI62" s="59">
        <f ca="1">AVERAGE(OFFSET($BH$3,0,0,'Données projet'!$E$11+1,1))-AVERAGE(OFFSET($H$3,0,0,'Données projet'!$E$11+1,1))</f>
        <v>332.93090933713466</v>
      </c>
      <c r="BJ62" s="59">
        <f t="shared" si="38"/>
        <v>251.83579649532973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8.4139295054461929</v>
      </c>
      <c r="BQ62" s="21">
        <f>EXP(-LN(2)/25)*BQ61+(1-EXP(-LN(2)/25))/(LN(2)/25)*Calculateur!BL62*Calculateur!BN62*VLOOKUP('Données projet'!$B$11,Paramètres!$A$1:$I$89,3,0)*0.475*44/12</f>
        <v>3.1124424632455137</v>
      </c>
      <c r="BR62" s="21">
        <f>EXP(-LN(2)/2)*BR61+(1-EXP(-LN(2)/2))/(LN(2)/2)*BL62*BO62*VLOOKUP('Données projet'!$B$11,Paramètres!$A$1:$I$89,3,0)*0.475*44/12</f>
        <v>1.1613144827210758E-7</v>
      </c>
      <c r="BS62" s="22">
        <f t="shared" si="9"/>
        <v>11.526372084823153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9.75</v>
      </c>
      <c r="BY62" s="12">
        <f>IF('Données projet'!$A$114&gt;35,BY61+BX62-CG61,IF(A62&lt;'Données projet'!$A$114,$BV$205^A62,IF(A62='Données projet'!$A$114,'Données projet'!$B$114,BY61+BX62-CG61)))</f>
        <v>218.52000000000004</v>
      </c>
      <c r="BZ62" s="13">
        <f>BY62*VLOOKUP('Données projet'!$B$12,Paramètres!$A$1:$I$89,3,0)*VLOOKUP('Données projet'!$B$12,Paramètres!$A$1:$I$89,5,0)</f>
        <v>248.85057600000005</v>
      </c>
      <c r="CA62" s="13">
        <f t="shared" si="39"/>
        <v>60.339743027949517</v>
      </c>
      <c r="CB62" s="20">
        <f t="shared" si="10"/>
        <v>538.50647230701213</v>
      </c>
      <c r="CC62" s="59">
        <f t="shared" si="11"/>
        <v>812.25344995665114</v>
      </c>
      <c r="CD62" s="59">
        <f ca="1">AVERAGE(OFFSET($CC$3,0,0,'Données projet'!$E$12+1,1))-AVERAGE(OFFSET($H$3,0,0,'Données projet'!$E$12+1,1))</f>
        <v>797.57191672067393</v>
      </c>
      <c r="CE62" s="59">
        <f t="shared" si="40"/>
        <v>238.59056544987126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56.665688227247898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56.665688227247898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>
        <f>CT62*VLOOKUP('Données projet'!$B$13,Paramètres!$A$1:$I$89,3,0)*VLOOKUP('Données projet'!$B$13,Paramètres!$A$1:$I$89,5,0)</f>
        <v>0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188.98184340090461</v>
      </c>
      <c r="CZ62" s="59">
        <f t="shared" si="42"/>
        <v>450.74604661797798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61.079003204326234</v>
      </c>
      <c r="DH62" s="21">
        <f>EXP(-LN(2)/2)*DH61+(1-EXP(-LN(2)/2))/(LN(2)/2)*DB62*DE62*VLOOKUP('Données projet'!$B$13,Paramètres!$A$1:$I$89,3,0)*0.475*44/12</f>
        <v>1.9404870202732433E-6</v>
      </c>
      <c r="DI62" s="22">
        <f t="shared" si="15"/>
        <v>61.079005144813252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369.00000000000011</v>
      </c>
      <c r="DP62" s="17">
        <f>DO62*VLOOKUP('Données projet'!$B$14,Paramètres!$A$1:$I$89,3,0)*VLOOKUP('Données projet'!$B$14,Paramètres!$A$1:$I$89,5,0)</f>
        <v>333.87120000000004</v>
      </c>
      <c r="DQ62" s="13">
        <f t="shared" si="43"/>
        <v>78.232360111376309</v>
      </c>
      <c r="DR62" s="20">
        <f t="shared" si="16"/>
        <v>717.74703386064709</v>
      </c>
      <c r="DS62" s="59">
        <f t="shared" si="17"/>
        <v>991.4940115102861</v>
      </c>
      <c r="DT62" s="59">
        <f ca="1">AVERAGE(OFFSET($DS$3,0,0,'Données projet'!$E$14+1,1))-AVERAGE(OFFSET($H$3,0,0,'Données projet'!$E$14+1,1))</f>
        <v>442.34161202733173</v>
      </c>
      <c r="DU62" s="59">
        <f t="shared" si="44"/>
        <v>622.90413492324399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5.9524944469208609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5.9524944469208609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9.75</v>
      </c>
      <c r="EJ62" s="12">
        <f>IF('Données projet'!$A$192&gt;35,EJ61+EI62-ER61,IF(A62&lt;'Données projet'!$A$192,$EG$205^A62,IF(A62='Données projet'!$A$192,'Données projet'!$B$192,EJ61+EI62-ER61)))</f>
        <v>218.52000000000004</v>
      </c>
      <c r="EK62" s="17">
        <f>EJ62*VLOOKUP('Données projet'!$B$15,Paramètres!$A$1:$I$89,3,0)*VLOOKUP('Données projet'!$B$15,Paramètres!$A$1:$I$89,5,0)</f>
        <v>238.62384000000006</v>
      </c>
      <c r="EL62" s="13">
        <f t="shared" si="45"/>
        <v>58.143343932941299</v>
      </c>
      <c r="EM62" s="20">
        <f t="shared" si="19"/>
        <v>516.86951201653949</v>
      </c>
      <c r="EN62" s="59">
        <f t="shared" si="20"/>
        <v>790.6164896661785</v>
      </c>
      <c r="EO62" s="59">
        <f ca="1">AVERAGE(OFFSET($EN$3,0,0,'Données projet'!$E$15+1,1))-AVERAGE(OFFSET($H$3,0,0,'Données projet'!$E$15+1,1))</f>
        <v>767.9449852393318</v>
      </c>
      <c r="EP62" s="59">
        <f t="shared" si="46"/>
        <v>230.95605490295961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54.336961313799364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54.336961313799364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64.658266631719727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3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11</v>
      </c>
      <c r="H63" s="66">
        <f t="shared" si="1"/>
        <v>212.66666666666666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188.98184340090461</v>
      </c>
      <c r="T63" s="59">
        <f t="shared" si="34"/>
        <v>450.74604661797798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13.062500000000007</v>
      </c>
      <c r="AI63" s="13">
        <f>IF('Données projet'!$A$62&gt;35,AI62+AH63-AQ62,IF(A63&lt;'Données projet'!$A$62,$AF$205^A63,IF(A63='Données projet'!$A$62,'Données projet'!$B$62,AI62+AH63-AQ62)))</f>
        <v>310.54500000000007</v>
      </c>
      <c r="AJ63" s="13">
        <f>AI63*VLOOKUP('Données projet'!$B$10,Paramètres!$A$1:$I$89,3,0)*VLOOKUP('Données projet'!$B$10,Paramètres!$A$1:$I$89,5,0)</f>
        <v>280.98111600000004</v>
      </c>
      <c r="AK63" s="13">
        <f t="shared" si="35"/>
        <v>67.174304667838214</v>
      </c>
      <c r="AL63" s="20">
        <f t="shared" si="4"/>
        <v>606.37069099648488</v>
      </c>
      <c r="AM63" s="59">
        <f t="shared" si="5"/>
        <v>880.45744812870475</v>
      </c>
      <c r="AN63" s="59">
        <f ca="1">AVERAGE(OFFSET($AM$3,0,0,'Données projet'!$E$10+1,1))-AVERAGE(OFFSET($H$3,0,0,'Données projet'!$E$10+1,1))</f>
        <v>725.60981534362895</v>
      </c>
      <c r="AO63" s="59">
        <f t="shared" si="36"/>
        <v>265.16078167969272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74.998401149975066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74.998401149975066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125.4</v>
      </c>
      <c r="BB63" s="12">
        <f>VLOOKUP(A63,'Données projet'!$A$87:$I$107,9,0)</f>
        <v>2.5799999999999996</v>
      </c>
      <c r="BC63" s="12">
        <f t="array" ref="BC63">INDEX(BB:BB,MIN(IF(ISNUMBER(BB63:BB259),ROW(BB63:BB259),"")))</f>
        <v>2.5799999999999996</v>
      </c>
      <c r="BD63" s="12">
        <f>IF('Données projet'!$A$88&gt;35,BD62+BC63-BL62,IF(A63&lt;'Données projet'!$A$88,$BA$205^A63,IF(A63='Données projet'!$A$88,'Données projet'!$B$88,BD62+BC63-BL62)))</f>
        <v>125.40000000000018</v>
      </c>
      <c r="BE63" s="13">
        <f>BD63*VLOOKUP('Données projet'!$B$11,Paramètres!$A$1:$I$89,3,0)*VLOOKUP('Données projet'!$B$11,Paramètres!$A$1:$I$89,5,0)</f>
        <v>144.46080000000021</v>
      </c>
      <c r="BF63" s="13">
        <f t="shared" si="37"/>
        <v>37.317039190542296</v>
      </c>
      <c r="BG63" s="20">
        <f t="shared" si="7"/>
        <v>316.59640325686149</v>
      </c>
      <c r="BH63" s="59">
        <f t="shared" si="8"/>
        <v>590.68316038908131</v>
      </c>
      <c r="BI63" s="59">
        <f ca="1">AVERAGE(OFFSET($BH$3,0,0,'Données projet'!$E$11+1,1))-AVERAGE(OFFSET($H$3,0,0,'Données projet'!$E$11+1,1))</f>
        <v>332.93090933713466</v>
      </c>
      <c r="BJ63" s="59">
        <f t="shared" si="38"/>
        <v>251.83579649532973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16.100000000000001</v>
      </c>
      <c r="BM63" s="16">
        <f>IF(ISNA(VLOOKUP(A63,'Données projet'!$A$87:$I$107,5,0)),0%,VLOOKUP(A63,'Données projet'!$A$87:$I$107,5,0)*VLOOKUP('Données projet'!$B$11,Paramètres!$A$1:$I$89,7,0))</f>
        <v>0.45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14.246176195142159</v>
      </c>
      <c r="BQ63" s="21">
        <f>EXP(-LN(2)/25)*BQ62+(1-EXP(-LN(2)/25))/(LN(2)/25)*Calculateur!BL63*Calculateur!BN63*VLOOKUP('Données projet'!$B$11,Paramètres!$A$1:$I$89,3,0)*0.475*44/12</f>
        <v>3.0273325604118297</v>
      </c>
      <c r="BR63" s="21">
        <f>EXP(-LN(2)/2)*BR62+(1-EXP(-LN(2)/2))/(LN(2)/2)*BL63*BO63*VLOOKUP('Données projet'!$B$11,Paramètres!$A$1:$I$89,3,0)*0.475*44/12</f>
        <v>8.2117334582222047E-8</v>
      </c>
      <c r="BS63" s="22">
        <f t="shared" si="9"/>
        <v>17.273508837671322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9.75</v>
      </c>
      <c r="BY63" s="12">
        <f>IF('Données projet'!$A$114&gt;35,BY62+BX63-CG62,IF(A63&lt;'Données projet'!$A$114,$BV$205^A63,IF(A63='Données projet'!$A$114,'Données projet'!$B$114,BY62+BX63-CG62)))</f>
        <v>228.27000000000004</v>
      </c>
      <c r="BZ63" s="13">
        <f>BY63*VLOOKUP('Données projet'!$B$12,Paramètres!$A$1:$I$89,3,0)*VLOOKUP('Données projet'!$B$12,Paramètres!$A$1:$I$89,5,0)</f>
        <v>259.95387600000004</v>
      </c>
      <c r="CA63" s="13">
        <f t="shared" si="39"/>
        <v>62.712546081759143</v>
      </c>
      <c r="CB63" s="20">
        <f t="shared" si="10"/>
        <v>561.97735179239714</v>
      </c>
      <c r="CC63" s="59">
        <f t="shared" si="11"/>
        <v>836.0641089246169</v>
      </c>
      <c r="CD63" s="59">
        <f ca="1">AVERAGE(OFFSET($CC$3,0,0,'Données projet'!$E$12+1,1))-AVERAGE(OFFSET($H$3,0,0,'Données projet'!$E$12+1,1))</f>
        <v>797.57191672067393</v>
      </c>
      <c r="CE63" s="59">
        <f t="shared" si="40"/>
        <v>238.59056544987126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55.554508643768607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55.554508643768607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>
        <f>CT63*VLOOKUP('Données projet'!$B$13,Paramètres!$A$1:$I$89,3,0)*VLOOKUP('Données projet'!$B$13,Paramètres!$A$1:$I$89,5,0)</f>
        <v>0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188.98184340090461</v>
      </c>
      <c r="CZ63" s="59">
        <f t="shared" si="42"/>
        <v>450.74604661797798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59.408794649698756</v>
      </c>
      <c r="DH63" s="21">
        <f>EXP(-LN(2)/2)*DH62+(1-EXP(-LN(2)/2))/(LN(2)/2)*DB63*DE63*VLOOKUP('Données projet'!$B$13,Paramètres!$A$1:$I$89,3,0)*0.475*44/12</f>
        <v>1.3721315308396879E-6</v>
      </c>
      <c r="DI63" s="22">
        <f t="shared" si="15"/>
        <v>59.408796021830284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369.00000000000011</v>
      </c>
      <c r="DP63" s="17">
        <f>DO63*VLOOKUP('Données projet'!$B$14,Paramètres!$A$1:$I$89,3,0)*VLOOKUP('Données projet'!$B$14,Paramètres!$A$1:$I$89,5,0)</f>
        <v>333.87120000000004</v>
      </c>
      <c r="DQ63" s="13">
        <f t="shared" si="43"/>
        <v>78.232360111376309</v>
      </c>
      <c r="DR63" s="20">
        <f t="shared" si="16"/>
        <v>717.74703386064709</v>
      </c>
      <c r="DS63" s="59">
        <f t="shared" si="17"/>
        <v>991.83379099286685</v>
      </c>
      <c r="DT63" s="59">
        <f ca="1">AVERAGE(OFFSET($DS$3,0,0,'Données projet'!$E$14+1,1))-AVERAGE(OFFSET($H$3,0,0,'Données projet'!$E$14+1,1))</f>
        <v>442.34161202733173</v>
      </c>
      <c r="DU63" s="59">
        <f t="shared" si="44"/>
        <v>622.90413492324399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5.8357696614798575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5.8357696614798575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9.75</v>
      </c>
      <c r="EJ63" s="12">
        <f>IF('Données projet'!$A$192&gt;35,EJ62+EI63-ER62,IF(A63&lt;'Données projet'!$A$192,$EG$205^A63,IF(A63='Données projet'!$A$192,'Données projet'!$B$192,EJ62+EI63-ER62)))</f>
        <v>228.27000000000004</v>
      </c>
      <c r="EK63" s="17">
        <f>EJ63*VLOOKUP('Données projet'!$B$15,Paramètres!$A$1:$I$89,3,0)*VLOOKUP('Données projet'!$B$15,Paramètres!$A$1:$I$89,5,0)</f>
        <v>249.27084000000002</v>
      </c>
      <c r="EL63" s="13">
        <f t="shared" si="45"/>
        <v>60.429775679574341</v>
      </c>
      <c r="EM63" s="20">
        <f t="shared" si="19"/>
        <v>539.39523897525862</v>
      </c>
      <c r="EN63" s="59">
        <f t="shared" si="20"/>
        <v>813.48199610747838</v>
      </c>
      <c r="EO63" s="59">
        <f ca="1">AVERAGE(OFFSET($EN$3,0,0,'Données projet'!$E$15+1,1))-AVERAGE(OFFSET($H$3,0,0,'Données projet'!$E$15+1,1))</f>
        <v>767.9449852393318</v>
      </c>
      <c r="EP63" s="59">
        <f t="shared" si="46"/>
        <v>230.95605490295961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53.271446644709634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53.271446644709634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64.750933763332682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3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11</v>
      </c>
      <c r="H64" s="66">
        <f t="shared" si="1"/>
        <v>212.66666666666666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188.98184340090461</v>
      </c>
      <c r="T64" s="59">
        <f t="shared" si="34"/>
        <v>450.74604661797798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13.062500000000007</v>
      </c>
      <c r="AI64" s="13">
        <f>IF('Données projet'!$A$62&gt;35,AI63+AH64-AQ63,IF(A64&lt;'Données projet'!$A$62,$AF$205^A64,IF(A64='Données projet'!$A$62,'Données projet'!$B$62,AI63+AH64-AQ63)))</f>
        <v>323.60750000000007</v>
      </c>
      <c r="AJ64" s="13">
        <f>AI64*VLOOKUP('Données projet'!$B$10,Paramètres!$A$1:$I$89,3,0)*VLOOKUP('Données projet'!$B$10,Paramètres!$A$1:$I$89,5,0)</f>
        <v>292.80006600000007</v>
      </c>
      <c r="AK64" s="13">
        <f t="shared" si="35"/>
        <v>69.664953398224426</v>
      </c>
      <c r="AL64" s="20">
        <f t="shared" si="4"/>
        <v>631.29324211857431</v>
      </c>
      <c r="AM64" s="59">
        <f t="shared" si="5"/>
        <v>905.71388431898527</v>
      </c>
      <c r="AN64" s="59">
        <f ca="1">AVERAGE(OFFSET($AM$3,0,0,'Données projet'!$E$10+1,1))-AVERAGE(OFFSET($H$3,0,0,'Données projet'!$E$10+1,1))</f>
        <v>725.60981534362895</v>
      </c>
      <c r="AO64" s="59">
        <f t="shared" si="36"/>
        <v>265.16078167969272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73.527728247931861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73.527728247931861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2.3899999999999979</v>
      </c>
      <c r="BD64" s="12">
        <f>IF('Données projet'!$A$88&gt;35,BD63+BC64-BL63,IF(A64&lt;'Données projet'!$A$88,$BA$205^A64,IF(A64='Données projet'!$A$88,'Données projet'!$B$88,BD63+BC64-BL63)))</f>
        <v>111.69000000000017</v>
      </c>
      <c r="BE64" s="13">
        <f>BD64*VLOOKUP('Données projet'!$B$11,Paramètres!$A$1:$I$89,3,0)*VLOOKUP('Données projet'!$B$11,Paramètres!$A$1:$I$89,5,0)</f>
        <v>128.66688000000019</v>
      </c>
      <c r="BF64" s="13">
        <f t="shared" si="37"/>
        <v>33.688129886605374</v>
      </c>
      <c r="BG64" s="20">
        <f t="shared" si="7"/>
        <v>282.768308885838</v>
      </c>
      <c r="BH64" s="59">
        <f t="shared" si="8"/>
        <v>557.18895108624884</v>
      </c>
      <c r="BI64" s="59">
        <f ca="1">AVERAGE(OFFSET($BH$3,0,0,'Données projet'!$E$11+1,1))-AVERAGE(OFFSET($H$3,0,0,'Données projet'!$E$11+1,1))</f>
        <v>332.93090933713466</v>
      </c>
      <c r="BJ64" s="59">
        <f t="shared" si="38"/>
        <v>251.83579649532973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13.966817369264902</v>
      </c>
      <c r="BQ64" s="21">
        <f>EXP(-LN(2)/25)*BQ63+(1-EXP(-LN(2)/25))/(LN(2)/25)*Calculateur!BL64*Calculateur!BN64*VLOOKUP('Données projet'!$B$11,Paramètres!$A$1:$I$89,3,0)*0.475*44/12</f>
        <v>2.9445499923468681</v>
      </c>
      <c r="BR64" s="21">
        <f>EXP(-LN(2)/2)*BR63+(1-EXP(-LN(2)/2))/(LN(2)/2)*BL64*BO64*VLOOKUP('Données projet'!$B$11,Paramètres!$A$1:$I$89,3,0)*0.475*44/12</f>
        <v>5.8065724136053804E-8</v>
      </c>
      <c r="BS64" s="22">
        <f t="shared" si="9"/>
        <v>16.911367419677493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9.75</v>
      </c>
      <c r="BY64" s="12">
        <f>IF('Données projet'!$A$114&gt;35,BY63+BX64-CG63,IF(A64&lt;'Données projet'!$A$114,$BV$205^A64,IF(A64='Données projet'!$A$114,'Données projet'!$B$114,BY63+BX64-CG63)))</f>
        <v>238.02000000000004</v>
      </c>
      <c r="BZ64" s="13">
        <f>BY64*VLOOKUP('Données projet'!$B$12,Paramètres!$A$1:$I$89,3,0)*VLOOKUP('Données projet'!$B$12,Paramètres!$A$1:$I$89,5,0)</f>
        <v>271.05717600000003</v>
      </c>
      <c r="CA64" s="13">
        <f t="shared" si="39"/>
        <v>65.073577663650141</v>
      </c>
      <c r="CB64" s="20">
        <f t="shared" si="10"/>
        <v>585.42772929752402</v>
      </c>
      <c r="CC64" s="59">
        <f t="shared" si="11"/>
        <v>859.84837149793498</v>
      </c>
      <c r="CD64" s="59">
        <f ca="1">AVERAGE(OFFSET($CC$3,0,0,'Données projet'!$E$12+1,1))-AVERAGE(OFFSET($H$3,0,0,'Données projet'!$E$12+1,1))</f>
        <v>797.57191672067393</v>
      </c>
      <c r="CE64" s="59">
        <f t="shared" si="40"/>
        <v>238.59056544987126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54.465118614168723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54.465118614168723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>
        <f>CT64*VLOOKUP('Données projet'!$B$13,Paramètres!$A$1:$I$89,3,0)*VLOOKUP('Données projet'!$B$13,Paramètres!$A$1:$I$89,5,0)</f>
        <v>0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188.98184340090461</v>
      </c>
      <c r="CZ64" s="59">
        <f t="shared" si="42"/>
        <v>450.74604661797798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57.784258035830014</v>
      </c>
      <c r="DH64" s="21">
        <f>EXP(-LN(2)/2)*DH63+(1-EXP(-LN(2)/2))/(LN(2)/2)*DB64*DE64*VLOOKUP('Données projet'!$B$13,Paramètres!$A$1:$I$89,3,0)*0.475*44/12</f>
        <v>9.7024351013662166E-7</v>
      </c>
      <c r="DI64" s="22">
        <f t="shared" si="15"/>
        <v>57.784259006073526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369.00000000000011</v>
      </c>
      <c r="DP64" s="17">
        <f>DO64*VLOOKUP('Données projet'!$B$14,Paramètres!$A$1:$I$89,3,0)*VLOOKUP('Données projet'!$B$14,Paramètres!$A$1:$I$89,5,0)</f>
        <v>333.87120000000004</v>
      </c>
      <c r="DQ64" s="13">
        <f t="shared" si="43"/>
        <v>78.232360111376309</v>
      </c>
      <c r="DR64" s="20">
        <f t="shared" si="16"/>
        <v>717.74703386064709</v>
      </c>
      <c r="DS64" s="59">
        <f t="shared" si="17"/>
        <v>992.16767606105805</v>
      </c>
      <c r="DT64" s="59">
        <f ca="1">AVERAGE(OFFSET($DS$3,0,0,'Données projet'!$E$14+1,1))-AVERAGE(OFFSET($H$3,0,0,'Données projet'!$E$14+1,1))</f>
        <v>442.34161202733173</v>
      </c>
      <c r="DU64" s="59">
        <f t="shared" si="44"/>
        <v>622.90413492324399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5.7213337778862625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5.7213337778862625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9.75</v>
      </c>
      <c r="EJ64" s="12">
        <f>IF('Données projet'!$A$192&gt;35,EJ63+EI64-ER63,IF(A64&lt;'Données projet'!$A$192,$EG$205^A64,IF(A64='Données projet'!$A$192,'Données projet'!$B$192,EJ63+EI64-ER63)))</f>
        <v>238.02000000000004</v>
      </c>
      <c r="EK64" s="17">
        <f>EJ64*VLOOKUP('Données projet'!$B$15,Paramètres!$A$1:$I$89,3,0)*VLOOKUP('Données projet'!$B$15,Paramètres!$A$1:$I$89,5,0)</f>
        <v>259.91784000000001</v>
      </c>
      <c r="EL64" s="13">
        <f t="shared" si="45"/>
        <v>62.704864442196971</v>
      </c>
      <c r="EM64" s="20">
        <f t="shared" si="19"/>
        <v>561.90121023682639</v>
      </c>
      <c r="EN64" s="59">
        <f t="shared" si="20"/>
        <v>836.32185243723734</v>
      </c>
      <c r="EO64" s="59">
        <f ca="1">AVERAGE(OFFSET($EN$3,0,0,'Données projet'!$E$15+1,1))-AVERAGE(OFFSET($H$3,0,0,'Données projet'!$E$15+1,1))</f>
        <v>767.9449852393318</v>
      </c>
      <c r="EP64" s="59">
        <f t="shared" si="46"/>
        <v>230.95605490295961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52.226826068380973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52.226826068380973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64.841993327384799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3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11</v>
      </c>
      <c r="H65" s="66">
        <f t="shared" si="1"/>
        <v>212.66666666666666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188.98184340090461</v>
      </c>
      <c r="T65" s="59">
        <f t="shared" si="34"/>
        <v>450.74604661797798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13.062500000000007</v>
      </c>
      <c r="AI65" s="13">
        <f>IF('Données projet'!$A$62&gt;35,AI64+AH65-AQ64,IF(A65&lt;'Données projet'!$A$62,$AF$205^A65,IF(A65='Données projet'!$A$62,'Données projet'!$B$62,AI64+AH65-AQ64)))</f>
        <v>336.67000000000007</v>
      </c>
      <c r="AJ65" s="13">
        <f>AI65*VLOOKUP('Données projet'!$B$10,Paramètres!$A$1:$I$89,3,0)*VLOOKUP('Données projet'!$B$10,Paramètres!$A$1:$I$89,5,0)</f>
        <v>304.61901600000004</v>
      </c>
      <c r="AK65" s="13">
        <f t="shared" si="35"/>
        <v>72.143923875314599</v>
      </c>
      <c r="AL65" s="20">
        <f t="shared" si="4"/>
        <v>656.19545361617304</v>
      </c>
      <c r="AM65" s="59">
        <f t="shared" si="5"/>
        <v>930.94418872529718</v>
      </c>
      <c r="AN65" s="59">
        <f ca="1">AVERAGE(OFFSET($AM$3,0,0,'Données projet'!$E$10+1,1))-AVERAGE(OFFSET($H$3,0,0,'Données projet'!$E$10+1,1))</f>
        <v>725.60981534362895</v>
      </c>
      <c r="AO65" s="59">
        <f t="shared" si="36"/>
        <v>265.16078167969272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72.085894344475832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72.085894344475832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2.3899999999999979</v>
      </c>
      <c r="BD65" s="12">
        <f>IF('Données projet'!$A$88&gt;35,BD64+BC65-BL64,IF(A65&lt;'Données projet'!$A$88,$BA$205^A65,IF(A65='Données projet'!$A$88,'Données projet'!$B$88,BD64+BC65-BL64)))</f>
        <v>114.08000000000017</v>
      </c>
      <c r="BE65" s="13">
        <f>BD65*VLOOKUP('Données projet'!$B$11,Paramètres!$A$1:$I$89,3,0)*VLOOKUP('Données projet'!$B$11,Paramètres!$A$1:$I$89,5,0)</f>
        <v>131.42016000000018</v>
      </c>
      <c r="BF65" s="13">
        <f t="shared" si="37"/>
        <v>34.324308814081945</v>
      </c>
      <c r="BG65" s="20">
        <f t="shared" si="7"/>
        <v>288.67161651785972</v>
      </c>
      <c r="BH65" s="59">
        <f t="shared" si="8"/>
        <v>563.42035162698392</v>
      </c>
      <c r="BI65" s="59">
        <f ca="1">AVERAGE(OFFSET($BH$3,0,0,'Données projet'!$E$11+1,1))-AVERAGE(OFFSET($H$3,0,0,'Données projet'!$E$11+1,1))</f>
        <v>332.93090933713466</v>
      </c>
      <c r="BJ65" s="59">
        <f t="shared" si="38"/>
        <v>251.83579649532973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13.692936599571039</v>
      </c>
      <c r="BQ65" s="21">
        <f>EXP(-LN(2)/25)*BQ64+(1-EXP(-LN(2)/25))/(LN(2)/25)*Calculateur!BL65*Calculateur!BN65*VLOOKUP('Données projet'!$B$11,Paramètres!$A$1:$I$89,3,0)*0.475*44/12</f>
        <v>2.8640311179589886</v>
      </c>
      <c r="BR65" s="21">
        <f>EXP(-LN(2)/2)*BR64+(1-EXP(-LN(2)/2))/(LN(2)/2)*BL65*BO65*VLOOKUP('Données projet'!$B$11,Paramètres!$A$1:$I$89,3,0)*0.475*44/12</f>
        <v>4.105866729111103E-8</v>
      </c>
      <c r="BS65" s="22">
        <f t="shared" si="9"/>
        <v>16.556967758588694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9.75</v>
      </c>
      <c r="BY65" s="12">
        <f>IF('Données projet'!$A$114&gt;35,BY64+BX65-CG64,IF(A65&lt;'Données projet'!$A$114,$BV$205^A65,IF(A65='Données projet'!$A$114,'Données projet'!$B$114,BY64+BX65-CG64)))</f>
        <v>247.77000000000004</v>
      </c>
      <c r="BZ65" s="13">
        <f>BY65*VLOOKUP('Données projet'!$B$12,Paramètres!$A$1:$I$89,3,0)*VLOOKUP('Données projet'!$B$12,Paramètres!$A$1:$I$89,5,0)</f>
        <v>282.16047600000002</v>
      </c>
      <c r="CA65" s="13">
        <f t="shared" si="39"/>
        <v>67.423375120209414</v>
      </c>
      <c r="CB65" s="20">
        <f t="shared" si="10"/>
        <v>608.8585407010313</v>
      </c>
      <c r="CC65" s="59">
        <f t="shared" si="11"/>
        <v>883.60727581015544</v>
      </c>
      <c r="CD65" s="59">
        <f ca="1">AVERAGE(OFFSET($CC$3,0,0,'Données projet'!$E$12+1,1))-AVERAGE(OFFSET($H$3,0,0,'Données projet'!$E$12+1,1))</f>
        <v>797.57191672067393</v>
      </c>
      <c r="CE65" s="59">
        <f t="shared" si="40"/>
        <v>238.59056544987126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53.397090858586985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53.397090858586985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>
        <f>CT65*VLOOKUP('Données projet'!$B$13,Paramètres!$A$1:$I$89,3,0)*VLOOKUP('Données projet'!$B$13,Paramètres!$A$1:$I$89,5,0)</f>
        <v>0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188.98184340090461</v>
      </c>
      <c r="CZ65" s="59">
        <f t="shared" si="42"/>
        <v>450.74604661797798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56.204144461098181</v>
      </c>
      <c r="DH65" s="21">
        <f>EXP(-LN(2)/2)*DH64+(1-EXP(-LN(2)/2))/(LN(2)/2)*DB65*DE65*VLOOKUP('Données projet'!$B$13,Paramètres!$A$1:$I$89,3,0)*0.475*44/12</f>
        <v>6.8606576541984394E-7</v>
      </c>
      <c r="DI65" s="22">
        <f t="shared" si="15"/>
        <v>56.204145147163949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369.00000000000011</v>
      </c>
      <c r="DP65" s="17">
        <f>DO65*VLOOKUP('Données projet'!$B$14,Paramètres!$A$1:$I$89,3,0)*VLOOKUP('Données projet'!$B$14,Paramètres!$A$1:$I$89,5,0)</f>
        <v>333.87120000000004</v>
      </c>
      <c r="DQ65" s="13">
        <f t="shared" si="43"/>
        <v>78.232360111376309</v>
      </c>
      <c r="DR65" s="20">
        <f t="shared" si="16"/>
        <v>717.74703386064709</v>
      </c>
      <c r="DS65" s="59">
        <f t="shared" si="17"/>
        <v>992.49576896977123</v>
      </c>
      <c r="DT65" s="59">
        <f ca="1">AVERAGE(OFFSET($DS$3,0,0,'Données projet'!$E$14+1,1))-AVERAGE(OFFSET($H$3,0,0,'Données projet'!$E$14+1,1))</f>
        <v>442.34161202733173</v>
      </c>
      <c r="DU65" s="59">
        <f t="shared" si="44"/>
        <v>622.90413492324399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5.6091419121709416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5.6091419121709416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9.75</v>
      </c>
      <c r="EJ65" s="12">
        <f>IF('Données projet'!$A$192&gt;35,EJ64+EI65-ER64,IF(A65&lt;'Données projet'!$A$192,$EG$205^A65,IF(A65='Données projet'!$A$192,'Données projet'!$B$192,EJ64+EI65-ER64)))</f>
        <v>247.77000000000004</v>
      </c>
      <c r="EK65" s="17">
        <f>EJ65*VLOOKUP('Données projet'!$B$15,Paramètres!$A$1:$I$89,3,0)*VLOOKUP('Données projet'!$B$15,Paramètres!$A$1:$I$89,5,0)</f>
        <v>270.56484000000006</v>
      </c>
      <c r="EL65" s="13">
        <f t="shared" si="45"/>
        <v>64.969128007691353</v>
      </c>
      <c r="EM65" s="20">
        <f t="shared" si="19"/>
        <v>584.38832761339597</v>
      </c>
      <c r="EN65" s="59">
        <f t="shared" si="20"/>
        <v>859.13706272252011</v>
      </c>
      <c r="EO65" s="59">
        <f ca="1">AVERAGE(OFFSET($EN$3,0,0,'Données projet'!$E$15+1,1))-AVERAGE(OFFSET($H$3,0,0,'Données projet'!$E$15+1,1))</f>
        <v>767.9449852393318</v>
      </c>
      <c r="EP65" s="59">
        <f t="shared" si="46"/>
        <v>230.95605490295961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51.202689864398479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51.202689864398479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64.931473211579316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3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11</v>
      </c>
      <c r="H66" s="66">
        <f t="shared" si="1"/>
        <v>212.66666666666666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188.98184340090461</v>
      </c>
      <c r="T66" s="59">
        <f t="shared" si="34"/>
        <v>450.74604661797798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13.062500000000007</v>
      </c>
      <c r="AI66" s="13">
        <f>IF('Données projet'!$A$62&gt;35,AI65+AH66-AQ65,IF(A66&lt;'Données projet'!$A$62,$AF$205^A66,IF(A66='Données projet'!$A$62,'Données projet'!$B$62,AI65+AH66-AQ65)))</f>
        <v>349.73250000000007</v>
      </c>
      <c r="AJ66" s="13">
        <f>AI66*VLOOKUP('Données projet'!$B$10,Paramètres!$A$1:$I$89,3,0)*VLOOKUP('Données projet'!$B$10,Paramètres!$A$1:$I$89,5,0)</f>
        <v>316.43796600000007</v>
      </c>
      <c r="AK66" s="13">
        <f t="shared" si="35"/>
        <v>74.611721064089451</v>
      </c>
      <c r="AL66" s="20">
        <f t="shared" si="4"/>
        <v>681.07820496995589</v>
      </c>
      <c r="AM66" s="59">
        <f t="shared" si="5"/>
        <v>956.14934130933284</v>
      </c>
      <c r="AN66" s="59">
        <f ca="1">AVERAGE(OFFSET($AM$3,0,0,'Données projet'!$E$10+1,1))-AVERAGE(OFFSET($H$3,0,0,'Données projet'!$E$10+1,1))</f>
        <v>725.60981534362895</v>
      </c>
      <c r="AO66" s="59">
        <f t="shared" si="36"/>
        <v>265.16078167969272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70.672333924434724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70.672333924434724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2.3899999999999979</v>
      </c>
      <c r="BD66" s="12">
        <f>IF('Données projet'!$A$88&gt;35,BD65+BC66-BL65,IF(A66&lt;'Données projet'!$A$88,$BA$205^A66,IF(A66='Données projet'!$A$88,'Données projet'!$B$88,BD65+BC66-BL65)))</f>
        <v>116.47000000000017</v>
      </c>
      <c r="BE66" s="13">
        <f>BD66*VLOOKUP('Données projet'!$B$11,Paramètres!$A$1:$I$89,3,0)*VLOOKUP('Données projet'!$B$11,Paramètres!$A$1:$I$89,5,0)</f>
        <v>134.17344000000017</v>
      </c>
      <c r="BF66" s="13">
        <f t="shared" si="37"/>
        <v>34.958938123024382</v>
      </c>
      <c r="BG66" s="20">
        <f t="shared" si="7"/>
        <v>294.57222523093441</v>
      </c>
      <c r="BH66" s="59">
        <f t="shared" si="8"/>
        <v>569.64336157031141</v>
      </c>
      <c r="BI66" s="59">
        <f ca="1">AVERAGE(OFFSET($BH$3,0,0,'Données projet'!$E$11+1,1))-AVERAGE(OFFSET($H$3,0,0,'Données projet'!$E$11+1,1))</f>
        <v>332.93090933713466</v>
      </c>
      <c r="BJ66" s="59">
        <f t="shared" si="38"/>
        <v>251.83579649532973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13.424426464720099</v>
      </c>
      <c r="BQ66" s="21">
        <f>EXP(-LN(2)/25)*BQ65+(1-EXP(-LN(2)/25))/(LN(2)/25)*Calculateur!BL66*Calculateur!BN66*VLOOKUP('Données projet'!$B$11,Paramètres!$A$1:$I$89,3,0)*0.475*44/12</f>
        <v>2.7857140364255493</v>
      </c>
      <c r="BR66" s="21">
        <f>EXP(-LN(2)/2)*BR65+(1-EXP(-LN(2)/2))/(LN(2)/2)*BL66*BO66*VLOOKUP('Données projet'!$B$11,Paramètres!$A$1:$I$89,3,0)*0.475*44/12</f>
        <v>2.9032862068026905E-8</v>
      </c>
      <c r="BS66" s="22">
        <f t="shared" si="9"/>
        <v>16.21014053017851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9.75</v>
      </c>
      <c r="BY66" s="12">
        <f>IF('Données projet'!$A$114&gt;35,BY65+BX66-CG65,IF(A66&lt;'Données projet'!$A$114,$BV$205^A66,IF(A66='Données projet'!$A$114,'Données projet'!$B$114,BY65+BX66-CG65)))</f>
        <v>257.52000000000004</v>
      </c>
      <c r="BZ66" s="13">
        <f>BY66*VLOOKUP('Données projet'!$B$12,Paramètres!$A$1:$I$89,3,0)*VLOOKUP('Données projet'!$B$12,Paramètres!$A$1:$I$89,5,0)</f>
        <v>293.26377600000006</v>
      </c>
      <c r="CA66" s="13">
        <f t="shared" si="39"/>
        <v>69.762431113510701</v>
      </c>
      <c r="CB66" s="20">
        <f t="shared" si="10"/>
        <v>632.27064405603119</v>
      </c>
      <c r="CC66" s="59">
        <f t="shared" si="11"/>
        <v>907.34178039540825</v>
      </c>
      <c r="CD66" s="59">
        <f ca="1">AVERAGE(OFFSET($CC$3,0,0,'Données projet'!$E$12+1,1))-AVERAGE(OFFSET($H$3,0,0,'Données projet'!$E$12+1,1))</f>
        <v>797.57191672067393</v>
      </c>
      <c r="CE66" s="59">
        <f t="shared" si="40"/>
        <v>238.59056544987126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52.350006475859594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52.350006475859594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>
        <f>CT66*VLOOKUP('Données projet'!$B$13,Paramètres!$A$1:$I$89,3,0)*VLOOKUP('Données projet'!$B$13,Paramètres!$A$1:$I$89,5,0)</f>
        <v>0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188.98184340090461</v>
      </c>
      <c r="CZ66" s="59">
        <f t="shared" si="42"/>
        <v>450.74604661797798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54.667239175161953</v>
      </c>
      <c r="DH66" s="21">
        <f>EXP(-LN(2)/2)*DH65+(1-EXP(-LN(2)/2))/(LN(2)/2)*DB66*DE66*VLOOKUP('Données projet'!$B$13,Paramètres!$A$1:$I$89,3,0)*0.475*44/12</f>
        <v>4.8512175506831083E-7</v>
      </c>
      <c r="DI66" s="22">
        <f t="shared" si="15"/>
        <v>54.667239660283705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369.00000000000011</v>
      </c>
      <c r="DP66" s="17">
        <f>DO66*VLOOKUP('Données projet'!$B$14,Paramètres!$A$1:$I$89,3,0)*VLOOKUP('Données projet'!$B$14,Paramètres!$A$1:$I$89,5,0)</f>
        <v>333.87120000000004</v>
      </c>
      <c r="DQ66" s="13">
        <f t="shared" si="43"/>
        <v>78.232360111376309</v>
      </c>
      <c r="DR66" s="20">
        <f t="shared" si="16"/>
        <v>717.74703386064709</v>
      </c>
      <c r="DS66" s="59">
        <f t="shared" si="17"/>
        <v>992.81817020002404</v>
      </c>
      <c r="DT66" s="59">
        <f ca="1">AVERAGE(OFFSET($DS$3,0,0,'Données projet'!$E$14+1,1))-AVERAGE(OFFSET($H$3,0,0,'Données projet'!$E$14+1,1))</f>
        <v>442.34161202733173</v>
      </c>
      <c r="DU66" s="59">
        <f t="shared" si="44"/>
        <v>622.90413492324399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5.4991500605120169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5.4991500605120169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9.75</v>
      </c>
      <c r="EJ66" s="12">
        <f>IF('Données projet'!$A$192&gt;35,EJ65+EI66-ER65,IF(A66&lt;'Données projet'!$A$192,$EG$205^A66,IF(A66='Données projet'!$A$192,'Données projet'!$B$192,EJ65+EI66-ER65)))</f>
        <v>257.52000000000004</v>
      </c>
      <c r="EK66" s="17">
        <f>EJ66*VLOOKUP('Données projet'!$B$15,Paramètres!$A$1:$I$89,3,0)*VLOOKUP('Données projet'!$B$15,Paramètres!$A$1:$I$89,5,0)</f>
        <v>281.21184000000005</v>
      </c>
      <c r="EL66" s="13">
        <f t="shared" si="45"/>
        <v>67.223041104966697</v>
      </c>
      <c r="EM66" s="20">
        <f t="shared" si="19"/>
        <v>606.85741792448368</v>
      </c>
      <c r="EN66" s="59">
        <f t="shared" si="20"/>
        <v>881.92855426386063</v>
      </c>
      <c r="EO66" s="59">
        <f ca="1">AVERAGE(OFFSET($EN$3,0,0,'Données projet'!$E$15+1,1))-AVERAGE(OFFSET($H$3,0,0,'Données projet'!$E$15+1,1))</f>
        <v>767.9449852393318</v>
      </c>
      <c r="EP66" s="59">
        <f t="shared" si="46"/>
        <v>230.95605490295961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50.198636346714679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50.198636346714679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65.019400819830082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3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11</v>
      </c>
      <c r="H67" s="66">
        <f t="shared" si="1"/>
        <v>212.66666666666666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188.98184340090461</v>
      </c>
      <c r="T67" s="59">
        <f t="shared" si="34"/>
        <v>450.74604661797798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13.062500000000007</v>
      </c>
      <c r="AI67" s="13">
        <f>IF('Données projet'!$A$62&gt;35,AI66+AH67-AQ66,IF(A67&lt;'Données projet'!$A$62,$AF$205^A67,IF(A67='Données projet'!$A$62,'Données projet'!$B$62,AI66+AH67-AQ66)))</f>
        <v>362.79500000000007</v>
      </c>
      <c r="AJ67" s="13">
        <f>AI67*VLOOKUP('Données projet'!$B$10,Paramètres!$A$1:$I$89,3,0)*VLOOKUP('Données projet'!$B$10,Paramètres!$A$1:$I$89,5,0)</f>
        <v>328.25691600000005</v>
      </c>
      <c r="AK67" s="13">
        <f t="shared" si="35"/>
        <v>77.068810071661119</v>
      </c>
      <c r="AL67" s="20">
        <f t="shared" si="4"/>
        <v>705.94230624147656</v>
      </c>
      <c r="AM67" s="59">
        <f t="shared" si="5"/>
        <v>981.33025087054273</v>
      </c>
      <c r="AN67" s="59">
        <f ca="1">AVERAGE(OFFSET($AM$3,0,0,'Données projet'!$E$10+1,1))-AVERAGE(OFFSET($H$3,0,0,'Données projet'!$E$10+1,1))</f>
        <v>725.60981534362895</v>
      </c>
      <c r="AO67" s="59">
        <f t="shared" si="36"/>
        <v>265.16078167969272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69.286492562043904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69.286492562043904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2.3899999999999979</v>
      </c>
      <c r="BD67" s="12">
        <f>IF('Données projet'!$A$88&gt;35,BD66+BC67-BL66,IF(A67&lt;'Données projet'!$A$88,$BA$205^A67,IF(A67='Données projet'!$A$88,'Données projet'!$B$88,BD66+BC67-BL66)))</f>
        <v>118.86000000000017</v>
      </c>
      <c r="BE67" s="13">
        <f>BD67*VLOOKUP('Données projet'!$B$11,Paramètres!$A$1:$I$89,3,0)*VLOOKUP('Données projet'!$B$11,Paramètres!$A$1:$I$89,5,0)</f>
        <v>136.92672000000019</v>
      </c>
      <c r="BF67" s="13">
        <f t="shared" si="37"/>
        <v>35.592053276102071</v>
      </c>
      <c r="BG67" s="20">
        <f t="shared" si="7"/>
        <v>300.4701967892114</v>
      </c>
      <c r="BH67" s="59">
        <f t="shared" si="8"/>
        <v>575.85814141827757</v>
      </c>
      <c r="BI67" s="59">
        <f ca="1">AVERAGE(OFFSET($BH$3,0,0,'Données projet'!$E$11+1,1))-AVERAGE(OFFSET($H$3,0,0,'Données projet'!$E$11+1,1))</f>
        <v>332.93090933713466</v>
      </c>
      <c r="BJ67" s="59">
        <f t="shared" si="38"/>
        <v>251.83579649532973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13.161181649838575</v>
      </c>
      <c r="BQ67" s="21">
        <f>EXP(-LN(2)/25)*BQ66+(1-EXP(-LN(2)/25))/(LN(2)/25)*Calculateur!BL67*Calculateur!BN67*VLOOKUP('Données projet'!$B$11,Paramètres!$A$1:$I$89,3,0)*0.475*44/12</f>
        <v>2.7095385396051581</v>
      </c>
      <c r="BR67" s="21">
        <f>EXP(-LN(2)/2)*BR66+(1-EXP(-LN(2)/2))/(LN(2)/2)*BL67*BO67*VLOOKUP('Données projet'!$B$11,Paramètres!$A$1:$I$89,3,0)*0.475*44/12</f>
        <v>2.0529333645555518E-8</v>
      </c>
      <c r="BS67" s="22">
        <f t="shared" si="9"/>
        <v>15.870720209973067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9.75</v>
      </c>
      <c r="BY67" s="12">
        <f>IF('Données projet'!$A$114&gt;35,BY66+BX67-CG66,IF(A67&lt;'Données projet'!$A$114,$BV$205^A67,IF(A67='Données projet'!$A$114,'Données projet'!$B$114,BY66+BX67-CG66)))</f>
        <v>267.27000000000004</v>
      </c>
      <c r="BZ67" s="13">
        <f>BY67*VLOOKUP('Données projet'!$B$12,Paramètres!$A$1:$I$89,3,0)*VLOOKUP('Données projet'!$B$12,Paramètres!$A$1:$I$89,5,0)</f>
        <v>304.36707600000005</v>
      </c>
      <c r="CA67" s="13">
        <f t="shared" si="39"/>
        <v>72.091198887040989</v>
      </c>
      <c r="CB67" s="20">
        <f t="shared" si="10"/>
        <v>655.66482876159637</v>
      </c>
      <c r="CC67" s="59">
        <f t="shared" si="11"/>
        <v>931.05277339066254</v>
      </c>
      <c r="CD67" s="59">
        <f ca="1">AVERAGE(OFFSET($CC$3,0,0,'Données projet'!$E$12+1,1))-AVERAGE(OFFSET($H$3,0,0,'Données projet'!$E$12+1,1))</f>
        <v>797.57191672067393</v>
      </c>
      <c r="CE67" s="59">
        <f t="shared" si="40"/>
        <v>238.59056544987126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51.323454779219077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51.323454779219077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>
        <f>CT67*VLOOKUP('Données projet'!$B$13,Paramètres!$A$1:$I$89,3,0)*VLOOKUP('Données projet'!$B$13,Paramètres!$A$1:$I$89,5,0)</f>
        <v>0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188.98184340090461</v>
      </c>
      <c r="CZ67" s="59">
        <f t="shared" si="42"/>
        <v>450.74604661797798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53.172360645091985</v>
      </c>
      <c r="DH67" s="21">
        <f>EXP(-LN(2)/2)*DH66+(1-EXP(-LN(2)/2))/(LN(2)/2)*DB67*DE67*VLOOKUP('Données projet'!$B$13,Paramètres!$A$1:$I$89,3,0)*0.475*44/12</f>
        <v>3.4303288270992197E-7</v>
      </c>
      <c r="DI67" s="22">
        <f t="shared" si="15"/>
        <v>53.172360988124865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369.00000000000011</v>
      </c>
      <c r="DP67" s="17">
        <f>DO67*VLOOKUP('Données projet'!$B$14,Paramètres!$A$1:$I$89,3,0)*VLOOKUP('Données projet'!$B$14,Paramètres!$A$1:$I$89,5,0)</f>
        <v>333.87120000000004</v>
      </c>
      <c r="DQ67" s="13">
        <f t="shared" si="43"/>
        <v>78.232360111376309</v>
      </c>
      <c r="DR67" s="20">
        <f t="shared" si="16"/>
        <v>717.74703386064709</v>
      </c>
      <c r="DS67" s="59">
        <f t="shared" si="17"/>
        <v>993.13497848971326</v>
      </c>
      <c r="DT67" s="59">
        <f ca="1">AVERAGE(OFFSET($DS$3,0,0,'Données projet'!$E$14+1,1))-AVERAGE(OFFSET($H$3,0,0,'Données projet'!$E$14+1,1))</f>
        <v>442.34161202733173</v>
      </c>
      <c r="DU67" s="59">
        <f t="shared" si="44"/>
        <v>622.90413492324399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5.3913150819757183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5.3913150819757183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9.75</v>
      </c>
      <c r="EJ67" s="12">
        <f>IF('Données projet'!$A$192&gt;35,EJ66+EI67-ER66,IF(A67&lt;'Données projet'!$A$192,$EG$205^A67,IF(A67='Données projet'!$A$192,'Données projet'!$B$192,EJ66+EI67-ER66)))</f>
        <v>267.27000000000004</v>
      </c>
      <c r="EK67" s="17">
        <f>EJ67*VLOOKUP('Données projet'!$B$15,Paramètres!$A$1:$I$89,3,0)*VLOOKUP('Données projet'!$B$15,Paramètres!$A$1:$I$89,5,0)</f>
        <v>291.85884000000004</v>
      </c>
      <c r="EL67" s="13">
        <f t="shared" si="45"/>
        <v>69.467040479203376</v>
      </c>
      <c r="EM67" s="20">
        <f t="shared" si="19"/>
        <v>629.30924183461252</v>
      </c>
      <c r="EN67" s="59">
        <f t="shared" si="20"/>
        <v>904.69718646367869</v>
      </c>
      <c r="EO67" s="59">
        <f ca="1">AVERAGE(OFFSET($EN$3,0,0,'Données projet'!$E$15+1,1))-AVERAGE(OFFSET($H$3,0,0,'Données projet'!$E$15+1,1))</f>
        <v>767.9449852393318</v>
      </c>
      <c r="EP67" s="59">
        <f t="shared" si="46"/>
        <v>230.95605490295961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49.214271706100483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49.214271706100483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65.105803080654411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3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11</v>
      </c>
      <c r="H68" s="66">
        <f t="shared" ref="H68:H131" si="56">(B68+E68+F68)*44/12+(C68+D68)*0.475*44/12</f>
        <v>212.66666666666666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188.98184340090461</v>
      </c>
      <c r="T68" s="59">
        <f t="shared" si="34"/>
        <v>450.74604661797798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13.062500000000007</v>
      </c>
      <c r="AI68" s="13">
        <f>IF('Données projet'!$A$62&gt;35,AI67+AH68-AQ67,IF(A68&lt;'Données projet'!$A$62,$AF$205^A68,IF(A68='Données projet'!$A$62,'Données projet'!$B$62,AI67+AH68-AQ67)))</f>
        <v>375.85750000000007</v>
      </c>
      <c r="AJ68" s="13">
        <f>AI68*VLOOKUP('Données projet'!$B$10,Paramètres!$A$1:$I$89,3,0)*VLOOKUP('Données projet'!$B$10,Paramètres!$A$1:$I$89,5,0)</f>
        <v>340.07586600000008</v>
      </c>
      <c r="AK68" s="13">
        <f t="shared" si="35"/>
        <v>79.515620614191235</v>
      </c>
      <c r="AL68" s="20">
        <f t="shared" ref="AL68:AL131" si="58">(AJ68+AK68)*0.475*44/12</f>
        <v>730.78850585304974</v>
      </c>
      <c r="AM68" s="59">
        <f t="shared" ref="AM68:AM131" si="59">AL68+(AD68+AE68)*44/12</f>
        <v>1006.4877628562563</v>
      </c>
      <c r="AN68" s="59">
        <f ca="1">AVERAGE(OFFSET($AM$3,0,0,'Données projet'!$E$10+1,1))-AVERAGE(OFFSET($H$3,0,0,'Données projet'!$E$10+1,1))</f>
        <v>725.60981534362895</v>
      </c>
      <c r="AO68" s="59">
        <f t="shared" si="36"/>
        <v>265.16078167969272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67.927826703489799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67.927826703489799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2.3899999999999979</v>
      </c>
      <c r="BD68" s="12">
        <f>IF('Données projet'!$A$88&gt;35,BD67+BC68-BL67,IF(A68&lt;'Données projet'!$A$88,$BA$205^A68,IF(A68='Données projet'!$A$88,'Données projet'!$B$88,BD67+BC68-BL67)))</f>
        <v>121.25000000000017</v>
      </c>
      <c r="BE68" s="13">
        <f>BD68*VLOOKUP('Données projet'!$B$11,Paramètres!$A$1:$I$89,3,0)*VLOOKUP('Données projet'!$B$11,Paramètres!$A$1:$I$89,5,0)</f>
        <v>139.68000000000018</v>
      </c>
      <c r="BF68" s="13">
        <f t="shared" si="37"/>
        <v>36.223688228297881</v>
      </c>
      <c r="BG68" s="20">
        <f t="shared" ref="BG68:BG131" si="61">(BE68+BF68)*0.475*44/12</f>
        <v>306.36559033095244</v>
      </c>
      <c r="BH68" s="59">
        <f t="shared" ref="BH68:BH131" si="62">BG68+(AY68+AZ68)*44/12</f>
        <v>582.06484733415891</v>
      </c>
      <c r="BI68" s="59">
        <f ca="1">AVERAGE(OFFSET($BH$3,0,0,'Données projet'!$E$11+1,1))-AVERAGE(OFFSET($H$3,0,0,'Données projet'!$E$11+1,1))</f>
        <v>332.93090933713466</v>
      </c>
      <c r="BJ68" s="59">
        <f t="shared" si="38"/>
        <v>251.83579649532973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12.903098905213394</v>
      </c>
      <c r="BQ68" s="21">
        <f>EXP(-LN(2)/25)*BQ67+(1-EXP(-LN(2)/25))/(LN(2)/25)*Calculateur!BL68*Calculateur!BN68*VLOOKUP('Données projet'!$B$11,Paramètres!$A$1:$I$89,3,0)*0.475*44/12</f>
        <v>2.635446065751216</v>
      </c>
      <c r="BR68" s="21">
        <f>EXP(-LN(2)/2)*BR67+(1-EXP(-LN(2)/2))/(LN(2)/2)*BL68*BO68*VLOOKUP('Données projet'!$B$11,Paramètres!$A$1:$I$89,3,0)*0.475*44/12</f>
        <v>1.4516431034013454E-8</v>
      </c>
      <c r="BS68" s="22">
        <f t="shared" ref="BS68:BS131" si="63">SUM(BP68:BR68)</f>
        <v>15.538544985481041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9.75</v>
      </c>
      <c r="BY68" s="12">
        <f>IF('Données projet'!$A$114&gt;35,BY67+BX68-CG67,IF(A68&lt;'Données projet'!$A$114,$BV$205^A68,IF(A68='Données projet'!$A$114,'Données projet'!$B$114,BY67+BX68-CG67)))</f>
        <v>277.02000000000004</v>
      </c>
      <c r="BZ68" s="13">
        <f>BY68*VLOOKUP('Données projet'!$B$12,Paramètres!$A$1:$I$89,3,0)*VLOOKUP('Données projet'!$B$12,Paramètres!$A$1:$I$89,5,0)</f>
        <v>315.47037600000004</v>
      </c>
      <c r="CA68" s="13">
        <f t="shared" si="39"/>
        <v>74.410096741626916</v>
      </c>
      <c r="CB68" s="20">
        <f t="shared" ref="CB68:CB131" si="64">(BZ68+CA68)*0.475*44/12</f>
        <v>679.04182335833355</v>
      </c>
      <c r="CC68" s="59">
        <f t="shared" ref="CC68:CC131" si="65">CB68+(BT68+BU68)*44/12</f>
        <v>954.74108036154007</v>
      </c>
      <c r="CD68" s="59">
        <f ca="1">AVERAGE(OFFSET($CC$3,0,0,'Données projet'!$E$12+1,1))-AVERAGE(OFFSET($H$3,0,0,'Données projet'!$E$12+1,1))</f>
        <v>797.57191672067393</v>
      </c>
      <c r="CE68" s="59">
        <f t="shared" si="40"/>
        <v>238.59056544987126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50.31703313521497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50.31703313521497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>
        <f>CT68*VLOOKUP('Données projet'!$B$13,Paramètres!$A$1:$I$89,3,0)*VLOOKUP('Données projet'!$B$13,Paramètres!$A$1:$I$89,5,0)</f>
        <v>0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188.98184340090461</v>
      </c>
      <c r="CZ68" s="59">
        <f t="shared" si="42"/>
        <v>450.74604661797798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51.718359647039023</v>
      </c>
      <c r="DH68" s="21">
        <f>EXP(-LN(2)/2)*DH67+(1-EXP(-LN(2)/2))/(LN(2)/2)*DB68*DE68*VLOOKUP('Données projet'!$B$13,Paramètres!$A$1:$I$89,3,0)*0.475*44/12</f>
        <v>2.4256087753415542E-7</v>
      </c>
      <c r="DI68" s="22">
        <f t="shared" ref="DI68:DI131" si="69">SUM(DF68:DH68)</f>
        <v>51.718359889599903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369.00000000000011</v>
      </c>
      <c r="DP68" s="17">
        <f>DO68*VLOOKUP('Données projet'!$B$14,Paramètres!$A$1:$I$89,3,0)*VLOOKUP('Données projet'!$B$14,Paramètres!$A$1:$I$89,5,0)</f>
        <v>333.87120000000004</v>
      </c>
      <c r="DQ68" s="13">
        <f t="shared" si="43"/>
        <v>78.232360111376309</v>
      </c>
      <c r="DR68" s="20">
        <f t="shared" ref="DR68:DR131" si="70">(DP68+DQ68)*0.475*44/12</f>
        <v>717.74703386064709</v>
      </c>
      <c r="DS68" s="59">
        <f t="shared" ref="DS68:DS131" si="71">DR68+(DJ68+DK68)*44/12</f>
        <v>993.44629086385362</v>
      </c>
      <c r="DT68" s="59">
        <f ca="1">AVERAGE(OFFSET($DS$3,0,0,'Données projet'!$E$14+1,1))-AVERAGE(OFFSET($H$3,0,0,'Données projet'!$E$14+1,1))</f>
        <v>442.34161202733173</v>
      </c>
      <c r="DU68" s="59">
        <f t="shared" si="44"/>
        <v>622.90413492324399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5.2855946815956738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5.2855946815956738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9.75</v>
      </c>
      <c r="EJ68" s="12">
        <f>IF('Données projet'!$A$192&gt;35,EJ67+EI68-ER67,IF(A68&lt;'Données projet'!$A$192,$EG$205^A68,IF(A68='Données projet'!$A$192,'Données projet'!$B$192,EJ67+EI68-ER67)))</f>
        <v>277.02000000000004</v>
      </c>
      <c r="EK68" s="17">
        <f>EJ68*VLOOKUP('Données projet'!$B$15,Paramètres!$A$1:$I$89,3,0)*VLOOKUP('Données projet'!$B$15,Paramètres!$A$1:$I$89,5,0)</f>
        <v>302.50584000000003</v>
      </c>
      <c r="EL68" s="13">
        <f t="shared" si="45"/>
        <v>71.70152920485296</v>
      </c>
      <c r="EM68" s="20">
        <f t="shared" ref="EM68:EM131" si="73">(EK68+EL68)*0.475*44/12</f>
        <v>651.74450136511894</v>
      </c>
      <c r="EN68" s="59">
        <f t="shared" ref="EN68:EN131" si="74">EM68+(EE68+EF68)*44/12</f>
        <v>927.44375836832546</v>
      </c>
      <c r="EO68" s="59">
        <f ca="1">AVERAGE(OFFSET($EN$3,0,0,'Données projet'!$E$15+1,1))-AVERAGE(OFFSET($H$3,0,0,'Données projet'!$E$15+1,1))</f>
        <v>767.9449852393318</v>
      </c>
      <c r="EP68" s="59">
        <f t="shared" si="46"/>
        <v>230.95605490295961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48.249209855685585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48.249209855685585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65.190706455419942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3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11</v>
      </c>
      <c r="H69" s="66">
        <f t="shared" si="56"/>
        <v>212.66666666666666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188.98184340090461</v>
      </c>
      <c r="T69" s="59">
        <f t="shared" ref="T69:T132" si="88">$T$3</f>
        <v>450.74604661797798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388.92</v>
      </c>
      <c r="AG69" s="12">
        <f>VLOOKUP(A69,'Données projet'!$A$61:$I$81,9,0)</f>
        <v>13.062500000000007</v>
      </c>
      <c r="AH69" s="12">
        <f t="array" ref="AH69">INDEX(AG:AG,MIN(IF(ISNUMBER(AG69:AG265),ROW(AG69:AG265),"")))</f>
        <v>13.062500000000007</v>
      </c>
      <c r="AI69" s="13">
        <f>IF('Données projet'!$A$62&gt;35,AI68+AH69-AQ68,IF(A69&lt;'Données projet'!$A$62,$AF$205^A69,IF(A69='Données projet'!$A$62,'Données projet'!$B$62,AI68+AH69-AQ68)))</f>
        <v>388.92000000000007</v>
      </c>
      <c r="AJ69" s="13">
        <f>AI69*VLOOKUP('Données projet'!$B$10,Paramètres!$A$1:$I$89,3,0)*VLOOKUP('Données projet'!$B$10,Paramètres!$A$1:$I$89,5,0)</f>
        <v>351.89481600000005</v>
      </c>
      <c r="AK69" s="13">
        <f t="shared" ref="AK69:AK132" si="89">EXP(-1.0587+0.8836*LN(AJ69)+0.284)</f>
        <v>81.952550845391471</v>
      </c>
      <c r="AL69" s="20">
        <f t="shared" si="58"/>
        <v>755.61749725572361</v>
      </c>
      <c r="AM69" s="59">
        <f t="shared" si="59"/>
        <v>1031.6226660593693</v>
      </c>
      <c r="AN69" s="59">
        <f ca="1">AVERAGE(OFFSET($AM$3,0,0,'Données projet'!$E$10+1,1))-AVERAGE(OFFSET($H$3,0,0,'Données projet'!$E$10+1,1))</f>
        <v>725.60981534362895</v>
      </c>
      <c r="AO69" s="59">
        <f t="shared" ref="AO69:AO132" si="90">$AO$3</f>
        <v>265.16078167969272</v>
      </c>
      <c r="AP69" s="15">
        <f>IF(ISNA(VLOOKUP(A69,'Données projet'!$A$61:$I$81,3,0)),0,VLOOKUP(A69,'Données projet'!$A$61:$I$81,3,0))</f>
        <v>5</v>
      </c>
      <c r="AQ69" s="15">
        <f>IF(ISNA(VLOOKUP(A69,'Données projet'!$A$61:$I$81,4,0)),0,VLOOKUP(A69,'Données projet'!$A$61:$I$81,4,0))</f>
        <v>71.34</v>
      </c>
      <c r="AR69" s="16">
        <f>IF(ISNA(VLOOKUP(A69,'Données projet'!$A$61:$I$81,5,0)),0%,VLOOKUP(A69,'Données projet'!$A$61:$I$81,5,0)*VLOOKUP('Données projet'!$B$10,Paramètres!$A$1:$I$89,7,0))</f>
        <v>0.43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97.279046690875219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97.279046690875219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2.3899999999999979</v>
      </c>
      <c r="BD69" s="12">
        <f>IF('Données projet'!$A$88&gt;35,BD68+BC69-BL68,IF(A69&lt;'Données projet'!$A$88,$BA$205^A69,IF(A69='Données projet'!$A$88,'Données projet'!$B$88,BD68+BC69-BL68)))</f>
        <v>123.64000000000017</v>
      </c>
      <c r="BE69" s="13">
        <f>BD69*VLOOKUP('Données projet'!$B$11,Paramètres!$A$1:$I$89,3,0)*VLOOKUP('Données projet'!$B$11,Paramètres!$A$1:$I$89,5,0)</f>
        <v>142.4332800000002</v>
      </c>
      <c r="BF69" s="13">
        <f t="shared" ref="BF69:BF132" si="91">EXP(-1.0587+0.8836*LN(BE69)+0.284)</f>
        <v>36.853875519440955</v>
      </c>
      <c r="BG69" s="20">
        <f t="shared" si="61"/>
        <v>312.2584625296933</v>
      </c>
      <c r="BH69" s="59">
        <f t="shared" si="62"/>
        <v>588.26363133333894</v>
      </c>
      <c r="BI69" s="59">
        <f ca="1">AVERAGE(OFFSET($BH$3,0,0,'Données projet'!$E$11+1,1))-AVERAGE(OFFSET($H$3,0,0,'Données projet'!$E$11+1,1))</f>
        <v>332.93090933713466</v>
      </c>
      <c r="BJ69" s="59">
        <f t="shared" ref="BJ69:BJ132" si="92">$BJ$3</f>
        <v>251.83579649532973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12.650077005795382</v>
      </c>
      <c r="BQ69" s="21">
        <f>EXP(-LN(2)/25)*BQ68+(1-EXP(-LN(2)/25))/(LN(2)/25)*Calculateur!BL69*Calculateur!BN69*VLOOKUP('Données projet'!$B$11,Paramètres!$A$1:$I$89,3,0)*0.475*44/12</f>
        <v>2.5633796544911638</v>
      </c>
      <c r="BR69" s="21">
        <f>EXP(-LN(2)/2)*BR68+(1-EXP(-LN(2)/2))/(LN(2)/2)*BL69*BO69*VLOOKUP('Données projet'!$B$11,Paramètres!$A$1:$I$89,3,0)*0.475*44/12</f>
        <v>1.0264666822777761E-8</v>
      </c>
      <c r="BS69" s="22">
        <f t="shared" si="63"/>
        <v>15.213456670551214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>
        <f>VLOOKUP(A69,'Données projet'!$A$113:$I$133,2,0)</f>
        <v>286.77</v>
      </c>
      <c r="BW69" s="12">
        <f>VLOOKUP(A69,'Données projet'!$A$113:$I$133,9,0)</f>
        <v>9.75</v>
      </c>
      <c r="BX69" s="12">
        <f t="array" ref="BX69">INDEX(BW:BW,MIN(IF(ISNUMBER(BW69:BW265),ROW(BW69:BW265),"")))</f>
        <v>9.75</v>
      </c>
      <c r="BY69" s="12">
        <f>IF('Données projet'!$A$114&gt;35,BY68+BX69-CG68,IF(A69&lt;'Données projet'!$A$114,$BV$205^A69,IF(A69='Données projet'!$A$114,'Données projet'!$B$114,BY68+BX69-CG68)))</f>
        <v>286.77000000000004</v>
      </c>
      <c r="BZ69" s="13">
        <f>BY69*VLOOKUP('Données projet'!$B$12,Paramètres!$A$1:$I$89,3,0)*VLOOKUP('Données projet'!$B$12,Paramètres!$A$1:$I$89,5,0)</f>
        <v>326.57367600000003</v>
      </c>
      <c r="CA69" s="13">
        <f t="shared" ref="CA69:CA132" si="93">EXP(-1.0587+0.8836*LN(BZ69)+0.284)</f>
        <v>76.719511863515876</v>
      </c>
      <c r="CB69" s="20">
        <f t="shared" si="64"/>
        <v>702.40230219562352</v>
      </c>
      <c r="CC69" s="59">
        <f t="shared" si="65"/>
        <v>978.40747099926921</v>
      </c>
      <c r="CD69" s="59">
        <f ca="1">AVERAGE(OFFSET($CC$3,0,0,'Données projet'!$E$12+1,1))-AVERAGE(OFFSET($H$3,0,0,'Données projet'!$E$12+1,1))</f>
        <v>797.57191672067393</v>
      </c>
      <c r="CE69" s="59">
        <f t="shared" ref="CE69:CE132" si="94">$CE$3</f>
        <v>238.59056544987126</v>
      </c>
      <c r="CF69" s="15">
        <f>IF(ISNA(VLOOKUP(A69,'Données projet'!$A$113:$I$133,3,0)),0,VLOOKUP(A69,'Données projet'!$A$113:$I$133,3,0))</f>
        <v>4</v>
      </c>
      <c r="CG69" s="15">
        <f>IF(ISNA(VLOOKUP(A69,'Données projet'!$A$113:$I$133,4,0)),0,VLOOKUP(A69,'Données projet'!$A$113:$I$133,4,0))</f>
        <v>49.91</v>
      </c>
      <c r="CH69" s="16">
        <f>IF(ISNA(VLOOKUP(A69,'Données projet'!$A$113:$I$133,5,0)),0%,VLOOKUP(A69,'Données projet'!$A$113:$I$133,5,0)*VLOOKUP('Données projet'!$B$12,Paramètres!$A$1:$I$89,7,0))</f>
        <v>0.43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76.348184868194039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76.348184868194039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>
        <f>CT69*VLOOKUP('Données projet'!$B$13,Paramètres!$A$1:$I$89,3,0)*VLOOKUP('Données projet'!$B$13,Paramètres!$A$1:$I$89,5,0)</f>
        <v>0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188.98184340090461</v>
      </c>
      <c r="CZ69" s="59">
        <f t="shared" ref="CZ69:CZ132" si="96">$CZ$3</f>
        <v>450.74604661797798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50.304118382740413</v>
      </c>
      <c r="DH69" s="21">
        <f>EXP(-LN(2)/2)*DH68+(1-EXP(-LN(2)/2))/(LN(2)/2)*DB69*DE69*VLOOKUP('Données projet'!$B$13,Paramètres!$A$1:$I$89,3,0)*0.475*44/12</f>
        <v>1.7151644135496099E-7</v>
      </c>
      <c r="DI69" s="22">
        <f t="shared" si="69"/>
        <v>50.304118554256853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369.00000000000011</v>
      </c>
      <c r="DP69" s="17">
        <f>DO69*VLOOKUP('Données projet'!$B$14,Paramètres!$A$1:$I$89,3,0)*VLOOKUP('Données projet'!$B$14,Paramètres!$A$1:$I$89,5,0)</f>
        <v>333.87120000000004</v>
      </c>
      <c r="DQ69" s="13">
        <f t="shared" ref="DQ69:DQ132" si="97">EXP(-1.0587+0.8836*LN(DP69)+0.284)</f>
        <v>78.232360111376309</v>
      </c>
      <c r="DR69" s="20">
        <f t="shared" si="70"/>
        <v>717.74703386064709</v>
      </c>
      <c r="DS69" s="59">
        <f t="shared" si="71"/>
        <v>993.75220266429278</v>
      </c>
      <c r="DT69" s="59">
        <f ca="1">AVERAGE(OFFSET($DS$3,0,0,'Données projet'!$E$14+1,1))-AVERAGE(OFFSET($H$3,0,0,'Données projet'!$E$14+1,1))</f>
        <v>442.34161202733173</v>
      </c>
      <c r="DU69" s="59">
        <f t="shared" ref="DU69:DU132" si="98">$DU$3</f>
        <v>622.90413492324399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5.1819473937840055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5.1819473937840055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>
        <f>VLOOKUP(A69,'Données projet'!$A$191:$I$211,2,0)</f>
        <v>286.77</v>
      </c>
      <c r="EH69" s="12">
        <f>VLOOKUP(A69,'Données projet'!$A$191:$I$211,9,0)</f>
        <v>9.75</v>
      </c>
      <c r="EI69" s="12">
        <f t="array" ref="EI69">INDEX(EH:EH,MIN(IF(ISNUMBER(EH69:EH265),ROW(EH69:EH265),"")))</f>
        <v>9.75</v>
      </c>
      <c r="EJ69" s="12">
        <f>IF('Données projet'!$A$192&gt;35,EJ68+EI69-ER68,IF(A69&lt;'Données projet'!$A$192,$EG$205^A69,IF(A69='Données projet'!$A$192,'Données projet'!$B$192,EJ68+EI69-ER68)))</f>
        <v>286.77000000000004</v>
      </c>
      <c r="EK69" s="17">
        <f>EJ69*VLOOKUP('Données projet'!$B$15,Paramètres!$A$1:$I$89,3,0)*VLOOKUP('Données projet'!$B$15,Paramètres!$A$1:$I$89,5,0)</f>
        <v>313.15284000000003</v>
      </c>
      <c r="EL69" s="13">
        <f t="shared" ref="EL69:EL132" si="99">EXP(-1.0587+0.8836*LN(EK69)+0.284)</f>
        <v>73.926880374375301</v>
      </c>
      <c r="EM69" s="20">
        <f t="shared" si="73"/>
        <v>674.16384631870358</v>
      </c>
      <c r="EN69" s="59">
        <f t="shared" si="74"/>
        <v>950.16901512234926</v>
      </c>
      <c r="EO69" s="59">
        <f ca="1">AVERAGE(OFFSET($EN$3,0,0,'Données projet'!$E$15+1,1))-AVERAGE(OFFSET($H$3,0,0,'Données projet'!$E$15+1,1))</f>
        <v>767.9449852393318</v>
      </c>
      <c r="EP69" s="59">
        <f t="shared" ref="EP69:EP132" si="100">$EP$3</f>
        <v>230.95605490295961</v>
      </c>
      <c r="EQ69" s="15">
        <f>IF(ISNA(VLOOKUP(A69,'Données projet'!$A$191:$I$211,3,0)),0,VLOOKUP(A69,'Données projet'!$A$191:$I$211,3,0))</f>
        <v>4</v>
      </c>
      <c r="ER69" s="15">
        <f>IF(ISNA(VLOOKUP(A69,'Données projet'!$A$191:$I$211,4,0)),0,VLOOKUP(A69,'Données projet'!$A$191:$I$211,4,0))</f>
        <v>49.91</v>
      </c>
      <c r="ES69" s="16">
        <f>IF(ISNA(VLOOKUP(A69,'Données projet'!$A$191:$I$211,5,0)),0%,VLOOKUP(A69,'Données projet'!$A$191:$I$211,5,0)*VLOOKUP('Données projet'!$B$15,Paramètres!$A$1:$I$89,7,0))</f>
        <v>0.43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73.210588229775112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73.210588229775112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65.274136946448806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3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11</v>
      </c>
      <c r="H70" s="66">
        <f t="shared" si="56"/>
        <v>212.66666666666666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188.98184340090461</v>
      </c>
      <c r="T70" s="59">
        <f t="shared" si="88"/>
        <v>450.74604661797798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12.152499999999996</v>
      </c>
      <c r="AI70" s="13">
        <f>IF('Données projet'!$A$62&gt;35,AI69+AH70-AQ69,IF(A70&lt;'Données projet'!$A$62,$AF$205^A70,IF(A70='Données projet'!$A$62,'Données projet'!$B$62,AI69+AH70-AQ69)))</f>
        <v>329.73250000000007</v>
      </c>
      <c r="AJ70" s="13">
        <f>AI70*VLOOKUP('Données projet'!$B$10,Paramètres!$A$1:$I$89,3,0)*VLOOKUP('Données projet'!$B$10,Paramètres!$A$1:$I$89,5,0)</f>
        <v>298.34196600000007</v>
      </c>
      <c r="AK70" s="13">
        <f t="shared" si="89"/>
        <v>70.828763828333464</v>
      </c>
      <c r="AL70" s="20">
        <f t="shared" si="58"/>
        <v>642.97235445101421</v>
      </c>
      <c r="AM70" s="59">
        <f t="shared" si="59"/>
        <v>919.27812816927769</v>
      </c>
      <c r="AN70" s="59">
        <f ca="1">AVERAGE(OFFSET($AM$3,0,0,'Données projet'!$E$10+1,1))-AVERAGE(OFFSET($H$3,0,0,'Données projet'!$E$10+1,1))</f>
        <v>725.60981534362895</v>
      </c>
      <c r="AO70" s="59">
        <f t="shared" si="90"/>
        <v>265.16078167969272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95.371463919626862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95.371463919626862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2.3899999999999979</v>
      </c>
      <c r="BD70" s="12">
        <f>IF('Données projet'!$A$88&gt;35,BD69+BC70-BL69,IF(A70&lt;'Données projet'!$A$88,$BA$205^A70,IF(A70='Données projet'!$A$88,'Données projet'!$B$88,BD69+BC70-BL69)))</f>
        <v>126.03000000000017</v>
      </c>
      <c r="BE70" s="13">
        <f>BD70*VLOOKUP('Données projet'!$B$11,Paramètres!$A$1:$I$89,3,0)*VLOOKUP('Données projet'!$B$11,Paramètres!$A$1:$I$89,5,0)</f>
        <v>145.18656000000018</v>
      </c>
      <c r="BF70" s="13">
        <f t="shared" si="91"/>
        <v>37.482646359382358</v>
      </c>
      <c r="BG70" s="20">
        <f t="shared" si="61"/>
        <v>318.14886774259122</v>
      </c>
      <c r="BH70" s="59">
        <f t="shared" si="62"/>
        <v>594.45464146085465</v>
      </c>
      <c r="BI70" s="59">
        <f ca="1">AVERAGE(OFFSET($BH$3,0,0,'Données projet'!$E$11+1,1))-AVERAGE(OFFSET($H$3,0,0,'Données projet'!$E$11+1,1))</f>
        <v>332.93090933713466</v>
      </c>
      <c r="BJ70" s="59">
        <f t="shared" si="92"/>
        <v>251.83579649532973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12.402016711496836</v>
      </c>
      <c r="BQ70" s="21">
        <f>EXP(-LN(2)/25)*BQ69+(1-EXP(-LN(2)/25))/(LN(2)/25)*Calculateur!BL70*Calculateur!BN70*VLOOKUP('Données projet'!$B$11,Paramètres!$A$1:$I$89,3,0)*0.475*44/12</f>
        <v>2.4932839030368257</v>
      </c>
      <c r="BR70" s="21">
        <f>EXP(-LN(2)/2)*BR69+(1-EXP(-LN(2)/2))/(LN(2)/2)*BL70*BO70*VLOOKUP('Données projet'!$B$11,Paramètres!$A$1:$I$89,3,0)*0.475*44/12</f>
        <v>7.2582155170067288E-9</v>
      </c>
      <c r="BS70" s="22">
        <f t="shared" si="63"/>
        <v>14.895300621791877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9.2624999999999993</v>
      </c>
      <c r="BY70" s="12">
        <f>IF('Données projet'!$A$114&gt;35,BY69+BX70-CG69,IF(A70&lt;'Données projet'!$A$114,$BV$205^A70,IF(A70='Données projet'!$A$114,'Données projet'!$B$114,BY69+BX70-CG69)))</f>
        <v>246.12250000000003</v>
      </c>
      <c r="BZ70" s="13">
        <f>BY70*VLOOKUP('Données projet'!$B$12,Paramètres!$A$1:$I$89,3,0)*VLOOKUP('Données projet'!$B$12,Paramètres!$A$1:$I$89,5,0)</f>
        <v>280.28430300000002</v>
      </c>
      <c r="CA70" s="13">
        <f t="shared" si="93"/>
        <v>67.027086728618173</v>
      </c>
      <c r="CB70" s="20">
        <f t="shared" si="64"/>
        <v>604.90067044401007</v>
      </c>
      <c r="CC70" s="59">
        <f t="shared" si="65"/>
        <v>881.20644416227356</v>
      </c>
      <c r="CD70" s="59">
        <f ca="1">AVERAGE(OFFSET($CC$3,0,0,'Données projet'!$E$12+1,1))-AVERAGE(OFFSET($H$3,0,0,'Données projet'!$E$12+1,1))</f>
        <v>797.57191672067393</v>
      </c>
      <c r="CE70" s="59">
        <f t="shared" si="94"/>
        <v>238.59056544987126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74.851043530723331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74.851043530723331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>
        <f>CT70*VLOOKUP('Données projet'!$B$13,Paramètres!$A$1:$I$89,3,0)*VLOOKUP('Données projet'!$B$13,Paramètres!$A$1:$I$89,5,0)</f>
        <v>0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188.98184340090461</v>
      </c>
      <c r="CZ70" s="59">
        <f t="shared" si="96"/>
        <v>450.74604661797798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48.928549620185763</v>
      </c>
      <c r="DH70" s="21">
        <f>EXP(-LN(2)/2)*DH69+(1-EXP(-LN(2)/2))/(LN(2)/2)*DB70*DE70*VLOOKUP('Données projet'!$B$13,Paramètres!$A$1:$I$89,3,0)*0.475*44/12</f>
        <v>1.2128043876707771E-7</v>
      </c>
      <c r="DI70" s="22">
        <f t="shared" si="69"/>
        <v>48.928549741466199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369.00000000000011</v>
      </c>
      <c r="DP70" s="17">
        <f>DO70*VLOOKUP('Données projet'!$B$14,Paramètres!$A$1:$I$89,3,0)*VLOOKUP('Données projet'!$B$14,Paramètres!$A$1:$I$89,5,0)</f>
        <v>333.87120000000004</v>
      </c>
      <c r="DQ70" s="13">
        <f t="shared" si="97"/>
        <v>78.232360111376309</v>
      </c>
      <c r="DR70" s="20">
        <f t="shared" si="70"/>
        <v>717.74703386064709</v>
      </c>
      <c r="DS70" s="59">
        <f t="shared" si="71"/>
        <v>994.05280757891057</v>
      </c>
      <c r="DT70" s="59">
        <f ca="1">AVERAGE(OFFSET($DS$3,0,0,'Données projet'!$E$14+1,1))-AVERAGE(OFFSET($H$3,0,0,'Données projet'!$E$14+1,1))</f>
        <v>442.34161202733173</v>
      </c>
      <c r="DU70" s="59">
        <f t="shared" si="98"/>
        <v>622.90413492324399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5.0803325660677201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5.0803325660677201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9.2624999999999993</v>
      </c>
      <c r="EJ70" s="12">
        <f>IF('Données projet'!$A$192&gt;35,EJ69+EI70-ER69,IF(A70&lt;'Données projet'!$A$192,$EG$205^A70,IF(A70='Données projet'!$A$192,'Données projet'!$B$192,EJ69+EI70-ER69)))</f>
        <v>246.12250000000003</v>
      </c>
      <c r="EK70" s="17">
        <f>EJ70*VLOOKUP('Données projet'!$B$15,Paramètres!$A$1:$I$89,3,0)*VLOOKUP('Données projet'!$B$15,Paramètres!$A$1:$I$89,5,0)</f>
        <v>268.76577000000003</v>
      </c>
      <c r="EL70" s="13">
        <f t="shared" si="99"/>
        <v>64.587264726665225</v>
      </c>
      <c r="EM70" s="20">
        <f t="shared" si="73"/>
        <v>580.58986881560872</v>
      </c>
      <c r="EN70" s="59">
        <f t="shared" si="74"/>
        <v>856.89564253387221</v>
      </c>
      <c r="EO70" s="59">
        <f ca="1">AVERAGE(OFFSET($EN$3,0,0,'Données projet'!$E$15+1,1))-AVERAGE(OFFSET($H$3,0,0,'Données projet'!$E$15+1,1))</f>
        <v>767.9449852393318</v>
      </c>
      <c r="EP70" s="59">
        <f t="shared" si="100"/>
        <v>230.95605490295961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71.774973248638815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71.774973248638815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65.356120104980945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3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11</v>
      </c>
      <c r="H71" s="66">
        <f t="shared" si="56"/>
        <v>212.66666666666666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188.98184340090461</v>
      </c>
      <c r="T71" s="59">
        <f t="shared" si="88"/>
        <v>450.74604661797798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12.152499999999996</v>
      </c>
      <c r="AI71" s="13">
        <f>IF('Données projet'!$A$62&gt;35,AI70+AH71-AQ70,IF(A71&lt;'Données projet'!$A$62,$AF$205^A71,IF(A71='Données projet'!$A$62,'Données projet'!$B$62,AI70+AH71-AQ70)))</f>
        <v>341.88500000000005</v>
      </c>
      <c r="AJ71" s="13">
        <f>AI71*VLOOKUP('Données projet'!$B$10,Paramètres!$A$1:$I$89,3,0)*VLOOKUP('Données projet'!$B$10,Paramètres!$A$1:$I$89,5,0)</f>
        <v>309.33754800000003</v>
      </c>
      <c r="AK71" s="13">
        <f t="shared" si="89"/>
        <v>73.130466608029138</v>
      </c>
      <c r="AL71" s="20">
        <f t="shared" si="58"/>
        <v>666.13179210898409</v>
      </c>
      <c r="AM71" s="59">
        <f t="shared" si="59"/>
        <v>942.73295591864871</v>
      </c>
      <c r="AN71" s="59">
        <f ca="1">AVERAGE(OFFSET($AM$3,0,0,'Données projet'!$E$10+1,1))-AVERAGE(OFFSET($H$3,0,0,'Données projet'!$E$10+1,1))</f>
        <v>725.60981534362895</v>
      </c>
      <c r="AO71" s="59">
        <f t="shared" si="90"/>
        <v>265.16078167969272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93.50128768301208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93.50128768301208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2.3899999999999979</v>
      </c>
      <c r="BD71" s="12">
        <f>IF('Données projet'!$A$88&gt;35,BD70+BC71-BL70,IF(A71&lt;'Données projet'!$A$88,$BA$205^A71,IF(A71='Données projet'!$A$88,'Données projet'!$B$88,BD70+BC71-BL70)))</f>
        <v>128.42000000000016</v>
      </c>
      <c r="BE71" s="13">
        <f>BD71*VLOOKUP('Données projet'!$B$11,Paramètres!$A$1:$I$89,3,0)*VLOOKUP('Données projet'!$B$11,Paramètres!$A$1:$I$89,5,0)</f>
        <v>147.93984000000017</v>
      </c>
      <c r="BF71" s="13">
        <f t="shared" si="91"/>
        <v>38.110030706526899</v>
      </c>
      <c r="BG71" s="20">
        <f t="shared" si="61"/>
        <v>324.03685814720131</v>
      </c>
      <c r="BH71" s="59">
        <f t="shared" si="62"/>
        <v>600.63802195686594</v>
      </c>
      <c r="BI71" s="59">
        <f ca="1">AVERAGE(OFFSET($BH$3,0,0,'Données projet'!$E$11+1,1))-AVERAGE(OFFSET($H$3,0,0,'Données projet'!$E$11+1,1))</f>
        <v>332.93090933713466</v>
      </c>
      <c r="BJ71" s="59">
        <f t="shared" si="92"/>
        <v>251.83579649532973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12.158820728267647</v>
      </c>
      <c r="BQ71" s="21">
        <f>EXP(-LN(2)/25)*BQ70+(1-EXP(-LN(2)/25))/(LN(2)/25)*Calculateur!BL71*Calculateur!BN71*VLOOKUP('Données projet'!$B$11,Paramètres!$A$1:$I$89,3,0)*0.475*44/12</f>
        <v>2.4251049235921815</v>
      </c>
      <c r="BR71" s="21">
        <f>EXP(-LN(2)/2)*BR70+(1-EXP(-LN(2)/2))/(LN(2)/2)*BL71*BO71*VLOOKUP('Données projet'!$B$11,Paramètres!$A$1:$I$89,3,0)*0.475*44/12</f>
        <v>5.1323334113888812E-9</v>
      </c>
      <c r="BS71" s="22">
        <f t="shared" si="63"/>
        <v>14.583925656992163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9.2624999999999993</v>
      </c>
      <c r="BY71" s="12">
        <f>IF('Données projet'!$A$114&gt;35,BY70+BX71-CG70,IF(A71&lt;'Données projet'!$A$114,$BV$205^A71,IF(A71='Données projet'!$A$114,'Données projet'!$B$114,BY70+BX71-CG70)))</f>
        <v>255.38500000000002</v>
      </c>
      <c r="BZ71" s="13">
        <f>BY71*VLOOKUP('Données projet'!$B$12,Paramètres!$A$1:$I$89,3,0)*VLOOKUP('Données projet'!$B$12,Paramètres!$A$1:$I$89,5,0)</f>
        <v>290.83243800000002</v>
      </c>
      <c r="CA71" s="13">
        <f t="shared" si="93"/>
        <v>69.251132775268985</v>
      </c>
      <c r="CB71" s="20">
        <f t="shared" si="64"/>
        <v>627.14555243359348</v>
      </c>
      <c r="CC71" s="59">
        <f t="shared" si="65"/>
        <v>903.74671624325811</v>
      </c>
      <c r="CD71" s="59">
        <f ca="1">AVERAGE(OFFSET($CC$3,0,0,'Données projet'!$E$12+1,1))-AVERAGE(OFFSET($H$3,0,0,'Données projet'!$E$12+1,1))</f>
        <v>797.57191672067393</v>
      </c>
      <c r="CE71" s="59">
        <f t="shared" si="94"/>
        <v>238.59056544987126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73.38326022171438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73.38326022171438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>
        <f>CT71*VLOOKUP('Données projet'!$B$13,Paramètres!$A$1:$I$89,3,0)*VLOOKUP('Données projet'!$B$13,Paramètres!$A$1:$I$89,5,0)</f>
        <v>0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188.98184340090461</v>
      </c>
      <c r="CZ71" s="59">
        <f t="shared" si="96"/>
        <v>450.74604661797798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47.590595857781189</v>
      </c>
      <c r="DH71" s="21">
        <f>EXP(-LN(2)/2)*DH70+(1-EXP(-LN(2)/2))/(LN(2)/2)*DB71*DE71*VLOOKUP('Données projet'!$B$13,Paramètres!$A$1:$I$89,3,0)*0.475*44/12</f>
        <v>8.5758220677480493E-8</v>
      </c>
      <c r="DI71" s="22">
        <f t="shared" si="69"/>
        <v>47.590595943539412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369.00000000000011</v>
      </c>
      <c r="DP71" s="17">
        <f>DO71*VLOOKUP('Données projet'!$B$14,Paramètres!$A$1:$I$89,3,0)*VLOOKUP('Données projet'!$B$14,Paramètres!$A$1:$I$89,5,0)</f>
        <v>333.87120000000004</v>
      </c>
      <c r="DQ71" s="13">
        <f t="shared" si="97"/>
        <v>78.232360111376309</v>
      </c>
      <c r="DR71" s="20">
        <f t="shared" si="70"/>
        <v>717.74703386064709</v>
      </c>
      <c r="DS71" s="59">
        <f t="shared" si="71"/>
        <v>994.34819767031172</v>
      </c>
      <c r="DT71" s="59">
        <f ca="1">AVERAGE(OFFSET($DS$3,0,0,'Données projet'!$E$14+1,1))-AVERAGE(OFFSET($H$3,0,0,'Données projet'!$E$14+1,1))</f>
        <v>442.34161202733173</v>
      </c>
      <c r="DU71" s="59">
        <f t="shared" si="98"/>
        <v>622.90413492324399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4.9807103431440263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4.9807103431440263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9.2624999999999993</v>
      </c>
      <c r="EJ71" s="12">
        <f>IF('Données projet'!$A$192&gt;35,EJ70+EI71-ER70,IF(A71&lt;'Données projet'!$A$192,$EG$205^A71,IF(A71='Données projet'!$A$192,'Données projet'!$B$192,EJ70+EI71-ER70)))</f>
        <v>255.38500000000002</v>
      </c>
      <c r="EK71" s="17">
        <f>EJ71*VLOOKUP('Données projet'!$B$15,Paramètres!$A$1:$I$89,3,0)*VLOOKUP('Données projet'!$B$15,Paramètres!$A$1:$I$89,5,0)</f>
        <v>278.88042000000002</v>
      </c>
      <c r="EL71" s="13">
        <f t="shared" si="99"/>
        <v>66.730354301196869</v>
      </c>
      <c r="EM71" s="20">
        <f t="shared" si="73"/>
        <v>601.9387652412513</v>
      </c>
      <c r="EN71" s="59">
        <f t="shared" si="74"/>
        <v>878.53992905091582</v>
      </c>
      <c r="EO71" s="59">
        <f ca="1">AVERAGE(OFFSET($EN$3,0,0,'Données projet'!$E$15+1,1))-AVERAGE(OFFSET($H$3,0,0,'Données projet'!$E$15+1,1))</f>
        <v>767.9449852393318</v>
      </c>
      <c r="EP71" s="59">
        <f t="shared" si="100"/>
        <v>230.95605490295961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70.367509801643934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70.367509801643934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65.436681038999438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3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11</v>
      </c>
      <c r="H72" s="66">
        <f t="shared" si="56"/>
        <v>212.66666666666666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188.98184340090461</v>
      </c>
      <c r="T72" s="59">
        <f t="shared" si="88"/>
        <v>450.74604661797798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12.152499999999996</v>
      </c>
      <c r="AI72" s="13">
        <f>IF('Données projet'!$A$62&gt;35,AI71+AH72-AQ71,IF(A72&lt;'Données projet'!$A$62,$AF$205^A72,IF(A72='Données projet'!$A$62,'Données projet'!$B$62,AI71+AH72-AQ71)))</f>
        <v>354.03750000000002</v>
      </c>
      <c r="AJ72" s="13">
        <f>AI72*VLOOKUP('Données projet'!$B$10,Paramètres!$A$1:$I$89,3,0)*VLOOKUP('Données projet'!$B$10,Paramètres!$A$1:$I$89,5,0)</f>
        <v>320.33312999999998</v>
      </c>
      <c r="AK72" s="13">
        <f t="shared" si="89"/>
        <v>75.422663639992734</v>
      </c>
      <c r="AL72" s="20">
        <f t="shared" si="58"/>
        <v>689.27467392298729</v>
      </c>
      <c r="AM72" s="59">
        <f t="shared" si="59"/>
        <v>966.1661034663606</v>
      </c>
      <c r="AN72" s="59">
        <f ca="1">AVERAGE(OFFSET($AM$3,0,0,'Données projet'!$E$10+1,1))-AVERAGE(OFFSET($H$3,0,0,'Données projet'!$E$10+1,1))</f>
        <v>725.60981534362895</v>
      </c>
      <c r="AO72" s="59">
        <f t="shared" si="90"/>
        <v>265.16078167969272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91.667784461702439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91.667784461702439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2.3899999999999979</v>
      </c>
      <c r="BD72" s="12">
        <f>IF('Données projet'!$A$88&gt;35,BD71+BC72-BL71,IF(A72&lt;'Données projet'!$A$88,$BA$205^A72,IF(A72='Données projet'!$A$88,'Données projet'!$B$88,BD71+BC72-BL71)))</f>
        <v>130.81000000000014</v>
      </c>
      <c r="BE72" s="13">
        <f>BD72*VLOOKUP('Données projet'!$B$11,Paramètres!$A$1:$I$89,3,0)*VLOOKUP('Données projet'!$B$11,Paramètres!$A$1:$I$89,5,0)</f>
        <v>150.69312000000016</v>
      </c>
      <c r="BF72" s="13">
        <f t="shared" si="91"/>
        <v>38.736057340353661</v>
      </c>
      <c r="BG72" s="20">
        <f t="shared" si="61"/>
        <v>329.92248386778289</v>
      </c>
      <c r="BH72" s="59">
        <f t="shared" si="62"/>
        <v>606.81391341115614</v>
      </c>
      <c r="BI72" s="59">
        <f ca="1">AVERAGE(OFFSET($BH$3,0,0,'Données projet'!$E$11+1,1))-AVERAGE(OFFSET($H$3,0,0,'Données projet'!$E$11+1,1))</f>
        <v>332.93090933713466</v>
      </c>
      <c r="BJ72" s="59">
        <f t="shared" si="92"/>
        <v>251.83579649532973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11.920393669934679</v>
      </c>
      <c r="BQ72" s="21">
        <f>EXP(-LN(2)/25)*BQ71+(1-EXP(-LN(2)/25))/(LN(2)/25)*Calculateur!BL72*Calculateur!BN72*VLOOKUP('Données projet'!$B$11,Paramètres!$A$1:$I$89,3,0)*0.475*44/12</f>
        <v>2.3587903019258283</v>
      </c>
      <c r="BR72" s="21">
        <f>EXP(-LN(2)/2)*BR71+(1-EXP(-LN(2)/2))/(LN(2)/2)*BL72*BO72*VLOOKUP('Données projet'!$B$11,Paramètres!$A$1:$I$89,3,0)*0.475*44/12</f>
        <v>3.6291077585033648E-9</v>
      </c>
      <c r="BS72" s="22">
        <f t="shared" si="63"/>
        <v>14.279183975489616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9.2624999999999993</v>
      </c>
      <c r="BY72" s="12">
        <f>IF('Données projet'!$A$114&gt;35,BY71+BX72-CG71,IF(A72&lt;'Données projet'!$A$114,$BV$205^A72,IF(A72='Données projet'!$A$114,'Données projet'!$B$114,BY71+BX72-CG71)))</f>
        <v>264.64750000000004</v>
      </c>
      <c r="BZ72" s="13">
        <f>BY72*VLOOKUP('Données projet'!$B$12,Paramètres!$A$1:$I$89,3,0)*VLOOKUP('Données projet'!$B$12,Paramètres!$A$1:$I$89,5,0)</f>
        <v>301.38057300000003</v>
      </c>
      <c r="CA72" s="13">
        <f t="shared" si="93"/>
        <v>71.465807221310627</v>
      </c>
      <c r="CB72" s="20">
        <f t="shared" si="64"/>
        <v>649.37411221878267</v>
      </c>
      <c r="CC72" s="59">
        <f t="shared" si="65"/>
        <v>926.26554176215598</v>
      </c>
      <c r="CD72" s="59">
        <f ca="1">AVERAGE(OFFSET($CC$3,0,0,'Données projet'!$E$12+1,1))-AVERAGE(OFFSET($H$3,0,0,'Données projet'!$E$12+1,1))</f>
        <v>797.57191672067393</v>
      </c>
      <c r="CE72" s="59">
        <f t="shared" si="94"/>
        <v>238.59056544987126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71.94425924813568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71.94425924813568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>
        <f>CT72*VLOOKUP('Données projet'!$B$13,Paramètres!$A$1:$I$89,3,0)*VLOOKUP('Données projet'!$B$13,Paramètres!$A$1:$I$89,5,0)</f>
        <v>0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188.98184340090461</v>
      </c>
      <c r="CZ72" s="59">
        <f t="shared" si="96"/>
        <v>450.74604661797798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46.289228511369494</v>
      </c>
      <c r="DH72" s="21">
        <f>EXP(-LN(2)/2)*DH71+(1-EXP(-LN(2)/2))/(LN(2)/2)*DB72*DE72*VLOOKUP('Données projet'!$B$13,Paramètres!$A$1:$I$89,3,0)*0.475*44/12</f>
        <v>6.0640219383538854E-8</v>
      </c>
      <c r="DI72" s="22">
        <f t="shared" si="69"/>
        <v>46.289228572009712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369.00000000000011</v>
      </c>
      <c r="DP72" s="17">
        <f>DO72*VLOOKUP('Données projet'!$B$14,Paramètres!$A$1:$I$89,3,0)*VLOOKUP('Données projet'!$B$14,Paramètres!$A$1:$I$89,5,0)</f>
        <v>333.87120000000004</v>
      </c>
      <c r="DQ72" s="13">
        <f t="shared" si="97"/>
        <v>78.232360111376309</v>
      </c>
      <c r="DR72" s="20">
        <f t="shared" si="70"/>
        <v>717.74703386064709</v>
      </c>
      <c r="DS72" s="59">
        <f t="shared" si="71"/>
        <v>994.6384634040204</v>
      </c>
      <c r="DT72" s="59">
        <f ca="1">AVERAGE(OFFSET($DS$3,0,0,'Données projet'!$E$14+1,1))-AVERAGE(OFFSET($H$3,0,0,'Données projet'!$E$14+1,1))</f>
        <v>442.34161202733173</v>
      </c>
      <c r="DU72" s="59">
        <f t="shared" si="98"/>
        <v>622.90413492324399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4.8830416512483099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4.8830416512483099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9.2624999999999993</v>
      </c>
      <c r="EJ72" s="12">
        <f>IF('Données projet'!$A$192&gt;35,EJ71+EI72-ER71,IF(A72&lt;'Données projet'!$A$192,$EG$205^A72,IF(A72='Données projet'!$A$192,'Données projet'!$B$192,EJ71+EI72-ER71)))</f>
        <v>264.64750000000004</v>
      </c>
      <c r="EK72" s="17">
        <f>EJ72*VLOOKUP('Données projet'!$B$15,Paramètres!$A$1:$I$89,3,0)*VLOOKUP('Données projet'!$B$15,Paramètres!$A$1:$I$89,5,0)</f>
        <v>288.99507</v>
      </c>
      <c r="EL72" s="13">
        <f t="shared" si="99"/>
        <v>68.864413406421249</v>
      </c>
      <c r="EM72" s="20">
        <f t="shared" si="73"/>
        <v>623.27193359951696</v>
      </c>
      <c r="EN72" s="59">
        <f t="shared" si="74"/>
        <v>900.16336314289026</v>
      </c>
      <c r="EO72" s="59">
        <f ca="1">AVERAGE(OFFSET($EN$3,0,0,'Données projet'!$E$15+1,1))-AVERAGE(OFFSET($H$3,0,0,'Données projet'!$E$15+1,1))</f>
        <v>767.9449852393318</v>
      </c>
      <c r="EP72" s="59">
        <f t="shared" si="100"/>
        <v>230.95605490295961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68.98764585437668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68.98764585437668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65.51584442091999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3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11</v>
      </c>
      <c r="H73" s="66">
        <f t="shared" si="56"/>
        <v>212.66666666666666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188.98184340090461</v>
      </c>
      <c r="T73" s="59">
        <f t="shared" si="88"/>
        <v>450.74604661797798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12.152499999999996</v>
      </c>
      <c r="AI73" s="13">
        <f>IF('Données projet'!$A$62&gt;35,AI72+AH73-AQ72,IF(A73&lt;'Données projet'!$A$62,$AF$205^A73,IF(A73='Données projet'!$A$62,'Données projet'!$B$62,AI72+AH73-AQ72)))</f>
        <v>366.19</v>
      </c>
      <c r="AJ73" s="13">
        <f>AI73*VLOOKUP('Données projet'!$B$10,Paramètres!$A$1:$I$89,3,0)*VLOOKUP('Données projet'!$B$10,Paramètres!$A$1:$I$89,5,0)</f>
        <v>331.328712</v>
      </c>
      <c r="AK73" s="13">
        <f t="shared" si="89"/>
        <v>77.70571861182988</v>
      </c>
      <c r="AL73" s="20">
        <f t="shared" si="58"/>
        <v>712.4016333156037</v>
      </c>
      <c r="AM73" s="59">
        <f t="shared" si="59"/>
        <v>989.5782931311428</v>
      </c>
      <c r="AN73" s="59">
        <f ca="1">AVERAGE(OFFSET($AM$3,0,0,'Données projet'!$E$10+1,1))-AVERAGE(OFFSET($H$3,0,0,'Données projet'!$E$10+1,1))</f>
        <v>725.60981534362895</v>
      </c>
      <c r="AO73" s="59">
        <f t="shared" si="90"/>
        <v>265.16078167969272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89.870235120236146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89.870235120236146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133.19999999999999</v>
      </c>
      <c r="BB73" s="12">
        <f>VLOOKUP(A73,'Données projet'!$A$87:$I$107,9,0)</f>
        <v>2.3899999999999979</v>
      </c>
      <c r="BC73" s="12">
        <f t="array" ref="BC73">INDEX(BB:BB,MIN(IF(ISNUMBER(BB73:BB269),ROW(BB73:BB269),"")))</f>
        <v>2.3899999999999979</v>
      </c>
      <c r="BD73" s="12">
        <f>IF('Données projet'!$A$88&gt;35,BD72+BC73-BL72,IF(A73&lt;'Données projet'!$A$88,$BA$205^A73,IF(A73='Données projet'!$A$88,'Données projet'!$B$88,BD72+BC73-BL72)))</f>
        <v>133.20000000000013</v>
      </c>
      <c r="BE73" s="13">
        <f>BD73*VLOOKUP('Données projet'!$B$11,Paramètres!$A$1:$I$89,3,0)*VLOOKUP('Données projet'!$B$11,Paramètres!$A$1:$I$89,5,0)</f>
        <v>153.44640000000015</v>
      </c>
      <c r="BF73" s="13">
        <f t="shared" si="91"/>
        <v>39.360753928486382</v>
      </c>
      <c r="BG73" s="20">
        <f t="shared" si="61"/>
        <v>335.80579309211407</v>
      </c>
      <c r="BH73" s="59">
        <f t="shared" si="62"/>
        <v>612.98245290765317</v>
      </c>
      <c r="BI73" s="59">
        <f ca="1">AVERAGE(OFFSET($BH$3,0,0,'Données projet'!$E$11+1,1))-AVERAGE(OFFSET($H$3,0,0,'Données projet'!$E$11+1,1))</f>
        <v>332.93090933713466</v>
      </c>
      <c r="BJ73" s="59">
        <f t="shared" si="92"/>
        <v>251.83579649532973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15.7</v>
      </c>
      <c r="BM73" s="16">
        <f>IF(ISNA(VLOOKUP(A73,'Données projet'!$A$87:$I$107,5,0)),0%,VLOOKUP(A73,'Données projet'!$A$87:$I$107,5,0)*VLOOKUP('Données projet'!$B$11,Paramètres!$A$1:$I$89,7,0))</f>
        <v>0.45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17.534881016462013</v>
      </c>
      <c r="BQ73" s="21">
        <f>EXP(-LN(2)/25)*BQ72+(1-EXP(-LN(2)/25))/(LN(2)/25)*Calculateur!BL73*Calculateur!BN73*VLOOKUP('Données projet'!$B$11,Paramètres!$A$1:$I$89,3,0)*0.475*44/12</f>
        <v>2.2942890570762757</v>
      </c>
      <c r="BR73" s="21">
        <f>EXP(-LN(2)/2)*BR72+(1-EXP(-LN(2)/2))/(LN(2)/2)*BL73*BO73*VLOOKUP('Données projet'!$B$11,Paramètres!$A$1:$I$89,3,0)*0.475*44/12</f>
        <v>2.566166705694441E-9</v>
      </c>
      <c r="BS73" s="22">
        <f t="shared" si="63"/>
        <v>19.829170076104457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9.2624999999999993</v>
      </c>
      <c r="BY73" s="12">
        <f>IF('Données projet'!$A$114&gt;35,BY72+BX73-CG72,IF(A73&lt;'Données projet'!$A$114,$BV$205^A73,IF(A73='Données projet'!$A$114,'Données projet'!$B$114,BY72+BX73-CG72)))</f>
        <v>273.91000000000003</v>
      </c>
      <c r="BZ73" s="13">
        <f>BY73*VLOOKUP('Données projet'!$B$12,Paramètres!$A$1:$I$89,3,0)*VLOOKUP('Données projet'!$B$12,Paramètres!$A$1:$I$89,5,0)</f>
        <v>311.92870800000003</v>
      </c>
      <c r="CA73" s="13">
        <f t="shared" si="93"/>
        <v>73.671475653083462</v>
      </c>
      <c r="CB73" s="20">
        <f t="shared" si="64"/>
        <v>671.5869865291204</v>
      </c>
      <c r="CC73" s="59">
        <f t="shared" si="65"/>
        <v>948.76364634465949</v>
      </c>
      <c r="CD73" s="59">
        <f ca="1">AVERAGE(OFFSET($CC$3,0,0,'Données projet'!$E$12+1,1))-AVERAGE(OFFSET($H$3,0,0,'Données projet'!$E$12+1,1))</f>
        <v>797.57191672067393</v>
      </c>
      <c r="CE73" s="59">
        <f t="shared" si="94"/>
        <v>238.59056544987126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70.533476205944922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70.533476205944922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>
        <f>CT73*VLOOKUP('Données projet'!$B$13,Paramètres!$A$1:$I$89,3,0)*VLOOKUP('Données projet'!$B$13,Paramètres!$A$1:$I$89,5,0)</f>
        <v>0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188.98184340090461</v>
      </c>
      <c r="CZ73" s="59">
        <f t="shared" si="96"/>
        <v>450.74604661797798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45.023447123481361</v>
      </c>
      <c r="DH73" s="21">
        <f>EXP(-LN(2)/2)*DH72+(1-EXP(-LN(2)/2))/(LN(2)/2)*DB73*DE73*VLOOKUP('Données projet'!$B$13,Paramètres!$A$1:$I$89,3,0)*0.475*44/12</f>
        <v>4.2879110338740246E-8</v>
      </c>
      <c r="DI73" s="22">
        <f t="shared" si="69"/>
        <v>45.023447166360469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369.00000000000011</v>
      </c>
      <c r="DP73" s="17">
        <f>DO73*VLOOKUP('Données projet'!$B$14,Paramètres!$A$1:$I$89,3,0)*VLOOKUP('Données projet'!$B$14,Paramètres!$A$1:$I$89,5,0)</f>
        <v>333.87120000000004</v>
      </c>
      <c r="DQ73" s="13">
        <f t="shared" si="97"/>
        <v>78.232360111376309</v>
      </c>
      <c r="DR73" s="20">
        <f t="shared" si="70"/>
        <v>717.74703386064709</v>
      </c>
      <c r="DS73" s="59">
        <f t="shared" si="71"/>
        <v>994.92369367618608</v>
      </c>
      <c r="DT73" s="59">
        <f ca="1">AVERAGE(OFFSET($DS$3,0,0,'Données projet'!$E$14+1,1))-AVERAGE(OFFSET($H$3,0,0,'Données projet'!$E$14+1,1))</f>
        <v>442.34161202733173</v>
      </c>
      <c r="DU73" s="59">
        <f t="shared" si="98"/>
        <v>622.90413492324399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4.7872881828286493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4.7872881828286493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9.2624999999999993</v>
      </c>
      <c r="EJ73" s="12">
        <f>IF('Données projet'!$A$192&gt;35,EJ72+EI73-ER72,IF(A73&lt;'Données projet'!$A$192,$EG$205^A73,IF(A73='Données projet'!$A$192,'Données projet'!$B$192,EJ72+EI73-ER72)))</f>
        <v>273.91000000000003</v>
      </c>
      <c r="EK73" s="17">
        <f>EJ73*VLOOKUP('Données projet'!$B$15,Paramètres!$A$1:$I$89,3,0)*VLOOKUP('Données projet'!$B$15,Paramètres!$A$1:$I$89,5,0)</f>
        <v>299.10971999999998</v>
      </c>
      <c r="EL73" s="13">
        <f t="shared" si="99"/>
        <v>70.989794321139428</v>
      </c>
      <c r="EM73" s="20">
        <f t="shared" si="73"/>
        <v>644.58998744265102</v>
      </c>
      <c r="EN73" s="59">
        <f t="shared" si="74"/>
        <v>921.76664725819001</v>
      </c>
      <c r="EO73" s="59">
        <f ca="1">AVERAGE(OFFSET($EN$3,0,0,'Données projet'!$E$15+1,1))-AVERAGE(OFFSET($H$3,0,0,'Données projet'!$E$15+1,1))</f>
        <v>767.9449852393318</v>
      </c>
      <c r="EP73" s="59">
        <f t="shared" si="100"/>
        <v>230.95605490295961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67.634840197481438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67.634840197481438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65.593634495147001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3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11</v>
      </c>
      <c r="H74" s="66">
        <f t="shared" si="56"/>
        <v>212.66666666666666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188.98184340090461</v>
      </c>
      <c r="T74" s="59">
        <f t="shared" si="88"/>
        <v>450.74604661797798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12.152499999999996</v>
      </c>
      <c r="AI74" s="13">
        <f>IF('Données projet'!$A$62&gt;35,AI73+AH74-AQ73,IF(A74&lt;'Données projet'!$A$62,$AF$205^A74,IF(A74='Données projet'!$A$62,'Données projet'!$B$62,AI73+AH74-AQ73)))</f>
        <v>378.34249999999997</v>
      </c>
      <c r="AJ74" s="13">
        <f>AI74*VLOOKUP('Données projet'!$B$10,Paramètres!$A$1:$I$89,3,0)*VLOOKUP('Données projet'!$B$10,Paramètres!$A$1:$I$89,5,0)</f>
        <v>342.32429399999995</v>
      </c>
      <c r="AK74" s="13">
        <f t="shared" si="89"/>
        <v>79.979969702389681</v>
      </c>
      <c r="AL74" s="20">
        <f t="shared" si="58"/>
        <v>735.51325928166182</v>
      </c>
      <c r="AM74" s="59">
        <f t="shared" si="59"/>
        <v>1012.9702012618238</v>
      </c>
      <c r="AN74" s="59">
        <f ca="1">AVERAGE(OFFSET($AM$3,0,0,'Données projet'!$E$10+1,1))-AVERAGE(OFFSET($H$3,0,0,'Données projet'!$E$10+1,1))</f>
        <v>725.60981534362895</v>
      </c>
      <c r="AO74" s="59">
        <f t="shared" si="90"/>
        <v>265.16078167969272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88.107934624959171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88.107934624959171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2.1300000000000026</v>
      </c>
      <c r="BD74" s="12">
        <f>IF('Données projet'!$A$88&gt;35,BD73+BC74-BL73,IF(A74&lt;'Données projet'!$A$88,$BA$205^A74,IF(A74='Données projet'!$A$88,'Données projet'!$B$88,BD73+BC74-BL73)))</f>
        <v>119.63000000000012</v>
      </c>
      <c r="BE74" s="13">
        <f>BD74*VLOOKUP('Données projet'!$B$11,Paramètres!$A$1:$I$89,3,0)*VLOOKUP('Données projet'!$B$11,Paramètres!$A$1:$I$89,5,0)</f>
        <v>137.81376000000014</v>
      </c>
      <c r="BF74" s="13">
        <f t="shared" si="91"/>
        <v>35.795710757731875</v>
      </c>
      <c r="BG74" s="20">
        <f t="shared" si="61"/>
        <v>302.36982823638328</v>
      </c>
      <c r="BH74" s="59">
        <f t="shared" si="62"/>
        <v>579.82677021654536</v>
      </c>
      <c r="BI74" s="59">
        <f ca="1">AVERAGE(OFFSET($BH$3,0,0,'Données projet'!$E$11+1,1))-AVERAGE(OFFSET($H$3,0,0,'Données projet'!$E$11+1,1))</f>
        <v>332.93090933713466</v>
      </c>
      <c r="BJ74" s="59">
        <f t="shared" si="92"/>
        <v>251.83579649532973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17.191032694950547</v>
      </c>
      <c r="BQ74" s="21">
        <f>EXP(-LN(2)/25)*BQ73+(1-EXP(-LN(2)/25))/(LN(2)/25)*Calculateur!BL74*Calculateur!BN74*VLOOKUP('Données projet'!$B$11,Paramètres!$A$1:$I$89,3,0)*0.475*44/12</f>
        <v>2.2315516021591071</v>
      </c>
      <c r="BR74" s="21">
        <f>EXP(-LN(2)/2)*BR73+(1-EXP(-LN(2)/2))/(LN(2)/2)*BL74*BO74*VLOOKUP('Données projet'!$B$11,Paramètres!$A$1:$I$89,3,0)*0.475*44/12</f>
        <v>1.8145538792516828E-9</v>
      </c>
      <c r="BS74" s="22">
        <f t="shared" si="63"/>
        <v>19.42258429892421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9.2624999999999993</v>
      </c>
      <c r="BY74" s="12">
        <f>IF('Données projet'!$A$114&gt;35,BY73+BX74-CG73,IF(A74&lt;'Données projet'!$A$114,$BV$205^A74,IF(A74='Données projet'!$A$114,'Données projet'!$B$114,BY73+BX74-CG73)))</f>
        <v>283.17250000000001</v>
      </c>
      <c r="BZ74" s="13">
        <f>BY74*VLOOKUP('Données projet'!$B$12,Paramètres!$A$1:$I$89,3,0)*VLOOKUP('Données projet'!$B$12,Paramètres!$A$1:$I$89,5,0)</f>
        <v>322.47684300000003</v>
      </c>
      <c r="CA74" s="13">
        <f t="shared" si="93"/>
        <v>75.868477528968967</v>
      </c>
      <c r="CB74" s="20">
        <f t="shared" si="64"/>
        <v>693.78476658795432</v>
      </c>
      <c r="CC74" s="59">
        <f t="shared" si="65"/>
        <v>971.24170856811634</v>
      </c>
      <c r="CD74" s="59">
        <f ca="1">AVERAGE(OFFSET($CC$3,0,0,'Données projet'!$E$12+1,1))-AVERAGE(OFFSET($H$3,0,0,'Données projet'!$E$12+1,1))</f>
        <v>797.57191672067393</v>
      </c>
      <c r="CE74" s="59">
        <f t="shared" si="94"/>
        <v>238.59056544987126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69.15035775871884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69.15035775871884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>
        <f>CT74*VLOOKUP('Données projet'!$B$13,Paramètres!$A$1:$I$89,3,0)*VLOOKUP('Données projet'!$B$13,Paramètres!$A$1:$I$89,5,0)</f>
        <v>0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188.98184340090461</v>
      </c>
      <c r="CZ74" s="59">
        <f t="shared" si="96"/>
        <v>450.74604661797798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43.792278594209584</v>
      </c>
      <c r="DH74" s="21">
        <f>EXP(-LN(2)/2)*DH73+(1-EXP(-LN(2)/2))/(LN(2)/2)*DB74*DE74*VLOOKUP('Données projet'!$B$13,Paramètres!$A$1:$I$89,3,0)*0.475*44/12</f>
        <v>3.0320109691769427E-8</v>
      </c>
      <c r="DI74" s="22">
        <f t="shared" si="69"/>
        <v>43.792278624529693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369.00000000000011</v>
      </c>
      <c r="DP74" s="17">
        <f>DO74*VLOOKUP('Données projet'!$B$14,Paramètres!$A$1:$I$89,3,0)*VLOOKUP('Données projet'!$B$14,Paramètres!$A$1:$I$89,5,0)</f>
        <v>333.87120000000004</v>
      </c>
      <c r="DQ74" s="13">
        <f t="shared" si="97"/>
        <v>78.232360111376309</v>
      </c>
      <c r="DR74" s="20">
        <f t="shared" si="70"/>
        <v>717.74703386064709</v>
      </c>
      <c r="DS74" s="59">
        <f t="shared" si="71"/>
        <v>995.20397584080911</v>
      </c>
      <c r="DT74" s="59">
        <f ca="1">AVERAGE(OFFSET($DS$3,0,0,'Données projet'!$E$14+1,1))-AVERAGE(OFFSET($H$3,0,0,'Données projet'!$E$14+1,1))</f>
        <v>442.34161202733173</v>
      </c>
      <c r="DU74" s="59">
        <f t="shared" si="98"/>
        <v>622.90413492324399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4.6934123815208491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4.6934123815208491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9.2624999999999993</v>
      </c>
      <c r="EJ74" s="12">
        <f>IF('Données projet'!$A$192&gt;35,EJ73+EI74-ER73,IF(A74&lt;'Données projet'!$A$192,$EG$205^A74,IF(A74='Données projet'!$A$192,'Données projet'!$B$192,EJ73+EI74-ER73)))</f>
        <v>283.17250000000001</v>
      </c>
      <c r="EK74" s="17">
        <f>EJ74*VLOOKUP('Données projet'!$B$15,Paramètres!$A$1:$I$89,3,0)*VLOOKUP('Données projet'!$B$15,Paramètres!$A$1:$I$89,5,0)</f>
        <v>309.22437000000002</v>
      </c>
      <c r="EL74" s="13">
        <f t="shared" si="99"/>
        <v>73.106824147265044</v>
      </c>
      <c r="EM74" s="20">
        <f t="shared" si="73"/>
        <v>665.89349647315339</v>
      </c>
      <c r="EN74" s="59">
        <f t="shared" si="74"/>
        <v>943.35043845331552</v>
      </c>
      <c r="EO74" s="59">
        <f ca="1">AVERAGE(OFFSET($EN$3,0,0,'Données projet'!$E$15+1,1))-AVERAGE(OFFSET($H$3,0,0,'Données projet'!$E$15+1,1))</f>
        <v>767.9449852393318</v>
      </c>
      <c r="EP74" s="59">
        <f t="shared" si="100"/>
        <v>230.95605490295961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66.308562234387935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66.308562234387935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65.670075085498752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3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11</v>
      </c>
      <c r="H75" s="66">
        <f t="shared" si="56"/>
        <v>212.66666666666666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188.98184340090461</v>
      </c>
      <c r="T75" s="59">
        <f t="shared" si="88"/>
        <v>450.74604661797798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12.152499999999996</v>
      </c>
      <c r="AI75" s="13">
        <f>IF('Données projet'!$A$62&gt;35,AI74+AH75-AQ74,IF(A75&lt;'Données projet'!$A$62,$AF$205^A75,IF(A75='Données projet'!$A$62,'Données projet'!$B$62,AI74+AH75-AQ74)))</f>
        <v>390.49499999999995</v>
      </c>
      <c r="AJ75" s="13">
        <f>AI75*VLOOKUP('Données projet'!$B$10,Paramètres!$A$1:$I$89,3,0)*VLOOKUP('Données projet'!$B$10,Paramètres!$A$1:$I$89,5,0)</f>
        <v>353.31987599999991</v>
      </c>
      <c r="AK75" s="13">
        <f t="shared" si="89"/>
        <v>82.245732132210307</v>
      </c>
      <c r="AL75" s="20">
        <f t="shared" si="58"/>
        <v>758.61010083026611</v>
      </c>
      <c r="AM75" s="59">
        <f t="shared" si="59"/>
        <v>1036.3424627061122</v>
      </c>
      <c r="AN75" s="59">
        <f ca="1">AVERAGE(OFFSET($AM$3,0,0,'Données projet'!$E$10+1,1))-AVERAGE(OFFSET($H$3,0,0,'Données projet'!$E$10+1,1))</f>
        <v>725.60981534362895</v>
      </c>
      <c r="AO75" s="59">
        <f t="shared" si="90"/>
        <v>265.16078167969272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86.380191767497408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86.380191767497408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2.1300000000000026</v>
      </c>
      <c r="BD75" s="12">
        <f>IF('Données projet'!$A$88&gt;35,BD74+BC75-BL74,IF(A75&lt;'Données projet'!$A$88,$BA$205^A75,IF(A75='Données projet'!$A$88,'Données projet'!$B$88,BD74+BC75-BL74)))</f>
        <v>121.76000000000013</v>
      </c>
      <c r="BE75" s="13">
        <f>BD75*VLOOKUP('Données projet'!$B$11,Paramètres!$A$1:$I$89,3,0)*VLOOKUP('Données projet'!$B$11,Paramètres!$A$1:$I$89,5,0)</f>
        <v>140.26752000000016</v>
      </c>
      <c r="BF75" s="13">
        <f t="shared" si="91"/>
        <v>36.358283759581589</v>
      </c>
      <c r="BG75" s="20">
        <f t="shared" si="61"/>
        <v>307.62327488127147</v>
      </c>
      <c r="BH75" s="59">
        <f t="shared" si="62"/>
        <v>585.35563675711751</v>
      </c>
      <c r="BI75" s="59">
        <f ca="1">AVERAGE(OFFSET($BH$3,0,0,'Données projet'!$E$11+1,1))-AVERAGE(OFFSET($H$3,0,0,'Données projet'!$E$11+1,1))</f>
        <v>332.93090933713466</v>
      </c>
      <c r="BJ75" s="59">
        <f t="shared" si="92"/>
        <v>251.83579649532973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16.853927029297154</v>
      </c>
      <c r="BQ75" s="21">
        <f>EXP(-LN(2)/25)*BQ74+(1-EXP(-LN(2)/25))/(LN(2)/25)*Calculateur!BL75*Calculateur!BN75*VLOOKUP('Données projet'!$B$11,Paramètres!$A$1:$I$89,3,0)*0.475*44/12</f>
        <v>2.1705297062458677</v>
      </c>
      <c r="BR75" s="21">
        <f>EXP(-LN(2)/2)*BR74+(1-EXP(-LN(2)/2))/(LN(2)/2)*BL75*BO75*VLOOKUP('Données projet'!$B$11,Paramètres!$A$1:$I$89,3,0)*0.475*44/12</f>
        <v>1.2830833528472207E-9</v>
      </c>
      <c r="BS75" s="22">
        <f t="shared" si="63"/>
        <v>19.024456736826107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9.2624999999999993</v>
      </c>
      <c r="BY75" s="12">
        <f>IF('Données projet'!$A$114&gt;35,BY74+BX75-CG74,IF(A75&lt;'Données projet'!$A$114,$BV$205^A75,IF(A75='Données projet'!$A$114,'Données projet'!$B$114,BY74+BX75-CG74)))</f>
        <v>292.435</v>
      </c>
      <c r="BZ75" s="13">
        <f>BY75*VLOOKUP('Données projet'!$B$12,Paramètres!$A$1:$I$89,3,0)*VLOOKUP('Données projet'!$B$12,Paramètres!$A$1:$I$89,5,0)</f>
        <v>333.02497800000003</v>
      </c>
      <c r="CA75" s="13">
        <f t="shared" si="93"/>
        <v>78.057128839659256</v>
      </c>
      <c r="CB75" s="20">
        <f t="shared" si="64"/>
        <v>715.96800274573991</v>
      </c>
      <c r="CC75" s="59">
        <f t="shared" si="65"/>
        <v>993.70036462158589</v>
      </c>
      <c r="CD75" s="59">
        <f ca="1">AVERAGE(OFFSET($CC$3,0,0,'Données projet'!$E$12+1,1))-AVERAGE(OFFSET($H$3,0,0,'Données projet'!$E$12+1,1))</f>
        <v>797.57191672067393</v>
      </c>
      <c r="CE75" s="59">
        <f t="shared" si="94"/>
        <v>238.59056544987126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67.794361420623915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67.794361420623915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>
        <f>CT75*VLOOKUP('Données projet'!$B$13,Paramètres!$A$1:$I$89,3,0)*VLOOKUP('Données projet'!$B$13,Paramètres!$A$1:$I$89,5,0)</f>
        <v>0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188.98184340090461</v>
      </c>
      <c r="CZ75" s="59">
        <f t="shared" si="96"/>
        <v>450.74604661797798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42.594776433115079</v>
      </c>
      <c r="DH75" s="21">
        <f>EXP(-LN(2)/2)*DH74+(1-EXP(-LN(2)/2))/(LN(2)/2)*DB75*DE75*VLOOKUP('Données projet'!$B$13,Paramètres!$A$1:$I$89,3,0)*0.475*44/12</f>
        <v>2.1439555169370123E-8</v>
      </c>
      <c r="DI75" s="22">
        <f t="shared" si="69"/>
        <v>42.594776454554633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369.00000000000011</v>
      </c>
      <c r="DP75" s="17">
        <f>DO75*VLOOKUP('Données projet'!$B$14,Paramètres!$A$1:$I$89,3,0)*VLOOKUP('Données projet'!$B$14,Paramètres!$A$1:$I$89,5,0)</f>
        <v>333.87120000000004</v>
      </c>
      <c r="DQ75" s="13">
        <f t="shared" si="97"/>
        <v>78.232360111376309</v>
      </c>
      <c r="DR75" s="20">
        <f t="shared" si="70"/>
        <v>717.74703386064709</v>
      </c>
      <c r="DS75" s="59">
        <f t="shared" si="71"/>
        <v>995.47939573649307</v>
      </c>
      <c r="DT75" s="59">
        <f ca="1">AVERAGE(OFFSET($DS$3,0,0,'Données projet'!$E$14+1,1))-AVERAGE(OFFSET($H$3,0,0,'Données projet'!$E$14+1,1))</f>
        <v>442.34161202733173</v>
      </c>
      <c r="DU75" s="59">
        <f t="shared" si="98"/>
        <v>622.90413492324399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4.6013774274181101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4.6013774274181101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9.2624999999999993</v>
      </c>
      <c r="EJ75" s="12">
        <f>IF('Données projet'!$A$192&gt;35,EJ74+EI75-ER74,IF(A75&lt;'Données projet'!$A$192,$EG$205^A75,IF(A75='Données projet'!$A$192,'Données projet'!$B$192,EJ74+EI75-ER74)))</f>
        <v>292.435</v>
      </c>
      <c r="EK75" s="17">
        <f>EJ75*VLOOKUP('Données projet'!$B$15,Paramètres!$A$1:$I$89,3,0)*VLOOKUP('Données projet'!$B$15,Paramètres!$A$1:$I$89,5,0)</f>
        <v>319.33902</v>
      </c>
      <c r="EL75" s="13">
        <f t="shared" si="99"/>
        <v>75.215807373259352</v>
      </c>
      <c r="EM75" s="20">
        <f t="shared" si="73"/>
        <v>687.18299100842671</v>
      </c>
      <c r="EN75" s="59">
        <f t="shared" si="74"/>
        <v>964.91535288427269</v>
      </c>
      <c r="EO75" s="59">
        <f ca="1">AVERAGE(OFFSET($EN$3,0,0,'Données projet'!$E$15+1,1))-AVERAGE(OFFSET($H$3,0,0,'Données projet'!$E$15+1,1))</f>
        <v>767.9449852393318</v>
      </c>
      <c r="EP75" s="59">
        <f t="shared" si="100"/>
        <v>230.95605490295961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65.008291773201009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65.008291773201009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65.745189602503444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3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11</v>
      </c>
      <c r="H76" s="66">
        <f t="shared" si="56"/>
        <v>212.66666666666666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188.98184340090461</v>
      </c>
      <c r="T76" s="59">
        <f t="shared" si="88"/>
        <v>450.74604661797798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12.152499999999996</v>
      </c>
      <c r="AI76" s="13">
        <f>IF('Données projet'!$A$62&gt;35,AI75+AH76-AQ75,IF(A76&lt;'Données projet'!$A$62,$AF$205^A76,IF(A76='Données projet'!$A$62,'Données projet'!$B$62,AI75+AH76-AQ75)))</f>
        <v>402.64749999999992</v>
      </c>
      <c r="AJ76" s="13">
        <f>AI76*VLOOKUP('Données projet'!$B$10,Paramètres!$A$1:$I$89,3,0)*VLOOKUP('Données projet'!$B$10,Paramètres!$A$1:$I$89,5,0)</f>
        <v>364.31545799999992</v>
      </c>
      <c r="AK76" s="13">
        <f t="shared" si="89"/>
        <v>84.503300387559307</v>
      </c>
      <c r="AL76" s="20">
        <f t="shared" si="58"/>
        <v>781.69267085833235</v>
      </c>
      <c r="AM76" s="59">
        <f t="shared" si="59"/>
        <v>1059.6956747104186</v>
      </c>
      <c r="AN76" s="59">
        <f ca="1">AVERAGE(OFFSET($AM$3,0,0,'Données projet'!$E$10+1,1))-AVERAGE(OFFSET($H$3,0,0,'Données projet'!$E$10+1,1))</f>
        <v>725.60981534362895</v>
      </c>
      <c r="AO76" s="59">
        <f t="shared" si="90"/>
        <v>265.16078167969272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84.686328893651378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84.686328893651378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2.1300000000000026</v>
      </c>
      <c r="BD76" s="12">
        <f>IF('Données projet'!$A$88&gt;35,BD75+BC76-BL75,IF(A76&lt;'Données projet'!$A$88,$BA$205^A76,IF(A76='Données projet'!$A$88,'Données projet'!$B$88,BD75+BC76-BL75)))</f>
        <v>123.89000000000013</v>
      </c>
      <c r="BE76" s="13">
        <f>BD76*VLOOKUP('Données projet'!$B$11,Paramètres!$A$1:$I$89,3,0)*VLOOKUP('Données projet'!$B$11,Paramètres!$A$1:$I$89,5,0)</f>
        <v>142.72128000000015</v>
      </c>
      <c r="BF76" s="13">
        <f t="shared" si="91"/>
        <v>36.919712334258499</v>
      </c>
      <c r="BG76" s="20">
        <f t="shared" si="61"/>
        <v>312.87472831550048</v>
      </c>
      <c r="BH76" s="59">
        <f t="shared" si="62"/>
        <v>590.87773216758683</v>
      </c>
      <c r="BI76" s="59">
        <f ca="1">AVERAGE(OFFSET($BH$3,0,0,'Données projet'!$E$11+1,1))-AVERAGE(OFFSET($H$3,0,0,'Données projet'!$E$11+1,1))</f>
        <v>332.93090933713466</v>
      </c>
      <c r="BJ76" s="59">
        <f t="shared" si="92"/>
        <v>251.83579649532973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16.523431800133071</v>
      </c>
      <c r="BQ76" s="21">
        <f>EXP(-LN(2)/25)*BQ75+(1-EXP(-LN(2)/25))/(LN(2)/25)*Calculateur!BL76*Calculateur!BN76*VLOOKUP('Données projet'!$B$11,Paramètres!$A$1:$I$89,3,0)*0.475*44/12</f>
        <v>2.1111764572853779</v>
      </c>
      <c r="BR76" s="21">
        <f>EXP(-LN(2)/2)*BR75+(1-EXP(-LN(2)/2))/(LN(2)/2)*BL76*BO76*VLOOKUP('Données projet'!$B$11,Paramètres!$A$1:$I$89,3,0)*0.475*44/12</f>
        <v>9.0727693962584151E-10</v>
      </c>
      <c r="BS76" s="22">
        <f t="shared" si="63"/>
        <v>18.634608258325727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9.2624999999999993</v>
      </c>
      <c r="BY76" s="12">
        <f>IF('Données projet'!$A$114&gt;35,BY75+BX76-CG75,IF(A76&lt;'Données projet'!$A$114,$BV$205^A76,IF(A76='Données projet'!$A$114,'Données projet'!$B$114,BY75+BX76-CG75)))</f>
        <v>301.69749999999999</v>
      </c>
      <c r="BZ76" s="13">
        <f>BY76*VLOOKUP('Données projet'!$B$12,Paramètres!$A$1:$I$89,3,0)*VLOOKUP('Données projet'!$B$12,Paramètres!$A$1:$I$89,5,0)</f>
        <v>343.57311299999998</v>
      </c>
      <c r="CA76" s="13">
        <f t="shared" si="93"/>
        <v>80.237724421916568</v>
      </c>
      <c r="CB76" s="20">
        <f t="shared" si="64"/>
        <v>738.13720850983793</v>
      </c>
      <c r="CC76" s="59">
        <f t="shared" si="65"/>
        <v>1016.1402123619243</v>
      </c>
      <c r="CD76" s="59">
        <f ca="1">AVERAGE(OFFSET($CC$3,0,0,'Données projet'!$E$12+1,1))-AVERAGE(OFFSET($H$3,0,0,'Données projet'!$E$12+1,1))</f>
        <v>797.57191672067393</v>
      </c>
      <c r="CE76" s="59">
        <f t="shared" si="94"/>
        <v>238.59056544987126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66.464955343642927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66.464955343642927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>
        <f>CT76*VLOOKUP('Données projet'!$B$13,Paramètres!$A$1:$I$89,3,0)*VLOOKUP('Données projet'!$B$13,Paramètres!$A$1:$I$89,5,0)</f>
        <v>0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188.98184340090461</v>
      </c>
      <c r="CZ76" s="59">
        <f t="shared" si="96"/>
        <v>450.74604661797798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41.430020031589606</v>
      </c>
      <c r="DH76" s="21">
        <f>EXP(-LN(2)/2)*DH75+(1-EXP(-LN(2)/2))/(LN(2)/2)*DB76*DE76*VLOOKUP('Données projet'!$B$13,Paramètres!$A$1:$I$89,3,0)*0.475*44/12</f>
        <v>1.5160054845884713E-8</v>
      </c>
      <c r="DI76" s="22">
        <f t="shared" si="69"/>
        <v>41.430020046749661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369.00000000000011</v>
      </c>
      <c r="DP76" s="17">
        <f>DO76*VLOOKUP('Données projet'!$B$14,Paramètres!$A$1:$I$89,3,0)*VLOOKUP('Données projet'!$B$14,Paramètres!$A$1:$I$89,5,0)</f>
        <v>333.87120000000004</v>
      </c>
      <c r="DQ76" s="13">
        <f t="shared" si="97"/>
        <v>78.232360111376309</v>
      </c>
      <c r="DR76" s="20">
        <f t="shared" si="70"/>
        <v>717.74703386064709</v>
      </c>
      <c r="DS76" s="59">
        <f t="shared" si="71"/>
        <v>995.7500377127335</v>
      </c>
      <c r="DT76" s="59">
        <f ca="1">AVERAGE(OFFSET($DS$3,0,0,'Données projet'!$E$14+1,1))-AVERAGE(OFFSET($H$3,0,0,'Données projet'!$E$14+1,1))</f>
        <v>442.34161202733173</v>
      </c>
      <c r="DU76" s="59">
        <f t="shared" si="98"/>
        <v>622.90413492324399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4.5111472226295461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4.5111472226295461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9.2624999999999993</v>
      </c>
      <c r="EJ76" s="12">
        <f>IF('Données projet'!$A$192&gt;35,EJ75+EI76-ER75,IF(A76&lt;'Données projet'!$A$192,$EG$205^A76,IF(A76='Données projet'!$A$192,'Données projet'!$B$192,EJ75+EI76-ER75)))</f>
        <v>301.69749999999999</v>
      </c>
      <c r="EK76" s="17">
        <f>EJ76*VLOOKUP('Données projet'!$B$15,Paramètres!$A$1:$I$89,3,0)*VLOOKUP('Données projet'!$B$15,Paramètres!$A$1:$I$89,5,0)</f>
        <v>329.45366999999999</v>
      </c>
      <c r="EL76" s="13">
        <f t="shared" si="99"/>
        <v>77.317028103667624</v>
      </c>
      <c r="EM76" s="20">
        <f t="shared" si="73"/>
        <v>708.45896586388778</v>
      </c>
      <c r="EN76" s="59">
        <f t="shared" si="74"/>
        <v>986.46196971597419</v>
      </c>
      <c r="EO76" s="59">
        <f ca="1">AVERAGE(OFFSET($EN$3,0,0,'Données projet'!$E$15+1,1))-AVERAGE(OFFSET($H$3,0,0,'Données projet'!$E$15+1,1))</f>
        <v>767.9449852393318</v>
      </c>
      <c r="EP76" s="59">
        <f t="shared" si="100"/>
        <v>230.95605490295961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63.733518822671293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63.733518822671293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65.819001050569014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3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11</v>
      </c>
      <c r="H77" s="66">
        <f t="shared" si="56"/>
        <v>212.66666666666666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188.98184340090461</v>
      </c>
      <c r="T77" s="59">
        <f t="shared" si="88"/>
        <v>450.74604661797798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414.8</v>
      </c>
      <c r="AG77" s="12">
        <f>VLOOKUP(A77,'Données projet'!$A$61:$I$81,9,0)</f>
        <v>12.152499999999996</v>
      </c>
      <c r="AH77" s="12">
        <f t="array" ref="AH77">INDEX(AG:AG,MIN(IF(ISNUMBER(AG77:AG273),ROW(AG77:AG273),"")))</f>
        <v>12.152499999999996</v>
      </c>
      <c r="AI77" s="13">
        <f>IF('Données projet'!$A$62&gt;35,AI76+AH77-AQ76,IF(A77&lt;'Données projet'!$A$62,$AF$205^A77,IF(A77='Données projet'!$A$62,'Données projet'!$B$62,AI76+AH77-AQ76)))</f>
        <v>414.7999999999999</v>
      </c>
      <c r="AJ77" s="13">
        <f>AI77*VLOOKUP('Données projet'!$B$10,Paramètres!$A$1:$I$89,3,0)*VLOOKUP('Données projet'!$B$10,Paramètres!$A$1:$I$89,5,0)</f>
        <v>375.31103999999988</v>
      </c>
      <c r="AK77" s="13">
        <f t="shared" si="89"/>
        <v>86.752950168429535</v>
      </c>
      <c r="AL77" s="20">
        <f t="shared" si="58"/>
        <v>804.76144954334779</v>
      </c>
      <c r="AM77" s="59">
        <f t="shared" si="59"/>
        <v>1083.0304003384517</v>
      </c>
      <c r="AN77" s="59">
        <f ca="1">AVERAGE(OFFSET($AM$3,0,0,'Données projet'!$E$10+1,1))-AVERAGE(OFFSET($H$3,0,0,'Données projet'!$E$10+1,1))</f>
        <v>725.60981534362895</v>
      </c>
      <c r="AO77" s="59">
        <f t="shared" si="90"/>
        <v>265.16078167969272</v>
      </c>
      <c r="AP77" s="15">
        <f>IF(ISNA(VLOOKUP(A77,'Données projet'!$A$61:$I$81,3,0)),0,VLOOKUP(A77,'Données projet'!$A$61:$I$81,3,0))</f>
        <v>6</v>
      </c>
      <c r="AQ77" s="15">
        <f>IF(ISNA(VLOOKUP(A77,'Données projet'!$A$61:$I$81,4,0)),0,VLOOKUP(A77,'Données projet'!$A$61:$I$81,4,0))</f>
        <v>70.209999999999994</v>
      </c>
      <c r="AR77" s="16">
        <f>IF(ISNA(VLOOKUP(A77,'Données projet'!$A$61:$I$81,5,0)),0%,VLOOKUP(A77,'Données projet'!$A$61:$I$81,5,0)*VLOOKUP('Données projet'!$B$10,Paramètres!$A$1:$I$89,7,0))</f>
        <v>0.43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113.22291331241563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113.22291331241563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2.1300000000000026</v>
      </c>
      <c r="BD77" s="12">
        <f>IF('Données projet'!$A$88&gt;35,BD76+BC77-BL76,IF(A77&lt;'Données projet'!$A$88,$BA$205^A77,IF(A77='Données projet'!$A$88,'Données projet'!$B$88,BD76+BC77-BL76)))</f>
        <v>126.02000000000012</v>
      </c>
      <c r="BE77" s="13">
        <f>BD77*VLOOKUP('Données projet'!$B$11,Paramètres!$A$1:$I$89,3,0)*VLOOKUP('Données projet'!$B$11,Paramètres!$A$1:$I$89,5,0)</f>
        <v>145.17504000000014</v>
      </c>
      <c r="BF77" s="13">
        <f t="shared" si="91"/>
        <v>37.480018427995176</v>
      </c>
      <c r="BG77" s="20">
        <f t="shared" si="61"/>
        <v>318.12422676209184</v>
      </c>
      <c r="BH77" s="59">
        <f t="shared" si="62"/>
        <v>596.39317755719571</v>
      </c>
      <c r="BI77" s="59">
        <f ca="1">AVERAGE(OFFSET($BH$3,0,0,'Données projet'!$E$11+1,1))-AVERAGE(OFFSET($H$3,0,0,'Données projet'!$E$11+1,1))</f>
        <v>332.93090933713466</v>
      </c>
      <c r="BJ77" s="59">
        <f t="shared" si="92"/>
        <v>251.83579649532973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16.19941738083071</v>
      </c>
      <c r="BQ77" s="21">
        <f>EXP(-LN(2)/25)*BQ76+(1-EXP(-LN(2)/25))/(LN(2)/25)*Calculateur!BL77*Calculateur!BN77*VLOOKUP('Données projet'!$B$11,Paramètres!$A$1:$I$89,3,0)*0.475*44/12</f>
        <v>2.0534462260389645</v>
      </c>
      <c r="BR77" s="21">
        <f>EXP(-LN(2)/2)*BR76+(1-EXP(-LN(2)/2))/(LN(2)/2)*BL77*BO77*VLOOKUP('Données projet'!$B$11,Paramètres!$A$1:$I$89,3,0)*0.475*44/12</f>
        <v>6.4154167642361046E-10</v>
      </c>
      <c r="BS77" s="22">
        <f t="shared" si="63"/>
        <v>18.252863607511216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>
        <f>VLOOKUP(A77,'Données projet'!$A$113:$I$133,2,0)</f>
        <v>310.95999999999998</v>
      </c>
      <c r="BW77" s="12">
        <f>VLOOKUP(A77,'Données projet'!$A$113:$I$133,9,0)</f>
        <v>9.2624999999999993</v>
      </c>
      <c r="BX77" s="12">
        <f t="array" ref="BX77">INDEX(BW:BW,MIN(IF(ISNUMBER(BW77:BW273),ROW(BW77:BW273),"")))</f>
        <v>9.2624999999999993</v>
      </c>
      <c r="BY77" s="12">
        <f>IF('Données projet'!$A$114&gt;35,BY76+BX77-CG76,IF(A77&lt;'Données projet'!$A$114,$BV$205^A77,IF(A77='Données projet'!$A$114,'Données projet'!$B$114,BY76+BX77-CG76)))</f>
        <v>310.95999999999998</v>
      </c>
      <c r="BZ77" s="13">
        <f>BY77*VLOOKUP('Données projet'!$B$12,Paramètres!$A$1:$I$89,3,0)*VLOOKUP('Données projet'!$B$12,Paramètres!$A$1:$I$89,5,0)</f>
        <v>354.12124799999998</v>
      </c>
      <c r="CA77" s="13">
        <f t="shared" si="93"/>
        <v>82.410539980208313</v>
      </c>
      <c r="CB77" s="20">
        <f t="shared" si="64"/>
        <v>760.29286406552922</v>
      </c>
      <c r="CC77" s="59">
        <f t="shared" si="65"/>
        <v>1038.5618148606331</v>
      </c>
      <c r="CD77" s="59">
        <f ca="1">AVERAGE(OFFSET($CC$3,0,0,'Données projet'!$E$12+1,1))-AVERAGE(OFFSET($H$3,0,0,'Données projet'!$E$12+1,1))</f>
        <v>797.57191672067393</v>
      </c>
      <c r="CE77" s="59">
        <f t="shared" si="94"/>
        <v>238.59056544987126</v>
      </c>
      <c r="CF77" s="15">
        <f>IF(ISNA(VLOOKUP(A77,'Données projet'!$A$113:$I$133,3,0)),0,VLOOKUP(A77,'Données projet'!$A$113:$I$133,3,0))</f>
        <v>5</v>
      </c>
      <c r="CG77" s="15">
        <f>IF(ISNA(VLOOKUP(A77,'Données projet'!$A$113:$I$133,4,0)),0,VLOOKUP(A77,'Données projet'!$A$113:$I$133,4,0))</f>
        <v>47.4</v>
      </c>
      <c r="CH77" s="16">
        <f>IF(ISNA(VLOOKUP(A77,'Données projet'!$A$113:$I$133,5,0)),0%,VLOOKUP(A77,'Données projet'!$A$113:$I$133,5,0)*VLOOKUP('Données projet'!$B$12,Paramètres!$A$1:$I$89,7,0))</f>
        <v>0.43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90.820714966473389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90.820714966473389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>
        <f>CT77*VLOOKUP('Données projet'!$B$13,Paramètres!$A$1:$I$89,3,0)*VLOOKUP('Données projet'!$B$13,Paramètres!$A$1:$I$89,5,0)</f>
        <v>0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188.98184340090461</v>
      </c>
      <c r="CZ77" s="59">
        <f t="shared" si="96"/>
        <v>450.74604661797798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40.297113955115726</v>
      </c>
      <c r="DH77" s="21">
        <f>EXP(-LN(2)/2)*DH76+(1-EXP(-LN(2)/2))/(LN(2)/2)*DB77*DE77*VLOOKUP('Données projet'!$B$13,Paramètres!$A$1:$I$89,3,0)*0.475*44/12</f>
        <v>1.0719777584685062E-8</v>
      </c>
      <c r="DI77" s="22">
        <f t="shared" si="69"/>
        <v>40.297113965835507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369.00000000000011</v>
      </c>
      <c r="DP77" s="17">
        <f>DO77*VLOOKUP('Données projet'!$B$14,Paramètres!$A$1:$I$89,3,0)*VLOOKUP('Données projet'!$B$14,Paramètres!$A$1:$I$89,5,0)</f>
        <v>333.87120000000004</v>
      </c>
      <c r="DQ77" s="13">
        <f t="shared" si="97"/>
        <v>78.232360111376309</v>
      </c>
      <c r="DR77" s="20">
        <f t="shared" si="70"/>
        <v>717.74703386064709</v>
      </c>
      <c r="DS77" s="59">
        <f t="shared" si="71"/>
        <v>996.01598465575091</v>
      </c>
      <c r="DT77" s="59">
        <f ca="1">AVERAGE(OFFSET($DS$3,0,0,'Données projet'!$E$14+1,1))-AVERAGE(OFFSET($H$3,0,0,'Données projet'!$E$14+1,1))</f>
        <v>442.34161202733173</v>
      </c>
      <c r="DU77" s="59">
        <f t="shared" si="98"/>
        <v>622.90413492324399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4.4226863771218961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4.4226863771218961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>
        <f>VLOOKUP(A77,'Données projet'!$A$191:$I$211,2,0)</f>
        <v>310.95999999999998</v>
      </c>
      <c r="EH77" s="12">
        <f>VLOOKUP(A77,'Données projet'!$A$191:$I$211,9,0)</f>
        <v>9.2624999999999993</v>
      </c>
      <c r="EI77" s="12">
        <f t="array" ref="EI77">INDEX(EH:EH,MIN(IF(ISNUMBER(EH77:EH273),ROW(EH77:EH273),"")))</f>
        <v>9.2624999999999993</v>
      </c>
      <c r="EJ77" s="12">
        <f>IF('Données projet'!$A$192&gt;35,EJ76+EI77-ER76,IF(A77&lt;'Données projet'!$A$192,$EG$205^A77,IF(A77='Données projet'!$A$192,'Données projet'!$B$192,EJ76+EI77-ER76)))</f>
        <v>310.95999999999998</v>
      </c>
      <c r="EK77" s="17">
        <f>EJ77*VLOOKUP('Données projet'!$B$15,Paramètres!$A$1:$I$89,3,0)*VLOOKUP('Données projet'!$B$15,Paramètres!$A$1:$I$89,5,0)</f>
        <v>339.56831999999997</v>
      </c>
      <c r="EL77" s="13">
        <f t="shared" si="99"/>
        <v>79.410752007166707</v>
      </c>
      <c r="EM77" s="20">
        <f t="shared" si="73"/>
        <v>729.72188374581526</v>
      </c>
      <c r="EN77" s="59">
        <f t="shared" si="74"/>
        <v>1007.9908345409191</v>
      </c>
      <c r="EO77" s="59">
        <f ca="1">AVERAGE(OFFSET($EN$3,0,0,'Données projet'!$E$15+1,1))-AVERAGE(OFFSET($H$3,0,0,'Données projet'!$E$15+1,1))</f>
        <v>767.9449852393318</v>
      </c>
      <c r="EP77" s="59">
        <f t="shared" si="100"/>
        <v>230.95605490295961</v>
      </c>
      <c r="EQ77" s="15">
        <f>IF(ISNA(VLOOKUP(A77,'Données projet'!$A$191:$I$211,3,0)),0,VLOOKUP(A77,'Données projet'!$A$191:$I$211,3,0))</f>
        <v>5</v>
      </c>
      <c r="ER77" s="15">
        <f>IF(ISNA(VLOOKUP(A77,'Données projet'!$A$191:$I$211,4,0)),0,VLOOKUP(A77,'Données projet'!$A$191:$I$211,4,0))</f>
        <v>47.4</v>
      </c>
      <c r="ES77" s="16">
        <f>IF(ISNA(VLOOKUP(A77,'Données projet'!$A$191:$I$211,5,0)),0%,VLOOKUP(A77,'Données projet'!$A$191:$I$211,5,0)*VLOOKUP('Données projet'!$B$15,Paramètres!$A$1:$I$89,7,0))</f>
        <v>0.43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87.088356817166257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87.088356817166257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65.89153203502832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3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11</v>
      </c>
      <c r="H78" s="66">
        <f t="shared" si="56"/>
        <v>212.66666666666666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188.98184340090461</v>
      </c>
      <c r="T78" s="59">
        <f t="shared" si="88"/>
        <v>450.74604661797798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11.447499999999998</v>
      </c>
      <c r="AI78" s="13">
        <f>IF('Données projet'!$A$62&gt;35,AI77+AH78-AQ77,IF(A78&lt;'Données projet'!$A$62,$AF$205^A78,IF(A78='Données projet'!$A$62,'Données projet'!$B$62,AI77+AH78-AQ77)))</f>
        <v>356.03749999999991</v>
      </c>
      <c r="AJ78" s="13">
        <f>AI78*VLOOKUP('Données projet'!$B$10,Paramètres!$A$1:$I$89,3,0)*VLOOKUP('Données projet'!$B$10,Paramètres!$A$1:$I$89,5,0)</f>
        <v>322.14272999999991</v>
      </c>
      <c r="AK78" s="13">
        <f t="shared" si="89"/>
        <v>75.79901699557125</v>
      </c>
      <c r="AL78" s="20">
        <f t="shared" si="58"/>
        <v>693.08187601728639</v>
      </c>
      <c r="AM78" s="59">
        <f t="shared" si="59"/>
        <v>971.6121601705147</v>
      </c>
      <c r="AN78" s="59">
        <f ca="1">AVERAGE(OFFSET($AM$3,0,0,'Données projet'!$E$10+1,1))-AVERAGE(OFFSET($H$3,0,0,'Données projet'!$E$10+1,1))</f>
        <v>725.60981534362895</v>
      </c>
      <c r="AO78" s="59">
        <f t="shared" si="90"/>
        <v>265.16078167969272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111.00268104151725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111.00268104151725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2.1300000000000026</v>
      </c>
      <c r="BD78" s="12">
        <f>IF('Données projet'!$A$88&gt;35,BD77+BC78-BL77,IF(A78&lt;'Données projet'!$A$88,$BA$205^A78,IF(A78='Données projet'!$A$88,'Données projet'!$B$88,BD77+BC78-BL77)))</f>
        <v>128.15000000000012</v>
      </c>
      <c r="BE78" s="13">
        <f>BD78*VLOOKUP('Données projet'!$B$11,Paramètres!$A$1:$I$89,3,0)*VLOOKUP('Données projet'!$B$11,Paramètres!$A$1:$I$89,5,0)</f>
        <v>147.62880000000013</v>
      </c>
      <c r="BF78" s="13">
        <f t="shared" si="91"/>
        <v>38.039223202633323</v>
      </c>
      <c r="BG78" s="20">
        <f t="shared" si="61"/>
        <v>323.37180707791987</v>
      </c>
      <c r="BH78" s="59">
        <f t="shared" si="62"/>
        <v>601.90209123114812</v>
      </c>
      <c r="BI78" s="59">
        <f ca="1">AVERAGE(OFFSET($BH$3,0,0,'Données projet'!$E$11+1,1))-AVERAGE(OFFSET($H$3,0,0,'Données projet'!$E$11+1,1))</f>
        <v>332.93090933713466</v>
      </c>
      <c r="BJ78" s="59">
        <f t="shared" si="92"/>
        <v>251.83579649532973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15.881756686661587</v>
      </c>
      <c r="BQ78" s="21">
        <f>EXP(-LN(2)/25)*BQ77+(1-EXP(-LN(2)/25))/(LN(2)/25)*Calculateur!BL78*Calculateur!BN78*VLOOKUP('Données projet'!$B$11,Paramètres!$A$1:$I$89,3,0)*0.475*44/12</f>
        <v>1.9972946310018853</v>
      </c>
      <c r="BR78" s="21">
        <f>EXP(-LN(2)/2)*BR77+(1-EXP(-LN(2)/2))/(LN(2)/2)*BL78*BO78*VLOOKUP('Données projet'!$B$11,Paramètres!$A$1:$I$89,3,0)*0.475*44/12</f>
        <v>4.5363846981292081E-10</v>
      </c>
      <c r="BS78" s="22">
        <f t="shared" si="63"/>
        <v>17.87905131811711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9.1529999999999969</v>
      </c>
      <c r="BY78" s="12">
        <f>IF('Données projet'!$A$114&gt;35,BY77+BX78-CG77,IF(A78&lt;'Données projet'!$A$114,$BV$205^A78,IF(A78='Données projet'!$A$114,'Données projet'!$B$114,BY77+BX78-CG77)))</f>
        <v>272.71300000000002</v>
      </c>
      <c r="BZ78" s="13">
        <f>BY78*VLOOKUP('Données projet'!$B$12,Paramètres!$A$1:$I$89,3,0)*VLOOKUP('Données projet'!$B$12,Paramètres!$A$1:$I$89,5,0)</f>
        <v>310.56556440000003</v>
      </c>
      <c r="CA78" s="13">
        <f t="shared" si="93"/>
        <v>73.386929995901696</v>
      </c>
      <c r="CB78" s="20">
        <f t="shared" si="64"/>
        <v>668.71726107286213</v>
      </c>
      <c r="CC78" s="59">
        <f t="shared" si="65"/>
        <v>947.24754522609032</v>
      </c>
      <c r="CD78" s="59">
        <f ca="1">AVERAGE(OFFSET($CC$3,0,0,'Données projet'!$E$12+1,1))-AVERAGE(OFFSET($H$3,0,0,'Données projet'!$E$12+1,1))</f>
        <v>797.57191672067393</v>
      </c>
      <c r="CE78" s="59">
        <f t="shared" si="94"/>
        <v>238.59056544987126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89.039776141147158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89.039776141147158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>
        <f>CT78*VLOOKUP('Données projet'!$B$13,Paramètres!$A$1:$I$89,3,0)*VLOOKUP('Données projet'!$B$13,Paramètres!$A$1:$I$89,5,0)</f>
        <v>0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188.98184340090461</v>
      </c>
      <c r="CZ78" s="59">
        <f t="shared" si="96"/>
        <v>450.74604661797798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39.195187254879961</v>
      </c>
      <c r="DH78" s="21">
        <f>EXP(-LN(2)/2)*DH77+(1-EXP(-LN(2)/2))/(LN(2)/2)*DB78*DE78*VLOOKUP('Données projet'!$B$13,Paramètres!$A$1:$I$89,3,0)*0.475*44/12</f>
        <v>7.5800274229423567E-9</v>
      </c>
      <c r="DI78" s="22">
        <f t="shared" si="69"/>
        <v>39.195187262459989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369.00000000000011</v>
      </c>
      <c r="DP78" s="17">
        <f>DO78*VLOOKUP('Données projet'!$B$14,Paramètres!$A$1:$I$89,3,0)*VLOOKUP('Données projet'!$B$14,Paramètres!$A$1:$I$89,5,0)</f>
        <v>333.87120000000004</v>
      </c>
      <c r="DQ78" s="13">
        <f t="shared" si="97"/>
        <v>78.232360111376309</v>
      </c>
      <c r="DR78" s="20">
        <f t="shared" si="70"/>
        <v>717.74703386064709</v>
      </c>
      <c r="DS78" s="59">
        <f t="shared" si="71"/>
        <v>996.2773180138754</v>
      </c>
      <c r="DT78" s="59">
        <f ca="1">AVERAGE(OFFSET($DS$3,0,0,'Données projet'!$E$14+1,1))-AVERAGE(OFFSET($H$3,0,0,'Données projet'!$E$14+1,1))</f>
        <v>442.34161202733173</v>
      </c>
      <c r="DU78" s="59">
        <f t="shared" si="98"/>
        <v>622.90413492324399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4.3359601948388624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4.3359601948388624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9.1529999999999969</v>
      </c>
      <c r="EJ78" s="12">
        <f>IF('Données projet'!$A$192&gt;35,EJ77+EI78-ER77,IF(A78&lt;'Données projet'!$A$192,$EG$205^A78,IF(A78='Données projet'!$A$192,'Données projet'!$B$192,EJ77+EI78-ER77)))</f>
        <v>272.71300000000002</v>
      </c>
      <c r="EK78" s="17">
        <f>EJ78*VLOOKUP('Données projet'!$B$15,Paramètres!$A$1:$I$89,3,0)*VLOOKUP('Données projet'!$B$15,Paramètres!$A$1:$I$89,5,0)</f>
        <v>297.80259599999999</v>
      </c>
      <c r="EL78" s="13">
        <f t="shared" si="99"/>
        <v>70.715606278898662</v>
      </c>
      <c r="EM78" s="20">
        <f t="shared" si="73"/>
        <v>641.83586896908184</v>
      </c>
      <c r="EN78" s="59">
        <f t="shared" si="74"/>
        <v>920.36615312231015</v>
      </c>
      <c r="EO78" s="59">
        <f ca="1">AVERAGE(OFFSET($EN$3,0,0,'Données projet'!$E$15+1,1))-AVERAGE(OFFSET($H$3,0,0,'Données projet'!$E$15+1,1))</f>
        <v>767.9449852393318</v>
      </c>
      <c r="EP78" s="59">
        <f t="shared" si="100"/>
        <v>230.95605490295961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85.380607258634257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85.380607258634257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65.962804769062245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3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11</v>
      </c>
      <c r="H79" s="66">
        <f t="shared" si="56"/>
        <v>212.66666666666666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188.98184340090461</v>
      </c>
      <c r="T79" s="59">
        <f t="shared" si="88"/>
        <v>450.74604661797798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11.447499999999998</v>
      </c>
      <c r="AI79" s="13">
        <f>IF('Données projet'!$A$62&gt;35,AI78+AH79-AQ78,IF(A79&lt;'Données projet'!$A$62,$AF$205^A79,IF(A79='Données projet'!$A$62,'Données projet'!$B$62,AI78+AH79-AQ78)))</f>
        <v>367.4849999999999</v>
      </c>
      <c r="AJ79" s="13">
        <f>AI79*VLOOKUP('Données projet'!$B$10,Paramètres!$A$1:$I$89,3,0)*VLOOKUP('Données projet'!$B$10,Paramètres!$A$1:$I$89,5,0)</f>
        <v>332.50042799999989</v>
      </c>
      <c r="AK79" s="13">
        <f t="shared" si="89"/>
        <v>77.948481725116395</v>
      </c>
      <c r="AL79" s="20">
        <f t="shared" si="58"/>
        <v>714.8651844379109</v>
      </c>
      <c r="AM79" s="59">
        <f t="shared" si="59"/>
        <v>993.65226839975389</v>
      </c>
      <c r="AN79" s="59">
        <f ca="1">AVERAGE(OFFSET($AM$3,0,0,'Données projet'!$E$10+1,1))-AVERAGE(OFFSET($H$3,0,0,'Données projet'!$E$10+1,1))</f>
        <v>725.60981534362895</v>
      </c>
      <c r="AO79" s="59">
        <f t="shared" si="90"/>
        <v>265.16078167969272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108.82598617124323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108.82598617124323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2.1300000000000026</v>
      </c>
      <c r="BD79" s="12">
        <f>IF('Données projet'!$A$88&gt;35,BD78+BC79-BL78,IF(A79&lt;'Données projet'!$A$88,$BA$205^A79,IF(A79='Données projet'!$A$88,'Données projet'!$B$88,BD78+BC79-BL78)))</f>
        <v>130.28000000000011</v>
      </c>
      <c r="BE79" s="13">
        <f>BD79*VLOOKUP('Données projet'!$B$11,Paramètres!$A$1:$I$89,3,0)*VLOOKUP('Données projet'!$B$11,Paramètres!$A$1:$I$89,5,0)</f>
        <v>150.08256000000011</v>
      </c>
      <c r="BF79" s="13">
        <f t="shared" si="91"/>
        <v>38.597347076221901</v>
      </c>
      <c r="BG79" s="20">
        <f t="shared" si="61"/>
        <v>328.61750482442</v>
      </c>
      <c r="BH79" s="59">
        <f t="shared" si="62"/>
        <v>607.40458878626305</v>
      </c>
      <c r="BI79" s="59">
        <f ca="1">AVERAGE(OFFSET($BH$3,0,0,'Données projet'!$E$11+1,1))-AVERAGE(OFFSET($H$3,0,0,'Données projet'!$E$11+1,1))</f>
        <v>332.93090933713466</v>
      </c>
      <c r="BJ79" s="59">
        <f t="shared" si="92"/>
        <v>251.83579649532973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15.570325124951228</v>
      </c>
      <c r="BQ79" s="21">
        <f>EXP(-LN(2)/25)*BQ78+(1-EXP(-LN(2)/25))/(LN(2)/25)*Calculateur!BL79*Calculateur!BN79*VLOOKUP('Données projet'!$B$11,Paramètres!$A$1:$I$89,3,0)*0.475*44/12</f>
        <v>1.9426785042839789</v>
      </c>
      <c r="BR79" s="21">
        <f>EXP(-LN(2)/2)*BR78+(1-EXP(-LN(2)/2))/(LN(2)/2)*BL79*BO79*VLOOKUP('Données projet'!$B$11,Paramètres!$A$1:$I$89,3,0)*0.475*44/12</f>
        <v>3.2077083821180528E-10</v>
      </c>
      <c r="BS79" s="22">
        <f t="shared" si="63"/>
        <v>17.513003629555978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9.1529999999999969</v>
      </c>
      <c r="BY79" s="12">
        <f>IF('Données projet'!$A$114&gt;35,BY78+BX79-CG78,IF(A79&lt;'Données projet'!$A$114,$BV$205^A79,IF(A79='Données projet'!$A$114,'Données projet'!$B$114,BY78+BX79-CG78)))</f>
        <v>281.86600000000004</v>
      </c>
      <c r="BZ79" s="13">
        <f>BY79*VLOOKUP('Données projet'!$B$12,Paramètres!$A$1:$I$89,3,0)*VLOOKUP('Données projet'!$B$12,Paramètres!$A$1:$I$89,5,0)</f>
        <v>320.98900080000004</v>
      </c>
      <c r="CA79" s="13">
        <f t="shared" si="93"/>
        <v>75.55909754093075</v>
      </c>
      <c r="CB79" s="20">
        <f t="shared" si="64"/>
        <v>690.65460461045438</v>
      </c>
      <c r="CC79" s="59">
        <f t="shared" si="65"/>
        <v>969.44168857229738</v>
      </c>
      <c r="CD79" s="59">
        <f ca="1">AVERAGE(OFFSET($CC$3,0,0,'Données projet'!$E$12+1,1))-AVERAGE(OFFSET($H$3,0,0,'Données projet'!$E$12+1,1))</f>
        <v>797.57191672067393</v>
      </c>
      <c r="CE79" s="59">
        <f t="shared" si="94"/>
        <v>238.59056544987126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87.293760439920149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87.293760439920149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>
        <f>CT79*VLOOKUP('Données projet'!$B$13,Paramètres!$A$1:$I$89,3,0)*VLOOKUP('Données projet'!$B$13,Paramètres!$A$1:$I$89,5,0)</f>
        <v>0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188.98184340090461</v>
      </c>
      <c r="CZ79" s="59">
        <f t="shared" si="96"/>
        <v>450.74604661797798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38.123392798209956</v>
      </c>
      <c r="DH79" s="21">
        <f>EXP(-LN(2)/2)*DH78+(1-EXP(-LN(2)/2))/(LN(2)/2)*DB79*DE79*VLOOKUP('Données projet'!$B$13,Paramètres!$A$1:$I$89,3,0)*0.475*44/12</f>
        <v>5.3598887923425308E-9</v>
      </c>
      <c r="DI79" s="22">
        <f t="shared" si="69"/>
        <v>38.123392803569843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369.00000000000011</v>
      </c>
      <c r="DP79" s="17">
        <f>DO79*VLOOKUP('Données projet'!$B$14,Paramètres!$A$1:$I$89,3,0)*VLOOKUP('Données projet'!$B$14,Paramètres!$A$1:$I$89,5,0)</f>
        <v>333.87120000000004</v>
      </c>
      <c r="DQ79" s="13">
        <f t="shared" si="97"/>
        <v>78.232360111376309</v>
      </c>
      <c r="DR79" s="20">
        <f t="shared" si="70"/>
        <v>717.74703386064709</v>
      </c>
      <c r="DS79" s="59">
        <f t="shared" si="71"/>
        <v>996.53411782249009</v>
      </c>
      <c r="DT79" s="59">
        <f ca="1">AVERAGE(OFFSET($DS$3,0,0,'Données projet'!$E$14+1,1))-AVERAGE(OFFSET($H$3,0,0,'Données projet'!$E$14+1,1))</f>
        <v>442.34161202733173</v>
      </c>
      <c r="DU79" s="59">
        <f t="shared" si="98"/>
        <v>622.90413492324399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4.2509346600926516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4.2509346600926516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9.1529999999999969</v>
      </c>
      <c r="EJ79" s="12">
        <f>IF('Données projet'!$A$192&gt;35,EJ78+EI79-ER78,IF(A79&lt;'Données projet'!$A$192,$EG$205^A79,IF(A79='Données projet'!$A$192,'Données projet'!$B$192,EJ78+EI79-ER78)))</f>
        <v>281.86600000000004</v>
      </c>
      <c r="EK79" s="17">
        <f>EJ79*VLOOKUP('Données projet'!$B$15,Paramètres!$A$1:$I$89,3,0)*VLOOKUP('Données projet'!$B$15,Paramètres!$A$1:$I$89,5,0)</f>
        <v>307.79767200000003</v>
      </c>
      <c r="EL79" s="13">
        <f t="shared" si="99"/>
        <v>72.808705757166109</v>
      </c>
      <c r="EM79" s="20">
        <f t="shared" si="73"/>
        <v>662.88944126039769</v>
      </c>
      <c r="EN79" s="59">
        <f t="shared" si="74"/>
        <v>941.67652522224068</v>
      </c>
      <c r="EO79" s="59">
        <f ca="1">AVERAGE(OFFSET($EN$3,0,0,'Données projet'!$E$15+1,1))-AVERAGE(OFFSET($H$3,0,0,'Données projet'!$E$15+1,1))</f>
        <v>767.9449852393318</v>
      </c>
      <c r="EP79" s="59">
        <f t="shared" si="100"/>
        <v>230.95605490295961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83.706345627320687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83.706345627320687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66.032841080502635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3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11</v>
      </c>
      <c r="H80" s="66">
        <f t="shared" si="56"/>
        <v>212.66666666666666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188.98184340090461</v>
      </c>
      <c r="T80" s="59">
        <f t="shared" si="88"/>
        <v>450.74604661797798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11.447499999999998</v>
      </c>
      <c r="AI80" s="13">
        <f>IF('Données projet'!$A$62&gt;35,AI79+AH80-AQ79,IF(A80&lt;'Données projet'!$A$62,$AF$205^A80,IF(A80='Données projet'!$A$62,'Données projet'!$B$62,AI79+AH80-AQ79)))</f>
        <v>378.93249999999989</v>
      </c>
      <c r="AJ80" s="13">
        <f>AI80*VLOOKUP('Données projet'!$B$10,Paramètres!$A$1:$I$89,3,0)*VLOOKUP('Données projet'!$B$10,Paramètres!$A$1:$I$89,5,0)</f>
        <v>342.85812599999991</v>
      </c>
      <c r="AK80" s="13">
        <f t="shared" si="89"/>
        <v>80.090165347018754</v>
      </c>
      <c r="AL80" s="20">
        <f t="shared" si="58"/>
        <v>736.63494076272411</v>
      </c>
      <c r="AM80" s="59">
        <f t="shared" si="59"/>
        <v>1015.6743696306208</v>
      </c>
      <c r="AN80" s="59">
        <f ca="1">AVERAGE(OFFSET($AM$3,0,0,'Données projet'!$E$10+1,1))-AVERAGE(OFFSET($H$3,0,0,'Données projet'!$E$10+1,1))</f>
        <v>725.60981534362895</v>
      </c>
      <c r="AO80" s="59">
        <f t="shared" si="90"/>
        <v>265.16078167969272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106.6919749597225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106.6919749597225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2.1300000000000026</v>
      </c>
      <c r="BD80" s="12">
        <f>IF('Données projet'!$A$88&gt;35,BD79+BC80-BL79,IF(A80&lt;'Données projet'!$A$88,$BA$205^A80,IF(A80='Données projet'!$A$88,'Données projet'!$B$88,BD79+BC80-BL79)))</f>
        <v>132.41000000000011</v>
      </c>
      <c r="BE80" s="13">
        <f>BD80*VLOOKUP('Données projet'!$B$11,Paramètres!$A$1:$I$89,3,0)*VLOOKUP('Données projet'!$B$11,Paramètres!$A$1:$I$89,5,0)</f>
        <v>152.53632000000013</v>
      </c>
      <c r="BF80" s="13">
        <f t="shared" si="91"/>
        <v>39.15440976088491</v>
      </c>
      <c r="BG80" s="20">
        <f t="shared" si="61"/>
        <v>333.86135433354144</v>
      </c>
      <c r="BH80" s="59">
        <f t="shared" si="62"/>
        <v>612.90078320143812</v>
      </c>
      <c r="BI80" s="59">
        <f ca="1">AVERAGE(OFFSET($BH$3,0,0,'Données projet'!$E$11+1,1))-AVERAGE(OFFSET($H$3,0,0,'Données projet'!$E$11+1,1))</f>
        <v>332.93090933713466</v>
      </c>
      <c r="BJ80" s="59">
        <f t="shared" si="92"/>
        <v>251.83579649532973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15.265000546211514</v>
      </c>
      <c r="BQ80" s="21">
        <f>EXP(-LN(2)/25)*BQ79+(1-EXP(-LN(2)/25))/(LN(2)/25)*Calculateur!BL80*Calculateur!BN80*VLOOKUP('Données projet'!$B$11,Paramètres!$A$1:$I$89,3,0)*0.475*44/12</f>
        <v>1.889555858423311</v>
      </c>
      <c r="BR80" s="21">
        <f>EXP(-LN(2)/2)*BR79+(1-EXP(-LN(2)/2))/(LN(2)/2)*BL80*BO80*VLOOKUP('Données projet'!$B$11,Paramètres!$A$1:$I$89,3,0)*0.475*44/12</f>
        <v>2.2681923490646045E-10</v>
      </c>
      <c r="BS80" s="22">
        <f t="shared" si="63"/>
        <v>17.154556404861644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9.1529999999999969</v>
      </c>
      <c r="BY80" s="12">
        <f>IF('Données projet'!$A$114&gt;35,BY79+BX80-CG79,IF(A80&lt;'Données projet'!$A$114,$BV$205^A80,IF(A80='Données projet'!$A$114,'Données projet'!$B$114,BY79+BX80-CG79)))</f>
        <v>291.01900000000006</v>
      </c>
      <c r="BZ80" s="13">
        <f>BY80*VLOOKUP('Données projet'!$B$12,Paramètres!$A$1:$I$89,3,0)*VLOOKUP('Données projet'!$B$12,Paramètres!$A$1:$I$89,5,0)</f>
        <v>331.41243720000006</v>
      </c>
      <c r="CA80" s="13">
        <f t="shared" si="93"/>
        <v>77.723068609593511</v>
      </c>
      <c r="CB80" s="20">
        <f t="shared" si="64"/>
        <v>712.57767261837535</v>
      </c>
      <c r="CC80" s="59">
        <f t="shared" si="65"/>
        <v>991.61710148627208</v>
      </c>
      <c r="CD80" s="59">
        <f ca="1">AVERAGE(OFFSET($CC$3,0,0,'Données projet'!$E$12+1,1))-AVERAGE(OFFSET($H$3,0,0,'Données projet'!$E$12+1,1))</f>
        <v>797.57191672067393</v>
      </c>
      <c r="CE80" s="59">
        <f t="shared" si="94"/>
        <v>238.59056544987126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85.581983041629783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85.581983041629783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>
        <f>CT80*VLOOKUP('Données projet'!$B$13,Paramètres!$A$1:$I$89,3,0)*VLOOKUP('Données projet'!$B$13,Paramètres!$A$1:$I$89,5,0)</f>
        <v>0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188.98184340090461</v>
      </c>
      <c r="CZ80" s="59">
        <f t="shared" si="96"/>
        <v>450.74604661797798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37.080906617320807</v>
      </c>
      <c r="DH80" s="21">
        <f>EXP(-LN(2)/2)*DH79+(1-EXP(-LN(2)/2))/(LN(2)/2)*DB80*DE80*VLOOKUP('Données projet'!$B$13,Paramètres!$A$1:$I$89,3,0)*0.475*44/12</f>
        <v>3.7900137114711784E-9</v>
      </c>
      <c r="DI80" s="22">
        <f t="shared" si="69"/>
        <v>37.08090662111082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369.00000000000011</v>
      </c>
      <c r="DP80" s="17">
        <f>DO80*VLOOKUP('Données projet'!$B$14,Paramètres!$A$1:$I$89,3,0)*VLOOKUP('Données projet'!$B$14,Paramètres!$A$1:$I$89,5,0)</f>
        <v>333.87120000000004</v>
      </c>
      <c r="DQ80" s="13">
        <f t="shared" si="97"/>
        <v>78.232360111376309</v>
      </c>
      <c r="DR80" s="20">
        <f t="shared" si="70"/>
        <v>717.74703386064709</v>
      </c>
      <c r="DS80" s="59">
        <f t="shared" si="71"/>
        <v>996.78646272854382</v>
      </c>
      <c r="DT80" s="59">
        <f ca="1">AVERAGE(OFFSET($DS$3,0,0,'Données projet'!$E$14+1,1))-AVERAGE(OFFSET($H$3,0,0,'Données projet'!$E$14+1,1))</f>
        <v>442.34161202733173</v>
      </c>
      <c r="DU80" s="59">
        <f t="shared" si="98"/>
        <v>622.90413492324399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4.1675764242223581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4.1675764242223581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9.1529999999999969</v>
      </c>
      <c r="EJ80" s="12">
        <f>IF('Données projet'!$A$192&gt;35,EJ79+EI80-ER79,IF(A80&lt;'Données projet'!$A$192,$EG$205^A80,IF(A80='Données projet'!$A$192,'Données projet'!$B$192,EJ79+EI80-ER79)))</f>
        <v>291.01900000000006</v>
      </c>
      <c r="EK80" s="17">
        <f>EJ80*VLOOKUP('Données projet'!$B$15,Paramètres!$A$1:$I$89,3,0)*VLOOKUP('Données projet'!$B$15,Paramètres!$A$1:$I$89,5,0)</f>
        <v>317.79274800000007</v>
      </c>
      <c r="EL80" s="13">
        <f t="shared" si="99"/>
        <v>74.893907115214873</v>
      </c>
      <c r="EM80" s="20">
        <f t="shared" si="73"/>
        <v>683.92925765899929</v>
      </c>
      <c r="EN80" s="59">
        <f t="shared" si="74"/>
        <v>962.96868652689602</v>
      </c>
      <c r="EO80" s="59">
        <f ca="1">AVERAGE(OFFSET($EN$3,0,0,'Données projet'!$E$15+1,1))-AVERAGE(OFFSET($H$3,0,0,'Données projet'!$E$15+1,1))</f>
        <v>767.9449852393318</v>
      </c>
      <c r="EP80" s="59">
        <f t="shared" si="100"/>
        <v>230.95605490295961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82.06491524539841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82.06491524539841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66.101662418517293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3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11</v>
      </c>
      <c r="H81" s="66">
        <f t="shared" si="56"/>
        <v>212.66666666666666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188.98184340090461</v>
      </c>
      <c r="T81" s="59">
        <f t="shared" si="88"/>
        <v>450.74604661797798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11.447499999999998</v>
      </c>
      <c r="AI81" s="13">
        <f>IF('Données projet'!$A$62&gt;35,AI80+AH81-AQ80,IF(A81&lt;'Données projet'!$A$62,$AF$205^A81,IF(A81='Données projet'!$A$62,'Données projet'!$B$62,AI80+AH81-AQ80)))</f>
        <v>390.37999999999988</v>
      </c>
      <c r="AJ81" s="13">
        <f>AI81*VLOOKUP('Données projet'!$B$10,Paramètres!$A$1:$I$89,3,0)*VLOOKUP('Données projet'!$B$10,Paramètres!$A$1:$I$89,5,0)</f>
        <v>353.21582399999988</v>
      </c>
      <c r="AK81" s="13">
        <f t="shared" si="89"/>
        <v>82.224329909177527</v>
      </c>
      <c r="AL81" s="20">
        <f t="shared" si="58"/>
        <v>758.39160139181729</v>
      </c>
      <c r="AM81" s="59">
        <f t="shared" si="59"/>
        <v>1037.6789975458064</v>
      </c>
      <c r="AN81" s="59">
        <f ca="1">AVERAGE(OFFSET($AM$3,0,0,'Données projet'!$E$10+1,1))-AVERAGE(OFFSET($H$3,0,0,'Données projet'!$E$10+1,1))</f>
        <v>725.60981534362895</v>
      </c>
      <c r="AO81" s="59">
        <f t="shared" si="90"/>
        <v>265.16078167969272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104.59981040644138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104.59981040644138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2.1300000000000026</v>
      </c>
      <c r="BD81" s="12">
        <f>IF('Données projet'!$A$88&gt;35,BD80+BC81-BL80,IF(A81&lt;'Données projet'!$A$88,$BA$205^A81,IF(A81='Données projet'!$A$88,'Données projet'!$B$88,BD80+BC81-BL80)))</f>
        <v>134.54000000000011</v>
      </c>
      <c r="BE81" s="13">
        <f>BD81*VLOOKUP('Données projet'!$B$11,Paramètres!$A$1:$I$89,3,0)*VLOOKUP('Données projet'!$B$11,Paramètres!$A$1:$I$89,5,0)</f>
        <v>154.99008000000009</v>
      </c>
      <c r="BF81" s="13">
        <f t="shared" si="91"/>
        <v>39.710430298183681</v>
      </c>
      <c r="BG81" s="20">
        <f t="shared" si="61"/>
        <v>339.10338876933668</v>
      </c>
      <c r="BH81" s="59">
        <f t="shared" si="62"/>
        <v>618.39078492332578</v>
      </c>
      <c r="BI81" s="59">
        <f ca="1">AVERAGE(OFFSET($BH$3,0,0,'Données projet'!$E$11+1,1))-AVERAGE(OFFSET($H$3,0,0,'Données projet'!$E$11+1,1))</f>
        <v>332.93090933713466</v>
      </c>
      <c r="BJ81" s="59">
        <f t="shared" si="92"/>
        <v>251.83579649532973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14.965663196231281</v>
      </c>
      <c r="BQ81" s="21">
        <f>EXP(-LN(2)/25)*BQ80+(1-EXP(-LN(2)/25))/(LN(2)/25)*Calculateur!BL81*Calculateur!BN81*VLOOKUP('Données projet'!$B$11,Paramètres!$A$1:$I$89,3,0)*0.475*44/12</f>
        <v>1.8378858541073015</v>
      </c>
      <c r="BR81" s="21">
        <f>EXP(-LN(2)/2)*BR80+(1-EXP(-LN(2)/2))/(LN(2)/2)*BL81*BO81*VLOOKUP('Données projet'!$B$11,Paramètres!$A$1:$I$89,3,0)*0.475*44/12</f>
        <v>1.6038541910590267E-10</v>
      </c>
      <c r="BS81" s="22">
        <f t="shared" si="63"/>
        <v>16.803549050498965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9.1529999999999969</v>
      </c>
      <c r="BY81" s="12">
        <f>IF('Données projet'!$A$114&gt;35,BY80+BX81-CG80,IF(A81&lt;'Données projet'!$A$114,$BV$205^A81,IF(A81='Données projet'!$A$114,'Données projet'!$B$114,BY80+BX81-CG80)))</f>
        <v>300.17200000000008</v>
      </c>
      <c r="BZ81" s="13">
        <f>BY81*VLOOKUP('Données projet'!$B$12,Paramètres!$A$1:$I$89,3,0)*VLOOKUP('Données projet'!$B$12,Paramètres!$A$1:$I$89,5,0)</f>
        <v>341.83587360000013</v>
      </c>
      <c r="CA81" s="13">
        <f t="shared" si="93"/>
        <v>79.8791305707703</v>
      </c>
      <c r="CB81" s="20">
        <f t="shared" si="64"/>
        <v>734.48696559742518</v>
      </c>
      <c r="CC81" s="59">
        <f t="shared" si="65"/>
        <v>1013.7743617514143</v>
      </c>
      <c r="CD81" s="59">
        <f ca="1">AVERAGE(OFFSET($CC$3,0,0,'Données projet'!$E$12+1,1))-AVERAGE(OFFSET($H$3,0,0,'Données projet'!$E$12+1,1))</f>
        <v>797.57191672067393</v>
      </c>
      <c r="CE81" s="59">
        <f t="shared" si="94"/>
        <v>238.59056544987126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83.903772554038767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83.903772554038767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>
        <f>CT81*VLOOKUP('Données projet'!$B$13,Paramètres!$A$1:$I$89,3,0)*VLOOKUP('Données projet'!$B$13,Paramètres!$A$1:$I$89,5,0)</f>
        <v>0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188.98184340090461</v>
      </c>
      <c r="CZ81" s="59">
        <f t="shared" si="96"/>
        <v>450.74604661797798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36.066927275870043</v>
      </c>
      <c r="DH81" s="21">
        <f>EXP(-LN(2)/2)*DH80+(1-EXP(-LN(2)/2))/(LN(2)/2)*DB81*DE81*VLOOKUP('Données projet'!$B$13,Paramètres!$A$1:$I$89,3,0)*0.475*44/12</f>
        <v>2.6799443961712654E-9</v>
      </c>
      <c r="DI81" s="22">
        <f t="shared" si="69"/>
        <v>36.06692727854999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369.00000000000011</v>
      </c>
      <c r="DP81" s="17">
        <f>DO81*VLOOKUP('Données projet'!$B$14,Paramètres!$A$1:$I$89,3,0)*VLOOKUP('Données projet'!$B$14,Paramètres!$A$1:$I$89,5,0)</f>
        <v>333.87120000000004</v>
      </c>
      <c r="DQ81" s="13">
        <f t="shared" si="97"/>
        <v>78.232360111376309</v>
      </c>
      <c r="DR81" s="20">
        <f t="shared" si="70"/>
        <v>717.74703386064709</v>
      </c>
      <c r="DS81" s="59">
        <f t="shared" si="71"/>
        <v>997.0344300146362</v>
      </c>
      <c r="DT81" s="59">
        <f ca="1">AVERAGE(OFFSET($DS$3,0,0,'Données projet'!$E$14+1,1))-AVERAGE(OFFSET($H$3,0,0,'Données projet'!$E$14+1,1))</f>
        <v>442.34161202733173</v>
      </c>
      <c r="DU81" s="59">
        <f t="shared" si="98"/>
        <v>622.90413492324399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4.085852792513978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4.085852792513978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9.1529999999999969</v>
      </c>
      <c r="EJ81" s="12">
        <f>IF('Données projet'!$A$192&gt;35,EJ80+EI81-ER80,IF(A81&lt;'Données projet'!$A$192,$EG$205^A81,IF(A81='Données projet'!$A$192,'Données projet'!$B$192,EJ80+EI81-ER80)))</f>
        <v>300.17200000000008</v>
      </c>
      <c r="EK81" s="17">
        <f>EJ81*VLOOKUP('Données projet'!$B$15,Paramètres!$A$1:$I$89,3,0)*VLOOKUP('Données projet'!$B$15,Paramètres!$A$1:$I$89,5,0)</f>
        <v>327.78782400000006</v>
      </c>
      <c r="EL81" s="13">
        <f t="shared" si="99"/>
        <v>76.971487261543487</v>
      </c>
      <c r="EM81" s="20">
        <f t="shared" si="73"/>
        <v>704.95580044718827</v>
      </c>
      <c r="EN81" s="59">
        <f t="shared" si="74"/>
        <v>984.24319660117726</v>
      </c>
      <c r="EO81" s="59">
        <f ca="1">AVERAGE(OFFSET($EN$3,0,0,'Données projet'!$E$15+1,1))-AVERAGE(OFFSET($H$3,0,0,'Données projet'!$E$15+1,1))</f>
        <v>767.9449852393318</v>
      </c>
      <c r="EP81" s="59">
        <f t="shared" si="100"/>
        <v>230.95605490295961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80.455672312091963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80.455672312091963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66.169289860178836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3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11</v>
      </c>
      <c r="H82" s="66">
        <f t="shared" si="56"/>
        <v>212.66666666666666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188.98184340090461</v>
      </c>
      <c r="T82" s="59">
        <f t="shared" si="88"/>
        <v>450.74604661797798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11.447499999999998</v>
      </c>
      <c r="AI82" s="13">
        <f>IF('Données projet'!$A$62&gt;35,AI81+AH82-AQ81,IF(A82&lt;'Données projet'!$A$62,$AF$205^A82,IF(A82='Données projet'!$A$62,'Données projet'!$B$62,AI81+AH82-AQ81)))</f>
        <v>401.82749999999987</v>
      </c>
      <c r="AJ82" s="13">
        <f>AI82*VLOOKUP('Données projet'!$B$10,Paramètres!$A$1:$I$89,3,0)*VLOOKUP('Données projet'!$B$10,Paramètres!$A$1:$I$89,5,0)</f>
        <v>363.57352199999985</v>
      </c>
      <c r="AK82" s="13">
        <f t="shared" si="89"/>
        <v>84.351221217134508</v>
      </c>
      <c r="AL82" s="20">
        <f t="shared" si="58"/>
        <v>780.135594436509</v>
      </c>
      <c r="AM82" s="59">
        <f t="shared" si="59"/>
        <v>1059.6666561985485</v>
      </c>
      <c r="AN82" s="59">
        <f ca="1">AVERAGE(OFFSET($AM$3,0,0,'Données projet'!$E$10+1,1))-AVERAGE(OFFSET($H$3,0,0,'Données projet'!$E$10+1,1))</f>
        <v>725.60981534362895</v>
      </c>
      <c r="AO82" s="59">
        <f t="shared" si="90"/>
        <v>265.16078167969272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102.54867192395572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102.54867192395572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2.1300000000000026</v>
      </c>
      <c r="BD82" s="12">
        <f>IF('Données projet'!$A$88&gt;35,BD81+BC82-BL81,IF(A82&lt;'Données projet'!$A$88,$BA$205^A82,IF(A82='Données projet'!$A$88,'Données projet'!$B$88,BD81+BC82-BL81)))</f>
        <v>136.6700000000001</v>
      </c>
      <c r="BE82" s="13">
        <f>BD82*VLOOKUP('Données projet'!$B$11,Paramètres!$A$1:$I$89,3,0)*VLOOKUP('Données projet'!$B$11,Paramètres!$A$1:$I$89,5,0)</f>
        <v>157.44384000000011</v>
      </c>
      <c r="BF82" s="13">
        <f t="shared" si="91"/>
        <v>40.265427092175983</v>
      </c>
      <c r="BG82" s="20">
        <f t="shared" si="61"/>
        <v>344.34364018553998</v>
      </c>
      <c r="BH82" s="59">
        <f t="shared" si="62"/>
        <v>623.87470194757952</v>
      </c>
      <c r="BI82" s="59">
        <f ca="1">AVERAGE(OFFSET($BH$3,0,0,'Données projet'!$E$11+1,1))-AVERAGE(OFFSET($H$3,0,0,'Données projet'!$E$11+1,1))</f>
        <v>332.93090933713466</v>
      </c>
      <c r="BJ82" s="59">
        <f t="shared" si="92"/>
        <v>251.83579649532973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14.672195669106404</v>
      </c>
      <c r="BQ82" s="21">
        <f>EXP(-LN(2)/25)*BQ81+(1-EXP(-LN(2)/25))/(LN(2)/25)*Calculateur!BL82*Calculateur!BN82*VLOOKUP('Données projet'!$B$11,Paramètres!$A$1:$I$89,3,0)*0.475*44/12</f>
        <v>1.7876287687765209</v>
      </c>
      <c r="BR82" s="21">
        <f>EXP(-LN(2)/2)*BR81+(1-EXP(-LN(2)/2))/(LN(2)/2)*BL82*BO82*VLOOKUP('Données projet'!$B$11,Paramètres!$A$1:$I$89,3,0)*0.475*44/12</f>
        <v>1.1340961745323024E-10</v>
      </c>
      <c r="BS82" s="22">
        <f t="shared" si="63"/>
        <v>16.459824437996335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9.1529999999999969</v>
      </c>
      <c r="BY82" s="12">
        <f>IF('Données projet'!$A$114&gt;35,BY81+BX82-CG81,IF(A82&lt;'Données projet'!$A$114,$BV$205^A82,IF(A82='Données projet'!$A$114,'Données projet'!$B$114,BY81+BX82-CG81)))</f>
        <v>309.3250000000001</v>
      </c>
      <c r="BZ82" s="13">
        <f>BY82*VLOOKUP('Données projet'!$B$12,Paramètres!$A$1:$I$89,3,0)*VLOOKUP('Données projet'!$B$12,Paramètres!$A$1:$I$89,5,0)</f>
        <v>352.25931000000014</v>
      </c>
      <c r="CA82" s="13">
        <f t="shared" si="93"/>
        <v>82.027552272344195</v>
      </c>
      <c r="CB82" s="20">
        <f t="shared" si="64"/>
        <v>756.38295179099975</v>
      </c>
      <c r="CC82" s="59">
        <f t="shared" si="65"/>
        <v>1035.9140135530392</v>
      </c>
      <c r="CD82" s="59">
        <f ca="1">AVERAGE(OFFSET($CC$3,0,0,'Données projet'!$E$12+1,1))-AVERAGE(OFFSET($H$3,0,0,'Données projet'!$E$12+1,1))</f>
        <v>797.57191672067393</v>
      </c>
      <c r="CE82" s="59">
        <f t="shared" si="94"/>
        <v>238.59056544987126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82.258470750502084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82.258470750502084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>
        <f>CT82*VLOOKUP('Données projet'!$B$13,Paramètres!$A$1:$I$89,3,0)*VLOOKUP('Données projet'!$B$13,Paramètres!$A$1:$I$89,5,0)</f>
        <v>0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188.98184340090461</v>
      </c>
      <c r="CZ82" s="59">
        <f t="shared" si="96"/>
        <v>450.74604661797798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35.080675252834105</v>
      </c>
      <c r="DH82" s="21">
        <f>EXP(-LN(2)/2)*DH81+(1-EXP(-LN(2)/2))/(LN(2)/2)*DB82*DE82*VLOOKUP('Données projet'!$B$13,Paramètres!$A$1:$I$89,3,0)*0.475*44/12</f>
        <v>1.8950068557355892E-9</v>
      </c>
      <c r="DI82" s="22">
        <f t="shared" si="69"/>
        <v>35.080675254729115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369.00000000000011</v>
      </c>
      <c r="DP82" s="17">
        <f>DO82*VLOOKUP('Données projet'!$B$14,Paramètres!$A$1:$I$89,3,0)*VLOOKUP('Données projet'!$B$14,Paramètres!$A$1:$I$89,5,0)</f>
        <v>333.87120000000004</v>
      </c>
      <c r="DQ82" s="13">
        <f t="shared" si="97"/>
        <v>78.232360111376309</v>
      </c>
      <c r="DR82" s="20">
        <f t="shared" si="70"/>
        <v>717.74703386064709</v>
      </c>
      <c r="DS82" s="59">
        <f t="shared" si="71"/>
        <v>997.27809562268658</v>
      </c>
      <c r="DT82" s="59">
        <f ca="1">AVERAGE(OFFSET($DS$3,0,0,'Données projet'!$E$14+1,1))-AVERAGE(OFFSET($H$3,0,0,'Données projet'!$E$14+1,1))</f>
        <v>442.34161202733173</v>
      </c>
      <c r="DU82" s="59">
        <f t="shared" si="98"/>
        <v>622.90413492324399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4.0057317113769058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4.0057317113769058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9.1529999999999969</v>
      </c>
      <c r="EJ82" s="12">
        <f>IF('Données projet'!$A$192&gt;35,EJ81+EI82-ER81,IF(A82&lt;'Données projet'!$A$192,$EG$205^A82,IF(A82='Données projet'!$A$192,'Données projet'!$B$192,EJ81+EI82-ER81)))</f>
        <v>309.3250000000001</v>
      </c>
      <c r="EK82" s="17">
        <f>EJ82*VLOOKUP('Données projet'!$B$15,Paramètres!$A$1:$I$89,3,0)*VLOOKUP('Données projet'!$B$15,Paramètres!$A$1:$I$89,5,0)</f>
        <v>337.7829000000001</v>
      </c>
      <c r="EL82" s="13">
        <f t="shared" si="99"/>
        <v>79.041705257827374</v>
      </c>
      <c r="EM82" s="20">
        <f t="shared" si="73"/>
        <v>725.96952082404948</v>
      </c>
      <c r="EN82" s="59">
        <f t="shared" si="74"/>
        <v>1005.500582586089</v>
      </c>
      <c r="EO82" s="59">
        <f ca="1">AVERAGE(OFFSET($EN$3,0,0,'Données projet'!$E$15+1,1))-AVERAGE(OFFSET($H$3,0,0,'Données projet'!$E$15+1,1))</f>
        <v>767.9449852393318</v>
      </c>
      <c r="EP82" s="59">
        <f t="shared" si="100"/>
        <v>230.95605490295961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78.877985651166384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78.877985651166384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66.235744116919875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3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11</v>
      </c>
      <c r="H83" s="66">
        <f t="shared" si="56"/>
        <v>212.66666666666666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188.98184340090461</v>
      </c>
      <c r="T83" s="59">
        <f t="shared" si="88"/>
        <v>450.74604661797798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11.447499999999998</v>
      </c>
      <c r="AI83" s="13">
        <f>IF('Données projet'!$A$62&gt;35,AI82+AH83-AQ82,IF(A83&lt;'Données projet'!$A$62,$AF$205^A83,IF(A83='Données projet'!$A$62,'Données projet'!$B$62,AI82+AH83-AQ82)))</f>
        <v>413.27499999999986</v>
      </c>
      <c r="AJ83" s="13">
        <f>AI83*VLOOKUP('Données projet'!$B$10,Paramètres!$A$1:$I$89,3,0)*VLOOKUP('Données projet'!$B$10,Paramètres!$A$1:$I$89,5,0)</f>
        <v>373.93121999999988</v>
      </c>
      <c r="AK83" s="13">
        <f t="shared" si="89"/>
        <v>86.471070274502594</v>
      </c>
      <c r="AL83" s="20">
        <f t="shared" si="58"/>
        <v>801.86732222809178</v>
      </c>
      <c r="AM83" s="59">
        <f t="shared" si="59"/>
        <v>1081.6378225446367</v>
      </c>
      <c r="AN83" s="59">
        <f ca="1">AVERAGE(OFFSET($AM$3,0,0,'Données projet'!$E$10+1,1))-AVERAGE(OFFSET($H$3,0,0,'Données projet'!$E$10+1,1))</f>
        <v>725.60981534362895</v>
      </c>
      <c r="AO83" s="59">
        <f t="shared" si="90"/>
        <v>265.16078167969272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100.53775501604068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100.53775501604068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138.80000000000001</v>
      </c>
      <c r="BB83" s="12">
        <f>VLOOKUP(A83,'Données projet'!$A$87:$I$107,9,0)</f>
        <v>2.1300000000000026</v>
      </c>
      <c r="BC83" s="12">
        <f t="array" ref="BC83">INDEX(BB:BB,MIN(IF(ISNUMBER(BB83:BB279),ROW(BB83:BB279),"")))</f>
        <v>2.1300000000000026</v>
      </c>
      <c r="BD83" s="12">
        <f>IF('Données projet'!$A$88&gt;35,BD82+BC83-BL82,IF(A83&lt;'Données projet'!$A$88,$BA$205^A83,IF(A83='Données projet'!$A$88,'Données projet'!$B$88,BD82+BC83-BL82)))</f>
        <v>138.8000000000001</v>
      </c>
      <c r="BE83" s="13">
        <f>BD83*VLOOKUP('Données projet'!$B$11,Paramètres!$A$1:$I$89,3,0)*VLOOKUP('Données projet'!$B$11,Paramètres!$A$1:$I$89,5,0)</f>
        <v>159.8976000000001</v>
      </c>
      <c r="BF83" s="13">
        <f t="shared" si="91"/>
        <v>40.819417940355962</v>
      </c>
      <c r="BG83" s="20">
        <f t="shared" si="61"/>
        <v>349.5821395794535</v>
      </c>
      <c r="BH83" s="59">
        <f t="shared" si="62"/>
        <v>629.35263989599844</v>
      </c>
      <c r="BI83" s="59">
        <f ca="1">AVERAGE(OFFSET($BH$3,0,0,'Données projet'!$E$11+1,1))-AVERAGE(OFFSET($H$3,0,0,'Données projet'!$E$11+1,1))</f>
        <v>332.93090933713466</v>
      </c>
      <c r="BJ83" s="59">
        <f t="shared" si="92"/>
        <v>251.83579649532973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16.100000000000001</v>
      </c>
      <c r="BM83" s="16">
        <f>IF(ISNA(VLOOKUP(A83,'Données projet'!$A$87:$I$107,5,0)),0%,VLOOKUP(A83,'Données projet'!$A$87:$I$107,5,0)*VLOOKUP('Données projet'!$B$11,Paramètres!$A$1:$I$89,7,0))</f>
        <v>0.45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20.381721576498439</v>
      </c>
      <c r="BQ83" s="21">
        <f>EXP(-LN(2)/25)*BQ82+(1-EXP(-LN(2)/25))/(LN(2)/25)*Calculateur!BL83*Calculateur!BN83*VLOOKUP('Données projet'!$B$11,Paramètres!$A$1:$I$89,3,0)*0.475*44/12</f>
        <v>1.7387459660870157</v>
      </c>
      <c r="BR83" s="21">
        <f>EXP(-LN(2)/2)*BR82+(1-EXP(-LN(2)/2))/(LN(2)/2)*BL83*BO83*VLOOKUP('Données projet'!$B$11,Paramètres!$A$1:$I$89,3,0)*0.475*44/12</f>
        <v>8.0192709552951347E-11</v>
      </c>
      <c r="BS83" s="22">
        <f t="shared" si="63"/>
        <v>22.120467542665647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9.1529999999999969</v>
      </c>
      <c r="BY83" s="12">
        <f>IF('Données projet'!$A$114&gt;35,BY82+BX83-CG82,IF(A83&lt;'Données projet'!$A$114,$BV$205^A83,IF(A83='Données projet'!$A$114,'Données projet'!$B$114,BY82+BX83-CG82)))</f>
        <v>318.47800000000012</v>
      </c>
      <c r="BZ83" s="13">
        <f>BY83*VLOOKUP('Données projet'!$B$12,Paramètres!$A$1:$I$89,3,0)*VLOOKUP('Données projet'!$B$12,Paramètres!$A$1:$I$89,5,0)</f>
        <v>362.6827464000001</v>
      </c>
      <c r="CA83" s="13">
        <f t="shared" si="93"/>
        <v>84.1685857471888</v>
      </c>
      <c r="CB83" s="20">
        <f t="shared" si="64"/>
        <v>778.26607015635398</v>
      </c>
      <c r="CC83" s="59">
        <f t="shared" si="65"/>
        <v>1058.036570472899</v>
      </c>
      <c r="CD83" s="59">
        <f ca="1">AVERAGE(OFFSET($CC$3,0,0,'Données projet'!$E$12+1,1))-AVERAGE(OFFSET($H$3,0,0,'Données projet'!$E$12+1,1))</f>
        <v>797.57191672067393</v>
      </c>
      <c r="CE83" s="59">
        <f t="shared" si="94"/>
        <v>238.59056544987126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80.645432311797748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80.645432311797748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>
        <f>CT83*VLOOKUP('Données projet'!$B$13,Paramètres!$A$1:$I$89,3,0)*VLOOKUP('Données projet'!$B$13,Paramètres!$A$1:$I$89,5,0)</f>
        <v>0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188.98184340090461</v>
      </c>
      <c r="CZ83" s="59">
        <f t="shared" si="96"/>
        <v>450.74604661797798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34.12139234323282</v>
      </c>
      <c r="DH83" s="21">
        <f>EXP(-LN(2)/2)*DH82+(1-EXP(-LN(2)/2))/(LN(2)/2)*DB83*DE83*VLOOKUP('Données projet'!$B$13,Paramètres!$A$1:$I$89,3,0)*0.475*44/12</f>
        <v>1.3399721980856327E-9</v>
      </c>
      <c r="DI83" s="22">
        <f t="shared" si="69"/>
        <v>34.12139234457279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369.00000000000011</v>
      </c>
      <c r="DP83" s="17">
        <f>DO83*VLOOKUP('Données projet'!$B$14,Paramètres!$A$1:$I$89,3,0)*VLOOKUP('Données projet'!$B$14,Paramètres!$A$1:$I$89,5,0)</f>
        <v>333.87120000000004</v>
      </c>
      <c r="DQ83" s="13">
        <f t="shared" si="97"/>
        <v>78.232360111376309</v>
      </c>
      <c r="DR83" s="20">
        <f t="shared" si="70"/>
        <v>717.74703386064709</v>
      </c>
      <c r="DS83" s="59">
        <f t="shared" si="71"/>
        <v>997.51753417719215</v>
      </c>
      <c r="DT83" s="59">
        <f ca="1">AVERAGE(OFFSET($DS$3,0,0,'Données projet'!$E$14+1,1))-AVERAGE(OFFSET($H$3,0,0,'Données projet'!$E$14+1,1))</f>
        <v>442.34161202733173</v>
      </c>
      <c r="DU83" s="59">
        <f t="shared" si="98"/>
        <v>622.90413492324399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3.9271817557718971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3.9271817557718971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9.1529999999999969</v>
      </c>
      <c r="EJ83" s="12">
        <f>IF('Données projet'!$A$192&gt;35,EJ82+EI83-ER82,IF(A83&lt;'Données projet'!$A$192,$EG$205^A83,IF(A83='Données projet'!$A$192,'Données projet'!$B$192,EJ82+EI83-ER82)))</f>
        <v>318.47800000000012</v>
      </c>
      <c r="EK83" s="17">
        <f>EJ83*VLOOKUP('Données projet'!$B$15,Paramètres!$A$1:$I$89,3,0)*VLOOKUP('Données projet'!$B$15,Paramètres!$A$1:$I$89,5,0)</f>
        <v>347.77797600000014</v>
      </c>
      <c r="EL83" s="13">
        <f t="shared" si="99"/>
        <v>81.104803962808134</v>
      </c>
      <c r="EM83" s="20">
        <f t="shared" si="73"/>
        <v>746.97084176855776</v>
      </c>
      <c r="EN83" s="59">
        <f t="shared" si="74"/>
        <v>1026.7413420851028</v>
      </c>
      <c r="EO83" s="59">
        <f ca="1">AVERAGE(OFFSET($EN$3,0,0,'Données projet'!$E$15+1,1))-AVERAGE(OFFSET($H$3,0,0,'Données projet'!$E$15+1,1))</f>
        <v>767.9449852393318</v>
      </c>
      <c r="EP83" s="59">
        <f t="shared" si="100"/>
        <v>230.95605490295961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77.331236463367702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77.331236463367702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66.301045540875904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3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</v>
      </c>
      <c r="H84" s="66">
        <f t="shared" si="56"/>
        <v>212.66666666666666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188.98184340090461</v>
      </c>
      <c r="T84" s="59">
        <f t="shared" si="88"/>
        <v>450.74604661797798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11.447499999999998</v>
      </c>
      <c r="AI84" s="13">
        <f>IF('Données projet'!$A$62&gt;35,AI83+AH84-AQ83,IF(A84&lt;'Données projet'!$A$62,$AF$205^A84,IF(A84='Données projet'!$A$62,'Données projet'!$B$62,AI83+AH84-AQ83)))</f>
        <v>424.72249999999985</v>
      </c>
      <c r="AJ84" s="13">
        <f>AI84*VLOOKUP('Données projet'!$B$10,Paramètres!$A$1:$I$89,3,0)*VLOOKUP('Données projet'!$B$10,Paramètres!$A$1:$I$89,5,0)</f>
        <v>384.28891799999985</v>
      </c>
      <c r="AK84" s="13">
        <f t="shared" si="89"/>
        <v>88.584094559310827</v>
      </c>
      <c r="AL84" s="20">
        <f t="shared" si="58"/>
        <v>823.58716354079934</v>
      </c>
      <c r="AM84" s="59">
        <f t="shared" si="59"/>
        <v>1103.5929486882335</v>
      </c>
      <c r="AN84" s="59">
        <f ca="1">AVERAGE(OFFSET($AM$3,0,0,'Données projet'!$E$10+1,1))-AVERAGE(OFFSET($H$3,0,0,'Données projet'!$E$10+1,1))</f>
        <v>725.60981534362895</v>
      </c>
      <c r="AO84" s="59">
        <f t="shared" si="90"/>
        <v>265.16078167969272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98.566270962151634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98.566270962151634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2.0099999999999993</v>
      </c>
      <c r="BD84" s="12">
        <f>IF('Données projet'!$A$88&gt;35,BD83+BC84-BL83,IF(A84&lt;'Données projet'!$A$88,$BA$205^A84,IF(A84='Données projet'!$A$88,'Données projet'!$B$88,BD83+BC84-BL83)))</f>
        <v>124.71000000000009</v>
      </c>
      <c r="BE84" s="13">
        <f>BD84*VLOOKUP('Données projet'!$B$11,Paramètres!$A$1:$I$89,3,0)*VLOOKUP('Données projet'!$B$11,Paramètres!$A$1:$I$89,5,0)</f>
        <v>143.66592000000009</v>
      </c>
      <c r="BF84" s="13">
        <f t="shared" si="91"/>
        <v>37.135548738868899</v>
      </c>
      <c r="BG84" s="20">
        <f t="shared" si="61"/>
        <v>314.89589138686347</v>
      </c>
      <c r="BH84" s="59">
        <f t="shared" si="62"/>
        <v>594.90167653429762</v>
      </c>
      <c r="BI84" s="59">
        <f ca="1">AVERAGE(OFFSET($BH$3,0,0,'Données projet'!$E$11+1,1))-AVERAGE(OFFSET($H$3,0,0,'Données projet'!$E$11+1,1))</f>
        <v>332.93090933713466</v>
      </c>
      <c r="BJ84" s="59">
        <f t="shared" si="92"/>
        <v>251.83579649532973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19.982048448005944</v>
      </c>
      <c r="BQ84" s="21">
        <f>EXP(-LN(2)/25)*BQ83+(1-EXP(-LN(2)/25))/(LN(2)/25)*Calculateur!BL84*Calculateur!BN84*VLOOKUP('Données projet'!$B$11,Paramètres!$A$1:$I$89,3,0)*0.475*44/12</f>
        <v>1.6911998662076899</v>
      </c>
      <c r="BR84" s="21">
        <f>EXP(-LN(2)/2)*BR83+(1-EXP(-LN(2)/2))/(LN(2)/2)*BL84*BO84*VLOOKUP('Données projet'!$B$11,Paramètres!$A$1:$I$89,3,0)*0.475*44/12</f>
        <v>5.6704808726615133E-11</v>
      </c>
      <c r="BS84" s="22">
        <f t="shared" si="63"/>
        <v>21.673248314270339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9.1529999999999969</v>
      </c>
      <c r="BY84" s="12">
        <f>IF('Données projet'!$A$114&gt;35,BY83+BX84-CG83,IF(A84&lt;'Données projet'!$A$114,$BV$205^A84,IF(A84='Données projet'!$A$114,'Données projet'!$B$114,BY83+BX84-CG83)))</f>
        <v>327.63100000000014</v>
      </c>
      <c r="BZ84" s="13">
        <f>BY84*VLOOKUP('Données projet'!$B$12,Paramètres!$A$1:$I$89,3,0)*VLOOKUP('Données projet'!$B$12,Paramètres!$A$1:$I$89,5,0)</f>
        <v>373.10618280000017</v>
      </c>
      <c r="CA84" s="13">
        <f t="shared" si="93"/>
        <v>86.302467717524863</v>
      </c>
      <c r="CB84" s="20">
        <f t="shared" si="64"/>
        <v>800.13673298468939</v>
      </c>
      <c r="CC84" s="59">
        <f t="shared" si="65"/>
        <v>1080.1425181321235</v>
      </c>
      <c r="CD84" s="59">
        <f ca="1">AVERAGE(OFFSET($CC$3,0,0,'Données projet'!$E$12+1,1))-AVERAGE(OFFSET($H$3,0,0,'Données projet'!$E$12+1,1))</f>
        <v>797.57191672067393</v>
      </c>
      <c r="CE84" s="59">
        <f t="shared" si="94"/>
        <v>238.59056544987126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79.064024573020106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79.064024573020106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>
        <f>CT84*VLOOKUP('Données projet'!$B$13,Paramètres!$A$1:$I$89,3,0)*VLOOKUP('Données projet'!$B$13,Paramètres!$A$1:$I$89,5,0)</f>
        <v>0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188.98184340090461</v>
      </c>
      <c r="CZ84" s="59">
        <f t="shared" si="96"/>
        <v>450.74604661797798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33.188341075241084</v>
      </c>
      <c r="DH84" s="21">
        <f>EXP(-LN(2)/2)*DH83+(1-EXP(-LN(2)/2))/(LN(2)/2)*DB84*DE84*VLOOKUP('Données projet'!$B$13,Paramètres!$A$1:$I$89,3,0)*0.475*44/12</f>
        <v>9.4750342786779459E-10</v>
      </c>
      <c r="DI84" s="22">
        <f t="shared" si="69"/>
        <v>33.188341076188586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369.00000000000011</v>
      </c>
      <c r="DP84" s="17">
        <f>DO84*VLOOKUP('Données projet'!$B$14,Paramètres!$A$1:$I$89,3,0)*VLOOKUP('Données projet'!$B$14,Paramètres!$A$1:$I$89,5,0)</f>
        <v>333.87120000000004</v>
      </c>
      <c r="DQ84" s="13">
        <f t="shared" si="97"/>
        <v>78.232360111376309</v>
      </c>
      <c r="DR84" s="20">
        <f t="shared" si="70"/>
        <v>717.74703386064709</v>
      </c>
      <c r="DS84" s="59">
        <f t="shared" si="71"/>
        <v>997.75281900808136</v>
      </c>
      <c r="DT84" s="59">
        <f ca="1">AVERAGE(OFFSET($DS$3,0,0,'Données projet'!$E$14+1,1))-AVERAGE(OFFSET($H$3,0,0,'Données projet'!$E$14+1,1))</f>
        <v>442.34161202733173</v>
      </c>
      <c r="DU84" s="59">
        <f t="shared" si="98"/>
        <v>622.90413492324399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3.8501721168855605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3.8501721168855605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9.1529999999999969</v>
      </c>
      <c r="EJ84" s="12">
        <f>IF('Données projet'!$A$192&gt;35,EJ83+EI84-ER83,IF(A84&lt;'Données projet'!$A$192,$EG$205^A84,IF(A84='Données projet'!$A$192,'Données projet'!$B$192,EJ83+EI84-ER83)))</f>
        <v>327.63100000000014</v>
      </c>
      <c r="EK84" s="17">
        <f>EJ84*VLOOKUP('Données projet'!$B$15,Paramètres!$A$1:$I$89,3,0)*VLOOKUP('Données projet'!$B$15,Paramètres!$A$1:$I$89,5,0)</f>
        <v>357.77305200000018</v>
      </c>
      <c r="EL84" s="13">
        <f t="shared" si="99"/>
        <v>83.161011481890242</v>
      </c>
      <c r="EM84" s="20">
        <f t="shared" si="73"/>
        <v>767.96016056429244</v>
      </c>
      <c r="EN84" s="59">
        <f t="shared" si="74"/>
        <v>1047.9659457117266</v>
      </c>
      <c r="EO84" s="59">
        <f ca="1">AVERAGE(OFFSET($EN$3,0,0,'Données projet'!$E$15+1,1))-AVERAGE(OFFSET($H$3,0,0,'Données projet'!$E$15+1,1))</f>
        <v>767.9449852393318</v>
      </c>
      <c r="EP84" s="59">
        <f t="shared" si="100"/>
        <v>230.95605490295961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75.81481808371791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75.81481808371791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66.365214131118421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3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11</v>
      </c>
      <c r="H85" s="66">
        <f t="shared" si="56"/>
        <v>212.66666666666666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188.98184340090461</v>
      </c>
      <c r="T85" s="59">
        <f t="shared" si="88"/>
        <v>450.74604661797798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436.17</v>
      </c>
      <c r="AG85" s="12">
        <f>VLOOKUP(A85,'Données projet'!$A$61:$I$81,9,0)</f>
        <v>11.447499999999998</v>
      </c>
      <c r="AH85" s="12">
        <f t="array" ref="AH85">INDEX(AG:AG,MIN(IF(ISNUMBER(AG85:AG281),ROW(AG85:AG281),"")))</f>
        <v>11.447499999999998</v>
      </c>
      <c r="AI85" s="13">
        <f>IF('Données projet'!$A$62&gt;35,AI84+AH85-AQ84,IF(A85&lt;'Données projet'!$A$62,$AF$205^A85,IF(A85='Données projet'!$A$62,'Données projet'!$B$62,AI84+AH85-AQ84)))</f>
        <v>436.16999999999985</v>
      </c>
      <c r="AJ85" s="13">
        <f>AI85*VLOOKUP('Données projet'!$B$10,Paramètres!$A$1:$I$89,3,0)*VLOOKUP('Données projet'!$B$10,Paramètres!$A$1:$I$89,5,0)</f>
        <v>394.64661599999982</v>
      </c>
      <c r="AK85" s="13">
        <f t="shared" si="89"/>
        <v>90.690499158874985</v>
      </c>
      <c r="AL85" s="20">
        <f t="shared" si="58"/>
        <v>845.2954755683736</v>
      </c>
      <c r="AM85" s="59">
        <f t="shared" si="59"/>
        <v>1125.5324638808993</v>
      </c>
      <c r="AN85" s="59">
        <f ca="1">AVERAGE(OFFSET($AM$3,0,0,'Données projet'!$E$10+1,1))-AVERAGE(OFFSET($H$3,0,0,'Données projet'!$E$10+1,1))</f>
        <v>725.60981534362895</v>
      </c>
      <c r="AO85" s="59">
        <f t="shared" si="90"/>
        <v>265.16078167969272</v>
      </c>
      <c r="AP85" s="15">
        <f>IF(ISNA(VLOOKUP(A85,'Données projet'!$A$61:$I$81,3,0)),0,VLOOKUP(A85,'Données projet'!$A$61:$I$81,3,0))</f>
        <v>7</v>
      </c>
      <c r="AQ85" s="15">
        <f>IF(ISNA(VLOOKUP(A85,'Données projet'!$A$61:$I$81,4,0)),0,VLOOKUP(A85,'Données projet'!$A$61:$I$81,4,0))</f>
        <v>53.92</v>
      </c>
      <c r="AR85" s="16">
        <f>IF(ISNA(VLOOKUP(A85,'Données projet'!$A$61:$I$81,5,0)),0%,VLOOKUP(A85,'Données projet'!$A$61:$I$81,5,0)*VLOOKUP('Données projet'!$B$10,Paramètres!$A$1:$I$89,7,0))</f>
        <v>0.43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119.82436990795424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119.82436990795424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2.0099999999999993</v>
      </c>
      <c r="BD85" s="12">
        <f>IF('Données projet'!$A$88&gt;35,BD84+BC85-BL84,IF(A85&lt;'Données projet'!$A$88,$BA$205^A85,IF(A85='Données projet'!$A$88,'Données projet'!$B$88,BD84+BC85-BL84)))</f>
        <v>126.7200000000001</v>
      </c>
      <c r="BE85" s="13">
        <f>BD85*VLOOKUP('Données projet'!$B$11,Paramètres!$A$1:$I$89,3,0)*VLOOKUP('Données projet'!$B$11,Paramètres!$A$1:$I$89,5,0)</f>
        <v>145.98144000000011</v>
      </c>
      <c r="BF85" s="13">
        <f t="shared" si="91"/>
        <v>37.66391512752562</v>
      </c>
      <c r="BG85" s="20">
        <f t="shared" si="61"/>
        <v>319.84899351377396</v>
      </c>
      <c r="BH85" s="59">
        <f t="shared" si="62"/>
        <v>600.08598182629953</v>
      </c>
      <c r="BI85" s="59">
        <f ca="1">AVERAGE(OFFSET($BH$3,0,0,'Données projet'!$E$11+1,1))-AVERAGE(OFFSET($H$3,0,0,'Données projet'!$E$11+1,1))</f>
        <v>332.93090933713466</v>
      </c>
      <c r="BJ85" s="59">
        <f t="shared" si="92"/>
        <v>251.83579649532973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19.590212665786652</v>
      </c>
      <c r="BQ85" s="21">
        <f>EXP(-LN(2)/25)*BQ84+(1-EXP(-LN(2)/25))/(LN(2)/25)*Calculateur!BL85*Calculateur!BN85*VLOOKUP('Données projet'!$B$11,Paramètres!$A$1:$I$89,3,0)*0.475*44/12</f>
        <v>1.644953916929905</v>
      </c>
      <c r="BR85" s="21">
        <f>EXP(-LN(2)/2)*BR84+(1-EXP(-LN(2)/2))/(LN(2)/2)*BL85*BO85*VLOOKUP('Données projet'!$B$11,Paramètres!$A$1:$I$89,3,0)*0.475*44/12</f>
        <v>4.009635477647568E-11</v>
      </c>
      <c r="BS85" s="22">
        <f t="shared" si="63"/>
        <v>21.235166582756651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9.1529999999999969</v>
      </c>
      <c r="BY85" s="12">
        <f>IF('Données projet'!$A$114&gt;35,BY84+BX85-CG84,IF(A85&lt;'Données projet'!$A$114,$BV$205^A85,IF(A85='Données projet'!$A$114,'Données projet'!$B$114,BY84+BX85-CG84)))</f>
        <v>336.78400000000016</v>
      </c>
      <c r="BZ85" s="13">
        <f>BY85*VLOOKUP('Données projet'!$B$12,Paramètres!$A$1:$I$89,3,0)*VLOOKUP('Données projet'!$B$12,Paramètres!$A$1:$I$89,5,0)</f>
        <v>383.52961920000018</v>
      </c>
      <c r="CA85" s="13">
        <f t="shared" si="93"/>
        <v>88.429420926442305</v>
      </c>
      <c r="CB85" s="20">
        <f t="shared" si="64"/>
        <v>821.99532822022059</v>
      </c>
      <c r="CC85" s="59">
        <f t="shared" si="65"/>
        <v>1102.2323165327462</v>
      </c>
      <c r="CD85" s="59">
        <f ca="1">AVERAGE(OFFSET($CC$3,0,0,'Données projet'!$E$12+1,1))-AVERAGE(OFFSET($H$3,0,0,'Données projet'!$E$12+1,1))</f>
        <v>797.57191672067393</v>
      </c>
      <c r="CE85" s="59">
        <f t="shared" si="94"/>
        <v>238.59056544987126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77.51362727543642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77.51362727543642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>
        <f>CT85*VLOOKUP('Données projet'!$B$13,Paramètres!$A$1:$I$89,3,0)*VLOOKUP('Données projet'!$B$13,Paramètres!$A$1:$I$89,5,0)</f>
        <v>0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188.98184340090461</v>
      </c>
      <c r="CZ85" s="59">
        <f t="shared" si="96"/>
        <v>450.74604661797798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32.280804143239614</v>
      </c>
      <c r="DH85" s="21">
        <f>EXP(-LN(2)/2)*DH84+(1-EXP(-LN(2)/2))/(LN(2)/2)*DB85*DE85*VLOOKUP('Données projet'!$B$13,Paramètres!$A$1:$I$89,3,0)*0.475*44/12</f>
        <v>6.6998609904281635E-10</v>
      </c>
      <c r="DI85" s="22">
        <f t="shared" si="69"/>
        <v>32.280804143909599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369.00000000000011</v>
      </c>
      <c r="DP85" s="17">
        <f>DO85*VLOOKUP('Données projet'!$B$14,Paramètres!$A$1:$I$89,3,0)*VLOOKUP('Données projet'!$B$14,Paramètres!$A$1:$I$89,5,0)</f>
        <v>333.87120000000004</v>
      </c>
      <c r="DQ85" s="13">
        <f t="shared" si="97"/>
        <v>78.232360111376309</v>
      </c>
      <c r="DR85" s="20">
        <f t="shared" si="70"/>
        <v>717.74703386064709</v>
      </c>
      <c r="DS85" s="59">
        <f t="shared" si="71"/>
        <v>997.98402217317266</v>
      </c>
      <c r="DT85" s="59">
        <f ca="1">AVERAGE(OFFSET($DS$3,0,0,'Données projet'!$E$14+1,1))-AVERAGE(OFFSET($H$3,0,0,'Données projet'!$E$14+1,1))</f>
        <v>442.34161202733173</v>
      </c>
      <c r="DU85" s="59">
        <f t="shared" si="98"/>
        <v>622.90413492324399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3.7746725900465434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3.7746725900465434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9.1529999999999969</v>
      </c>
      <c r="EJ85" s="12">
        <f>IF('Données projet'!$A$192&gt;35,EJ84+EI85-ER84,IF(A85&lt;'Données projet'!$A$192,$EG$205^A85,IF(A85='Données projet'!$A$192,'Données projet'!$B$192,EJ84+EI85-ER84)))</f>
        <v>336.78400000000016</v>
      </c>
      <c r="EK85" s="17">
        <f>EJ85*VLOOKUP('Données projet'!$B$15,Paramètres!$A$1:$I$89,3,0)*VLOOKUP('Données projet'!$B$15,Paramètres!$A$1:$I$89,5,0)</f>
        <v>367.76812800000016</v>
      </c>
      <c r="EL85" s="13">
        <f t="shared" si="99"/>
        <v>85.210542450195291</v>
      </c>
      <c r="EM85" s="20">
        <f t="shared" si="73"/>
        <v>788.93785103409027</v>
      </c>
      <c r="EN85" s="59">
        <f t="shared" si="74"/>
        <v>1069.174839346616</v>
      </c>
      <c r="EO85" s="59">
        <f ca="1">AVERAGE(OFFSET($EN$3,0,0,'Données projet'!$E$15+1,1))-AVERAGE(OFFSET($H$3,0,0,'Données projet'!$E$15+1,1))</f>
        <v>767.9449852393318</v>
      </c>
      <c r="EP85" s="59">
        <f t="shared" si="100"/>
        <v>230.95605490295961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74.328135743569163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74.328135743569163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66.428269539779706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3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11</v>
      </c>
      <c r="H86" s="66">
        <f t="shared" si="56"/>
        <v>212.66666666666666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188.98184340090461</v>
      </c>
      <c r="T86" s="59">
        <f t="shared" si="88"/>
        <v>450.74604661797798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11.14</v>
      </c>
      <c r="AI86" s="13">
        <f>IF('Données projet'!$A$62&gt;35,AI85+AH86-AQ85,IF(A86&lt;'Données projet'!$A$62,$AF$205^A86,IF(A86='Données projet'!$A$62,'Données projet'!$B$62,AI85+AH86-AQ85)))</f>
        <v>393.38999999999982</v>
      </c>
      <c r="AJ86" s="13">
        <f>AI86*VLOOKUP('Données projet'!$B$10,Paramètres!$A$1:$I$89,3,0)*VLOOKUP('Données projet'!$B$10,Paramètres!$A$1:$I$89,5,0)</f>
        <v>355.93927199999985</v>
      </c>
      <c r="AK86" s="13">
        <f t="shared" si="89"/>
        <v>82.784268771868526</v>
      </c>
      <c r="AL86" s="20">
        <f t="shared" si="58"/>
        <v>764.11016684433741</v>
      </c>
      <c r="AM86" s="59">
        <f t="shared" si="59"/>
        <v>1044.5743474639328</v>
      </c>
      <c r="AN86" s="59">
        <f ca="1">AVERAGE(OFFSET($AM$3,0,0,'Données projet'!$E$10+1,1))-AVERAGE(OFFSET($H$3,0,0,'Données projet'!$E$10+1,1))</f>
        <v>725.60981534362895</v>
      </c>
      <c r="AO86" s="59">
        <f t="shared" si="90"/>
        <v>265.16078167969272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117.47468709970829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117.47468709970829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2.0099999999999993</v>
      </c>
      <c r="BD86" s="12">
        <f>IF('Données projet'!$A$88&gt;35,BD85+BC86-BL85,IF(A86&lt;'Données projet'!$A$88,$BA$205^A86,IF(A86='Données projet'!$A$88,'Données projet'!$B$88,BD85+BC86-BL85)))</f>
        <v>128.7300000000001</v>
      </c>
      <c r="BE86" s="13">
        <f>BD86*VLOOKUP('Données projet'!$B$11,Paramètres!$A$1:$I$89,3,0)*VLOOKUP('Données projet'!$B$11,Paramètres!$A$1:$I$89,5,0)</f>
        <v>148.2969600000001</v>
      </c>
      <c r="BF86" s="13">
        <f t="shared" si="91"/>
        <v>38.191306846511374</v>
      </c>
      <c r="BG86" s="20">
        <f t="shared" si="61"/>
        <v>324.80039809100748</v>
      </c>
      <c r="BH86" s="59">
        <f t="shared" si="62"/>
        <v>605.2645787106029</v>
      </c>
      <c r="BI86" s="59">
        <f ca="1">AVERAGE(OFFSET($BH$3,0,0,'Données projet'!$E$11+1,1))-AVERAGE(OFFSET($H$3,0,0,'Données projet'!$E$11+1,1))</f>
        <v>332.93090933713466</v>
      </c>
      <c r="BJ86" s="59">
        <f t="shared" si="92"/>
        <v>251.83579649532973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19.206060544260449</v>
      </c>
      <c r="BQ86" s="21">
        <f>EXP(-LN(2)/25)*BQ85+(1-EXP(-LN(2)/25))/(LN(2)/25)*Calculateur!BL86*Calculateur!BN86*VLOOKUP('Données projet'!$B$11,Paramètres!$A$1:$I$89,3,0)*0.475*44/12</f>
        <v>1.5999725655670898</v>
      </c>
      <c r="BR86" s="21">
        <f>EXP(-LN(2)/2)*BR85+(1-EXP(-LN(2)/2))/(LN(2)/2)*BL86*BO86*VLOOKUP('Données projet'!$B$11,Paramètres!$A$1:$I$89,3,0)*0.475*44/12</f>
        <v>2.835240436330757E-11</v>
      </c>
      <c r="BS86" s="22">
        <f t="shared" si="63"/>
        <v>20.806033109855889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9.1529999999999969</v>
      </c>
      <c r="BY86" s="12">
        <f>IF('Données projet'!$A$114&gt;35,BY85+BX86-CG85,IF(A86&lt;'Données projet'!$A$114,$BV$205^A86,IF(A86='Données projet'!$A$114,'Données projet'!$B$114,BY85+BX86-CG85)))</f>
        <v>345.93700000000018</v>
      </c>
      <c r="BZ86" s="13">
        <f>BY86*VLOOKUP('Données projet'!$B$12,Paramètres!$A$1:$I$89,3,0)*VLOOKUP('Données projet'!$B$12,Paramètres!$A$1:$I$89,5,0)</f>
        <v>393.95305560000025</v>
      </c>
      <c r="CA86" s="13">
        <f t="shared" si="93"/>
        <v>90.549655320601175</v>
      </c>
      <c r="CB86" s="20">
        <f t="shared" si="64"/>
        <v>843.84222152004747</v>
      </c>
      <c r="CC86" s="59">
        <f t="shared" si="65"/>
        <v>1124.3064021396428</v>
      </c>
      <c r="CD86" s="59">
        <f ca="1">AVERAGE(OFFSET($CC$3,0,0,'Données projet'!$E$12+1,1))-AVERAGE(OFFSET($H$3,0,0,'Données projet'!$E$12+1,1))</f>
        <v>797.57191672067393</v>
      </c>
      <c r="CE86" s="59">
        <f t="shared" si="94"/>
        <v>238.59056544987126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75.993632323209368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75.993632323209368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>
        <f>CT86*VLOOKUP('Données projet'!$B$13,Paramètres!$A$1:$I$89,3,0)*VLOOKUP('Données projet'!$B$13,Paramètres!$A$1:$I$89,5,0)</f>
        <v>0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188.98184340090461</v>
      </c>
      <c r="CZ86" s="59">
        <f t="shared" si="96"/>
        <v>450.74604661797798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31.398083856369016</v>
      </c>
      <c r="DH86" s="21">
        <f>EXP(-LN(2)/2)*DH85+(1-EXP(-LN(2)/2))/(LN(2)/2)*DB86*DE86*VLOOKUP('Données projet'!$B$13,Paramètres!$A$1:$I$89,3,0)*0.475*44/12</f>
        <v>4.737517139338973E-10</v>
      </c>
      <c r="DI86" s="22">
        <f t="shared" si="69"/>
        <v>31.398083856842767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369.00000000000011</v>
      </c>
      <c r="DP86" s="17">
        <f>DO86*VLOOKUP('Données projet'!$B$14,Paramètres!$A$1:$I$89,3,0)*VLOOKUP('Données projet'!$B$14,Paramètres!$A$1:$I$89,5,0)</f>
        <v>333.87120000000004</v>
      </c>
      <c r="DQ86" s="13">
        <f t="shared" si="97"/>
        <v>78.232360111376309</v>
      </c>
      <c r="DR86" s="20">
        <f t="shared" si="70"/>
        <v>717.74703386064709</v>
      </c>
      <c r="DS86" s="59">
        <f t="shared" si="71"/>
        <v>998.21121448024246</v>
      </c>
      <c r="DT86" s="59">
        <f ca="1">AVERAGE(OFFSET($DS$3,0,0,'Données projet'!$E$14+1,1))-AVERAGE(OFFSET($H$3,0,0,'Données projet'!$E$14+1,1))</f>
        <v>442.34161202733173</v>
      </c>
      <c r="DU86" s="59">
        <f t="shared" si="98"/>
        <v>622.90413492324399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3.7006535628786752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3.7006535628786752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9.1529999999999969</v>
      </c>
      <c r="EJ86" s="12">
        <f>IF('Données projet'!$A$192&gt;35,EJ85+EI86-ER85,IF(A86&lt;'Données projet'!$A$192,$EG$205^A86,IF(A86='Données projet'!$A$192,'Données projet'!$B$192,EJ85+EI86-ER85)))</f>
        <v>345.93700000000018</v>
      </c>
      <c r="EK86" s="17">
        <f>EJ86*VLOOKUP('Données projet'!$B$15,Paramètres!$A$1:$I$89,3,0)*VLOOKUP('Données projet'!$B$15,Paramètres!$A$1:$I$89,5,0)</f>
        <v>377.7632040000002</v>
      </c>
      <c r="EL86" s="13">
        <f t="shared" si="99"/>
        <v>87.253599172212361</v>
      </c>
      <c r="EM86" s="20">
        <f t="shared" si="73"/>
        <v>809.90426552493693</v>
      </c>
      <c r="EN86" s="59">
        <f t="shared" si="74"/>
        <v>1090.3684461445323</v>
      </c>
      <c r="EO86" s="59">
        <f ca="1">AVERAGE(OFFSET($EN$3,0,0,'Données projet'!$E$15+1,1))-AVERAGE(OFFSET($H$3,0,0,'Données projet'!$E$15+1,1))</f>
        <v>767.9449852393318</v>
      </c>
      <c r="EP86" s="59">
        <f t="shared" si="100"/>
        <v>230.95605490295961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72.870606337324048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72.870606337324048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66.490231078071474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3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11</v>
      </c>
      <c r="H87" s="66">
        <f t="shared" si="56"/>
        <v>212.66666666666666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188.98184340090461</v>
      </c>
      <c r="T87" s="59">
        <f t="shared" si="88"/>
        <v>450.74604661797798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11.14</v>
      </c>
      <c r="AI87" s="13">
        <f>IF('Données projet'!$A$62&gt;35,AI86+AH87-AQ86,IF(A87&lt;'Données projet'!$A$62,$AF$205^A87,IF(A87='Données projet'!$A$62,'Données projet'!$B$62,AI86+AH87-AQ86)))</f>
        <v>404.5299999999998</v>
      </c>
      <c r="AJ87" s="13">
        <f>AI87*VLOOKUP('Données projet'!$B$10,Paramètres!$A$1:$I$89,3,0)*VLOOKUP('Données projet'!$B$10,Paramètres!$A$1:$I$89,5,0)</f>
        <v>366.0187439999998</v>
      </c>
      <c r="AK87" s="13">
        <f t="shared" si="89"/>
        <v>84.852297129554586</v>
      </c>
      <c r="AL87" s="20">
        <f t="shared" si="58"/>
        <v>785.26706330064053</v>
      </c>
      <c r="AM87" s="59">
        <f t="shared" si="59"/>
        <v>1065.954494948704</v>
      </c>
      <c r="AN87" s="59">
        <f ca="1">AVERAGE(OFFSET($AM$3,0,0,'Données projet'!$E$10+1,1))-AVERAGE(OFFSET($H$3,0,0,'Données projet'!$E$10+1,1))</f>
        <v>725.60981534362895</v>
      </c>
      <c r="AO87" s="59">
        <f t="shared" si="90"/>
        <v>265.16078167969272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115.17108013816704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115.17108013816704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2.0099999999999993</v>
      </c>
      <c r="BD87" s="12">
        <f>IF('Données projet'!$A$88&gt;35,BD86+BC87-BL86,IF(A87&lt;'Données projet'!$A$88,$BA$205^A87,IF(A87='Données projet'!$A$88,'Données projet'!$B$88,BD86+BC87-BL86)))</f>
        <v>130.74000000000009</v>
      </c>
      <c r="BE87" s="13">
        <f>BD87*VLOOKUP('Données projet'!$B$11,Paramètres!$A$1:$I$89,3,0)*VLOOKUP('Données projet'!$B$11,Paramètres!$A$1:$I$89,5,0)</f>
        <v>150.61248000000009</v>
      </c>
      <c r="BF87" s="13">
        <f t="shared" si="91"/>
        <v>38.717740871792756</v>
      </c>
      <c r="BG87" s="20">
        <f t="shared" si="61"/>
        <v>329.7501346850392</v>
      </c>
      <c r="BH87" s="59">
        <f t="shared" si="62"/>
        <v>610.43756633310272</v>
      </c>
      <c r="BI87" s="59">
        <f ca="1">AVERAGE(OFFSET($BH$3,0,0,'Données projet'!$E$11+1,1))-AVERAGE(OFFSET($H$3,0,0,'Données projet'!$E$11+1,1))</f>
        <v>332.93090933713466</v>
      </c>
      <c r="BJ87" s="59">
        <f t="shared" si="92"/>
        <v>251.83579649532973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18.829441411527718</v>
      </c>
      <c r="BQ87" s="21">
        <f>EXP(-LN(2)/25)*BQ86+(1-EXP(-LN(2)/25))/(LN(2)/25)*Calculateur!BL87*Calculateur!BN87*VLOOKUP('Données projet'!$B$11,Paramètres!$A$1:$I$89,3,0)*0.475*44/12</f>
        <v>1.5562212316227573</v>
      </c>
      <c r="BR87" s="21">
        <f>EXP(-LN(2)/2)*BR86+(1-EXP(-LN(2)/2))/(LN(2)/2)*BL87*BO87*VLOOKUP('Données projet'!$B$11,Paramètres!$A$1:$I$89,3,0)*0.475*44/12</f>
        <v>2.0048177388237843E-11</v>
      </c>
      <c r="BS87" s="22">
        <f t="shared" si="63"/>
        <v>20.385662643170523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>
        <f>VLOOKUP(A87,'Données projet'!$A$113:$I$133,2,0)</f>
        <v>355.09</v>
      </c>
      <c r="BW87" s="12">
        <f>VLOOKUP(A87,'Données projet'!$A$113:$I$133,9,0)</f>
        <v>9.1529999999999969</v>
      </c>
      <c r="BX87" s="12">
        <f t="array" ref="BX87">INDEX(BW:BW,MIN(IF(ISNUMBER(BW87:BW283),ROW(BW87:BW283),"")))</f>
        <v>9.1529999999999969</v>
      </c>
      <c r="BY87" s="12">
        <f>IF('Données projet'!$A$114&gt;35,BY86+BX87-CG86,IF(A87&lt;'Données projet'!$A$114,$BV$205^A87,IF(A87='Données projet'!$A$114,'Données projet'!$B$114,BY86+BX87-CG86)))</f>
        <v>355.0900000000002</v>
      </c>
      <c r="BZ87" s="13">
        <f>BY87*VLOOKUP('Données projet'!$B$12,Paramètres!$A$1:$I$89,3,0)*VLOOKUP('Données projet'!$B$12,Paramètres!$A$1:$I$89,5,0)</f>
        <v>404.37649200000021</v>
      </c>
      <c r="CA87" s="13">
        <f t="shared" si="93"/>
        <v>92.663369104242364</v>
      </c>
      <c r="CB87" s="20">
        <f t="shared" si="64"/>
        <v>865.67775808988915</v>
      </c>
      <c r="CC87" s="59">
        <f t="shared" si="65"/>
        <v>1146.3651897379527</v>
      </c>
      <c r="CD87" s="59">
        <f ca="1">AVERAGE(OFFSET($CC$3,0,0,'Données projet'!$E$12+1,1))-AVERAGE(OFFSET($H$3,0,0,'Données projet'!$E$12+1,1))</f>
        <v>797.57191672067393</v>
      </c>
      <c r="CE87" s="59">
        <f t="shared" si="94"/>
        <v>238.59056544987126</v>
      </c>
      <c r="CF87" s="15">
        <f>IF(ISNA(VLOOKUP(A87,'Données projet'!$A$113:$I$133,3,0)),0,VLOOKUP(A87,'Données projet'!$A$113:$I$133,3,0))</f>
        <v>6</v>
      </c>
      <c r="CG87" s="15">
        <f>IF(ISNA(VLOOKUP(A87,'Données projet'!$A$113:$I$133,4,0)),0,VLOOKUP(A87,'Données projet'!$A$113:$I$133,4,0))</f>
        <v>61.47</v>
      </c>
      <c r="CH87" s="16">
        <f>IF(ISNA(VLOOKUP(A87,'Données projet'!$A$113:$I$133,5,0)),0%,VLOOKUP(A87,'Données projet'!$A$113:$I$133,5,0)*VLOOKUP('Données projet'!$B$12,Paramètres!$A$1:$I$89,7,0))</f>
        <v>0.43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107.77906978603978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107.77906978603978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>
        <f>CT87*VLOOKUP('Données projet'!$B$13,Paramètres!$A$1:$I$89,3,0)*VLOOKUP('Données projet'!$B$13,Paramètres!$A$1:$I$89,5,0)</f>
        <v>0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188.98184340090461</v>
      </c>
      <c r="CZ87" s="59">
        <f t="shared" si="96"/>
        <v>450.74604661797798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30.539501602163138</v>
      </c>
      <c r="DH87" s="21">
        <f>EXP(-LN(2)/2)*DH86+(1-EXP(-LN(2)/2))/(LN(2)/2)*DB87*DE87*VLOOKUP('Données projet'!$B$13,Paramètres!$A$1:$I$89,3,0)*0.475*44/12</f>
        <v>3.3499304952140817E-10</v>
      </c>
      <c r="DI87" s="22">
        <f t="shared" si="69"/>
        <v>30.539501602498131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369.00000000000011</v>
      </c>
      <c r="DP87" s="17">
        <f>DO87*VLOOKUP('Données projet'!$B$14,Paramètres!$A$1:$I$89,3,0)*VLOOKUP('Données projet'!$B$14,Paramètres!$A$1:$I$89,5,0)</f>
        <v>333.87120000000004</v>
      </c>
      <c r="DQ87" s="13">
        <f t="shared" si="97"/>
        <v>78.232360111376309</v>
      </c>
      <c r="DR87" s="20">
        <f t="shared" si="70"/>
        <v>717.74703386064709</v>
      </c>
      <c r="DS87" s="59">
        <f t="shared" si="71"/>
        <v>998.43446550871067</v>
      </c>
      <c r="DT87" s="59">
        <f ca="1">AVERAGE(OFFSET($DS$3,0,0,'Données projet'!$E$14+1,1))-AVERAGE(OFFSET($H$3,0,0,'Données projet'!$E$14+1,1))</f>
        <v>442.34161202733173</v>
      </c>
      <c r="DU87" s="59">
        <f t="shared" si="98"/>
        <v>622.90413492324399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3.6280860036864202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3.6280860036864202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>
        <f>VLOOKUP(A87,'Données projet'!$A$191:$I$211,2,0)</f>
        <v>355.09</v>
      </c>
      <c r="EH87" s="12">
        <f>VLOOKUP(A87,'Données projet'!$A$191:$I$211,9,0)</f>
        <v>9.1529999999999969</v>
      </c>
      <c r="EI87" s="12">
        <f t="array" ref="EI87">INDEX(EH:EH,MIN(IF(ISNUMBER(EH87:EH283),ROW(EH87:EH283),"")))</f>
        <v>9.1529999999999969</v>
      </c>
      <c r="EJ87" s="12">
        <f>IF('Données projet'!$A$192&gt;35,EJ86+EI87-ER86,IF(A87&lt;'Données projet'!$A$192,$EG$205^A87,IF(A87='Données projet'!$A$192,'Données projet'!$B$192,EJ86+EI87-ER86)))</f>
        <v>355.0900000000002</v>
      </c>
      <c r="EK87" s="17">
        <f>EJ87*VLOOKUP('Données projet'!$B$15,Paramètres!$A$1:$I$89,3,0)*VLOOKUP('Données projet'!$B$15,Paramètres!$A$1:$I$89,5,0)</f>
        <v>387.75828000000024</v>
      </c>
      <c r="EL87" s="13">
        <f t="shared" si="99"/>
        <v>89.29037263744118</v>
      </c>
      <c r="EM87" s="20">
        <f t="shared" si="73"/>
        <v>830.85973667687711</v>
      </c>
      <c r="EN87" s="59">
        <f t="shared" si="74"/>
        <v>1111.5471683249407</v>
      </c>
      <c r="EO87" s="59">
        <f ca="1">AVERAGE(OFFSET($EN$3,0,0,'Données projet'!$E$15+1,1))-AVERAGE(OFFSET($H$3,0,0,'Données projet'!$E$15+1,1))</f>
        <v>767.9449852393318</v>
      </c>
      <c r="EP87" s="59">
        <f t="shared" si="100"/>
        <v>230.95605490295961</v>
      </c>
      <c r="EQ87" s="15">
        <f>IF(ISNA(VLOOKUP(A87,'Données projet'!$A$191:$I$211,3,0)),0,VLOOKUP(A87,'Données projet'!$A$191:$I$211,3,0))</f>
        <v>6</v>
      </c>
      <c r="ER87" s="15">
        <f>IF(ISNA(VLOOKUP(A87,'Données projet'!$A$191:$I$211,4,0)),0,VLOOKUP(A87,'Données projet'!$A$191:$I$211,4,0))</f>
        <v>61.47</v>
      </c>
      <c r="ES87" s="16">
        <f>IF(ISNA(VLOOKUP(A87,'Données projet'!$A$191:$I$211,5,0)),0%,VLOOKUP(A87,'Données projet'!$A$191:$I$211,5,0)*VLOOKUP('Données projet'!$B$15,Paramètres!$A$1:$I$89,7,0))</f>
        <v>0.43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103.34979294551759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103.34979294551759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66.551117722199137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3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11</v>
      </c>
      <c r="H88" s="66">
        <f t="shared" si="56"/>
        <v>212.66666666666666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188.98184340090461</v>
      </c>
      <c r="T88" s="59">
        <f t="shared" si="88"/>
        <v>450.74604661797798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11.14</v>
      </c>
      <c r="AI88" s="13">
        <f>IF('Données projet'!$A$62&gt;35,AI87+AH88-AQ87,IF(A88&lt;'Données projet'!$A$62,$AF$205^A88,IF(A88='Données projet'!$A$62,'Données projet'!$B$62,AI87+AH88-AQ87)))</f>
        <v>415.66999999999979</v>
      </c>
      <c r="AJ88" s="13">
        <f>AI88*VLOOKUP('Données projet'!$B$10,Paramètres!$A$1:$I$89,3,0)*VLOOKUP('Données projet'!$B$10,Paramètres!$A$1:$I$89,5,0)</f>
        <v>376.09821599999981</v>
      </c>
      <c r="AK88" s="13">
        <f t="shared" si="89"/>
        <v>86.913706278646288</v>
      </c>
      <c r="AL88" s="20">
        <f t="shared" si="58"/>
        <v>806.41243130197529</v>
      </c>
      <c r="AM88" s="59">
        <f t="shared" si="59"/>
        <v>1087.3192410722775</v>
      </c>
      <c r="AN88" s="59">
        <f ca="1">AVERAGE(OFFSET($AM$3,0,0,'Données projet'!$E$10+1,1))-AVERAGE(OFFSET($H$3,0,0,'Données projet'!$E$10+1,1))</f>
        <v>725.60981534362895</v>
      </c>
      <c r="AO88" s="59">
        <f t="shared" si="90"/>
        <v>265.16078167969272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112.91264550408012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112.91264550408012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2.0099999999999993</v>
      </c>
      <c r="BD88" s="12">
        <f>IF('Données projet'!$A$88&gt;35,BD87+BC88-BL87,IF(A88&lt;'Données projet'!$A$88,$BA$205^A88,IF(A88='Données projet'!$A$88,'Données projet'!$B$88,BD87+BC88-BL87)))</f>
        <v>132.75000000000009</v>
      </c>
      <c r="BE88" s="13">
        <f>BD88*VLOOKUP('Données projet'!$B$11,Paramètres!$A$1:$I$89,3,0)*VLOOKUP('Données projet'!$B$11,Paramètres!$A$1:$I$89,5,0)</f>
        <v>152.92800000000008</v>
      </c>
      <c r="BF88" s="13">
        <f t="shared" si="91"/>
        <v>39.243233627408415</v>
      </c>
      <c r="BG88" s="20">
        <f t="shared" si="61"/>
        <v>334.69823190106973</v>
      </c>
      <c r="BH88" s="59">
        <f t="shared" si="62"/>
        <v>615.60504167137196</v>
      </c>
      <c r="BI88" s="59">
        <f ca="1">AVERAGE(OFFSET($BH$3,0,0,'Données projet'!$E$11+1,1))-AVERAGE(OFFSET($H$3,0,0,'Données projet'!$E$11+1,1))</f>
        <v>332.93090933713466</v>
      </c>
      <c r="BJ88" s="59">
        <f t="shared" si="92"/>
        <v>251.83579649532973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18.460207550272887</v>
      </c>
      <c r="BQ88" s="21">
        <f>EXP(-LN(2)/25)*BQ87+(1-EXP(-LN(2)/25))/(LN(2)/25)*Calculateur!BL88*Calculateur!BN88*VLOOKUP('Données projet'!$B$11,Paramètres!$A$1:$I$89,3,0)*0.475*44/12</f>
        <v>1.5136662802059151</v>
      </c>
      <c r="BR88" s="21">
        <f>EXP(-LN(2)/2)*BR87+(1-EXP(-LN(2)/2))/(LN(2)/2)*BL88*BO88*VLOOKUP('Données projet'!$B$11,Paramètres!$A$1:$I$89,3,0)*0.475*44/12</f>
        <v>1.4176202181653788E-11</v>
      </c>
      <c r="BS88" s="22">
        <f t="shared" si="63"/>
        <v>19.973873830492977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8.6509999999999998</v>
      </c>
      <c r="BY88" s="12">
        <f>IF('Données projet'!$A$114&gt;35,BY87+BX88-CG87,IF(A88&lt;'Données projet'!$A$114,$BV$205^A88,IF(A88='Données projet'!$A$114,'Données projet'!$B$114,BY87+BX88-CG87)))</f>
        <v>302.27100000000019</v>
      </c>
      <c r="BZ88" s="13">
        <f>BY88*VLOOKUP('Données projet'!$B$12,Paramètres!$A$1:$I$89,3,0)*VLOOKUP('Données projet'!$B$12,Paramètres!$A$1:$I$89,5,0)</f>
        <v>344.22621480000021</v>
      </c>
      <c r="CA88" s="13">
        <f t="shared" si="93"/>
        <v>80.372480389083805</v>
      </c>
      <c r="CB88" s="20">
        <f t="shared" si="64"/>
        <v>739.50939412098796</v>
      </c>
      <c r="CC88" s="59">
        <f t="shared" si="65"/>
        <v>1020.4162038912903</v>
      </c>
      <c r="CD88" s="59">
        <f ca="1">AVERAGE(OFFSET($CC$3,0,0,'Données projet'!$E$12+1,1))-AVERAGE(OFFSET($H$3,0,0,'Données projet'!$E$12+1,1))</f>
        <v>797.57191672067393</v>
      </c>
      <c r="CE88" s="59">
        <f t="shared" si="94"/>
        <v>238.59056544987126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105.66558796627695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105.66558796627695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>
        <f>CT88*VLOOKUP('Données projet'!$B$13,Paramètres!$A$1:$I$89,3,0)*VLOOKUP('Données projet'!$B$13,Paramètres!$A$1:$I$89,5,0)</f>
        <v>0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188.98184340090461</v>
      </c>
      <c r="CZ88" s="59">
        <f t="shared" si="96"/>
        <v>450.74604661797798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29.704397324849396</v>
      </c>
      <c r="DH88" s="21">
        <f>EXP(-LN(2)/2)*DH87+(1-EXP(-LN(2)/2))/(LN(2)/2)*DB88*DE88*VLOOKUP('Données projet'!$B$13,Paramètres!$A$1:$I$89,3,0)*0.475*44/12</f>
        <v>2.3687585696694865E-10</v>
      </c>
      <c r="DI88" s="22">
        <f t="shared" si="69"/>
        <v>29.704397325086273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369.00000000000011</v>
      </c>
      <c r="DP88" s="17">
        <f>DO88*VLOOKUP('Données projet'!$B$14,Paramètres!$A$1:$I$89,3,0)*VLOOKUP('Données projet'!$B$14,Paramètres!$A$1:$I$89,5,0)</f>
        <v>333.87120000000004</v>
      </c>
      <c r="DQ88" s="13">
        <f t="shared" si="97"/>
        <v>78.232360111376309</v>
      </c>
      <c r="DR88" s="20">
        <f t="shared" si="70"/>
        <v>717.74703386064709</v>
      </c>
      <c r="DS88" s="59">
        <f t="shared" si="71"/>
        <v>998.65384363094927</v>
      </c>
      <c r="DT88" s="59">
        <f ca="1">AVERAGE(OFFSET($DS$3,0,0,'Données projet'!$E$14+1,1))-AVERAGE(OFFSET($H$3,0,0,'Données projet'!$E$14+1,1))</f>
        <v>442.34161202733173</v>
      </c>
      <c r="DU88" s="59">
        <f t="shared" si="98"/>
        <v>622.90413492324399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3.5569414500680847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3.5569414500680847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8.6509999999999998</v>
      </c>
      <c r="EJ88" s="12">
        <f>IF('Données projet'!$A$192&gt;35,EJ87+EI88-ER87,IF(A88&lt;'Données projet'!$A$192,$EG$205^A88,IF(A88='Données projet'!$A$192,'Données projet'!$B$192,EJ87+EI88-ER87)))</f>
        <v>302.27100000000019</v>
      </c>
      <c r="EK88" s="17">
        <f>EJ88*VLOOKUP('Données projet'!$B$15,Paramètres!$A$1:$I$89,3,0)*VLOOKUP('Données projet'!$B$15,Paramètres!$A$1:$I$89,5,0)</f>
        <v>330.07993200000016</v>
      </c>
      <c r="EL88" s="13">
        <f t="shared" si="99"/>
        <v>77.446878881162505</v>
      </c>
      <c r="EM88" s="20">
        <f t="shared" si="73"/>
        <v>709.77586228469147</v>
      </c>
      <c r="EN88" s="59">
        <f t="shared" si="74"/>
        <v>990.68267205499365</v>
      </c>
      <c r="EO88" s="59">
        <f ca="1">AVERAGE(OFFSET($EN$3,0,0,'Données projet'!$E$15+1,1))-AVERAGE(OFFSET($H$3,0,0,'Données projet'!$E$15+1,1))</f>
        <v>767.9449852393318</v>
      </c>
      <c r="EP88" s="59">
        <f t="shared" si="100"/>
        <v>230.95605490295961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101.32316654300529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101.32316654300529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66.610948119173344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3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11</v>
      </c>
      <c r="H89" s="66">
        <f t="shared" si="56"/>
        <v>212.66666666666666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188.98184340090461</v>
      </c>
      <c r="T89" s="59">
        <f t="shared" si="88"/>
        <v>450.74604661797798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11.14</v>
      </c>
      <c r="AI89" s="13">
        <f>IF('Données projet'!$A$62&gt;35,AI88+AH89-AQ88,IF(A89&lt;'Données projet'!$A$62,$AF$205^A89,IF(A89='Données projet'!$A$62,'Données projet'!$B$62,AI88+AH89-AQ88)))</f>
        <v>426.80999999999977</v>
      </c>
      <c r="AJ89" s="13">
        <f>AI89*VLOOKUP('Données projet'!$B$10,Paramètres!$A$1:$I$89,3,0)*VLOOKUP('Données projet'!$B$10,Paramètres!$A$1:$I$89,5,0)</f>
        <v>386.17768799999982</v>
      </c>
      <c r="AK89" s="13">
        <f t="shared" si="89"/>
        <v>88.968694002826282</v>
      </c>
      <c r="AL89" s="20">
        <f t="shared" si="58"/>
        <v>827.54661532158877</v>
      </c>
      <c r="AM89" s="59">
        <f t="shared" si="59"/>
        <v>1108.6689974941648</v>
      </c>
      <c r="AN89" s="59">
        <f ca="1">AVERAGE(OFFSET($AM$3,0,0,'Données projet'!$E$10+1,1))-AVERAGE(OFFSET($H$3,0,0,'Données projet'!$E$10+1,1))</f>
        <v>725.60981534362895</v>
      </c>
      <c r="AO89" s="59">
        <f t="shared" si="90"/>
        <v>265.16078167969272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110.69849739565852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110.69849739565852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2.0099999999999993</v>
      </c>
      <c r="BD89" s="12">
        <f>IF('Données projet'!$A$88&gt;35,BD88+BC89-BL88,IF(A89&lt;'Données projet'!$A$88,$BA$205^A89,IF(A89='Données projet'!$A$88,'Données projet'!$B$88,BD88+BC89-BL88)))</f>
        <v>134.76000000000008</v>
      </c>
      <c r="BE89" s="13">
        <f>BD89*VLOOKUP('Données projet'!$B$11,Paramètres!$A$1:$I$89,3,0)*VLOOKUP('Données projet'!$B$11,Paramètres!$A$1:$I$89,5,0)</f>
        <v>155.24352000000007</v>
      </c>
      <c r="BF89" s="13">
        <f t="shared" si="91"/>
        <v>39.767801011493425</v>
      </c>
      <c r="BG89" s="20">
        <f t="shared" si="61"/>
        <v>339.64471742835116</v>
      </c>
      <c r="BH89" s="59">
        <f t="shared" si="62"/>
        <v>620.76709960092728</v>
      </c>
      <c r="BI89" s="59">
        <f ca="1">AVERAGE(OFFSET($BH$3,0,0,'Données projet'!$E$11+1,1))-AVERAGE(OFFSET($H$3,0,0,'Données projet'!$E$11+1,1))</f>
        <v>332.93090933713466</v>
      </c>
      <c r="BJ89" s="59">
        <f t="shared" si="92"/>
        <v>251.83579649532973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18.098214139826847</v>
      </c>
      <c r="BQ89" s="21">
        <f>EXP(-LN(2)/25)*BQ88+(1-EXP(-LN(2)/25))/(LN(2)/25)*Calculateur!BL89*Calculateur!BN89*VLOOKUP('Données projet'!$B$11,Paramètres!$A$1:$I$89,3,0)*0.475*44/12</f>
        <v>1.4722749961734343</v>
      </c>
      <c r="BR89" s="21">
        <f>EXP(-LN(2)/2)*BR88+(1-EXP(-LN(2)/2))/(LN(2)/2)*BL89*BO89*VLOOKUP('Données projet'!$B$11,Paramètres!$A$1:$I$89,3,0)*0.475*44/12</f>
        <v>1.0024088694118923E-11</v>
      </c>
      <c r="BS89" s="22">
        <f t="shared" si="63"/>
        <v>19.570489136010309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8.6509999999999998</v>
      </c>
      <c r="BY89" s="12">
        <f>IF('Données projet'!$A$114&gt;35,BY88+BX89-CG88,IF(A89&lt;'Données projet'!$A$114,$BV$205^A89,IF(A89='Données projet'!$A$114,'Données projet'!$B$114,BY88+BX89-CG88)))</f>
        <v>310.9220000000002</v>
      </c>
      <c r="BZ89" s="13">
        <f>BY89*VLOOKUP('Données projet'!$B$12,Paramètres!$A$1:$I$89,3,0)*VLOOKUP('Données projet'!$B$12,Paramètres!$A$1:$I$89,5,0)</f>
        <v>354.07797360000023</v>
      </c>
      <c r="CA89" s="13">
        <f t="shared" si="93"/>
        <v>82.401641401935777</v>
      </c>
      <c r="CB89" s="20">
        <f t="shared" si="64"/>
        <v>760.20199612837177</v>
      </c>
      <c r="CC89" s="59">
        <f t="shared" si="65"/>
        <v>1041.324378300948</v>
      </c>
      <c r="CD89" s="59">
        <f ca="1">AVERAGE(OFFSET($CC$3,0,0,'Données projet'!$E$12+1,1))-AVERAGE(OFFSET($H$3,0,0,'Données projet'!$E$12+1,1))</f>
        <v>797.57191672067393</v>
      </c>
      <c r="CE89" s="59">
        <f t="shared" si="94"/>
        <v>238.59056544987126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103.59355023590304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103.59355023590304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>
        <f>CT89*VLOOKUP('Données projet'!$B$13,Paramètres!$A$1:$I$89,3,0)*VLOOKUP('Données projet'!$B$13,Paramètres!$A$1:$I$89,5,0)</f>
        <v>0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188.98184340090461</v>
      </c>
      <c r="CZ89" s="59">
        <f t="shared" si="96"/>
        <v>450.74604661797798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28.892129017915025</v>
      </c>
      <c r="DH89" s="21">
        <f>EXP(-LN(2)/2)*DH88+(1-EXP(-LN(2)/2))/(LN(2)/2)*DB89*DE89*VLOOKUP('Données projet'!$B$13,Paramètres!$A$1:$I$89,3,0)*0.475*44/12</f>
        <v>1.6749652476070409E-10</v>
      </c>
      <c r="DI89" s="22">
        <f t="shared" si="69"/>
        <v>28.892129018082521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369.00000000000011</v>
      </c>
      <c r="DP89" s="17">
        <f>DO89*VLOOKUP('Données projet'!$B$14,Paramètres!$A$1:$I$89,3,0)*VLOOKUP('Données projet'!$B$14,Paramètres!$A$1:$I$89,5,0)</f>
        <v>333.87120000000004</v>
      </c>
      <c r="DQ89" s="13">
        <f t="shared" si="97"/>
        <v>78.232360111376309</v>
      </c>
      <c r="DR89" s="20">
        <f t="shared" si="70"/>
        <v>717.74703386064709</v>
      </c>
      <c r="DS89" s="59">
        <f t="shared" si="71"/>
        <v>998.86941603322316</v>
      </c>
      <c r="DT89" s="59">
        <f ca="1">AVERAGE(OFFSET($DS$3,0,0,'Données projet'!$E$14+1,1))-AVERAGE(OFFSET($H$3,0,0,'Données projet'!$E$14+1,1))</f>
        <v>442.34161202733173</v>
      </c>
      <c r="DU89" s="59">
        <f t="shared" si="98"/>
        <v>622.90413492324399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3.4871919977523116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3.4871919977523116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8.6509999999999998</v>
      </c>
      <c r="EJ89" s="12">
        <f>IF('Données projet'!$A$192&gt;35,EJ88+EI89-ER88,IF(A89&lt;'Données projet'!$A$192,$EG$205^A89,IF(A89='Données projet'!$A$192,'Données projet'!$B$192,EJ88+EI89-ER88)))</f>
        <v>310.9220000000002</v>
      </c>
      <c r="EK89" s="17">
        <f>EJ89*VLOOKUP('Données projet'!$B$15,Paramètres!$A$1:$I$89,3,0)*VLOOKUP('Données projet'!$B$15,Paramètres!$A$1:$I$89,5,0)</f>
        <v>339.5268240000002</v>
      </c>
      <c r="EL89" s="13">
        <f t="shared" si="99"/>
        <v>79.402177341928521</v>
      </c>
      <c r="EM89" s="20">
        <f t="shared" si="73"/>
        <v>729.63467733719244</v>
      </c>
      <c r="EN89" s="59">
        <f t="shared" si="74"/>
        <v>1010.7570595097686</v>
      </c>
      <c r="EO89" s="59">
        <f ca="1">AVERAGE(OFFSET($EN$3,0,0,'Données projet'!$E$15+1,1))-AVERAGE(OFFSET($H$3,0,0,'Données projet'!$E$15+1,1))</f>
        <v>767.9449852393318</v>
      </c>
      <c r="EP89" s="59">
        <f t="shared" si="100"/>
        <v>230.95605490295961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99.336281048126196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99.336281048126196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66.669740592520753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3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11</v>
      </c>
      <c r="H90" s="66">
        <f t="shared" si="56"/>
        <v>212.66666666666666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188.98184340090461</v>
      </c>
      <c r="T90" s="59">
        <f t="shared" si="88"/>
        <v>450.74604661797798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11.14</v>
      </c>
      <c r="AI90" s="13">
        <f>IF('Données projet'!$A$62&gt;35,AI89+AH90-AQ89,IF(A90&lt;'Données projet'!$A$62,$AF$205^A90,IF(A90='Données projet'!$A$62,'Données projet'!$B$62,AI89+AH90-AQ89)))</f>
        <v>437.94999999999976</v>
      </c>
      <c r="AJ90" s="13">
        <f>AI90*VLOOKUP('Données projet'!$B$10,Paramètres!$A$1:$I$89,3,0)*VLOOKUP('Données projet'!$B$10,Paramètres!$A$1:$I$89,5,0)</f>
        <v>396.25715999999977</v>
      </c>
      <c r="AK90" s="13">
        <f t="shared" si="89"/>
        <v>91.017447173180457</v>
      </c>
      <c r="AL90" s="20">
        <f t="shared" si="58"/>
        <v>848.66994082662222</v>
      </c>
      <c r="AM90" s="59">
        <f t="shared" si="59"/>
        <v>1130.0041557022405</v>
      </c>
      <c r="AN90" s="59">
        <f ca="1">AVERAGE(OFFSET($AM$3,0,0,'Données projet'!$E$10+1,1))-AVERAGE(OFFSET($H$3,0,0,'Données projet'!$E$10+1,1))</f>
        <v>725.60981534362895</v>
      </c>
      <c r="AO90" s="59">
        <f t="shared" si="90"/>
        <v>265.16078167969272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108.52776738114608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108.52776738114608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2.0099999999999993</v>
      </c>
      <c r="BD90" s="12">
        <f>IF('Données projet'!$A$88&gt;35,BD89+BC90-BL89,IF(A90&lt;'Données projet'!$A$88,$BA$205^A90,IF(A90='Données projet'!$A$88,'Données projet'!$B$88,BD89+BC90-BL89)))</f>
        <v>136.77000000000007</v>
      </c>
      <c r="BE90" s="13">
        <f>BD90*VLOOKUP('Données projet'!$B$11,Paramètres!$A$1:$I$89,3,0)*VLOOKUP('Données projet'!$B$11,Paramètres!$A$1:$I$89,5,0)</f>
        <v>157.55904000000007</v>
      </c>
      <c r="BF90" s="13">
        <f t="shared" si="91"/>
        <v>40.291458420706903</v>
      </c>
      <c r="BG90" s="20">
        <f t="shared" si="61"/>
        <v>344.58961808273131</v>
      </c>
      <c r="BH90" s="59">
        <f t="shared" si="62"/>
        <v>625.92383295834952</v>
      </c>
      <c r="BI90" s="59">
        <f ca="1">AVERAGE(OFFSET($BH$3,0,0,'Données projet'!$E$11+1,1))-AVERAGE(OFFSET($H$3,0,0,'Données projet'!$E$11+1,1))</f>
        <v>332.93090933713466</v>
      </c>
      <c r="BJ90" s="59">
        <f t="shared" si="92"/>
        <v>251.83579649532973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17.743319199365477</v>
      </c>
      <c r="BQ90" s="21">
        <f>EXP(-LN(2)/25)*BQ89+(1-EXP(-LN(2)/25))/(LN(2)/25)*Calculateur!BL90*Calculateur!BN90*VLOOKUP('Données projet'!$B$11,Paramètres!$A$1:$I$89,3,0)*0.475*44/12</f>
        <v>1.4320155589794945</v>
      </c>
      <c r="BR90" s="21">
        <f>EXP(-LN(2)/2)*BR89+(1-EXP(-LN(2)/2))/(LN(2)/2)*BL90*BO90*VLOOKUP('Données projet'!$B$11,Paramètres!$A$1:$I$89,3,0)*0.475*44/12</f>
        <v>7.0881010908268949E-12</v>
      </c>
      <c r="BS90" s="22">
        <f t="shared" si="63"/>
        <v>19.175334758352058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8.6509999999999998</v>
      </c>
      <c r="BY90" s="12">
        <f>IF('Données projet'!$A$114&gt;35,BY89+BX90-CG89,IF(A90&lt;'Données projet'!$A$114,$BV$205^A90,IF(A90='Données projet'!$A$114,'Données projet'!$B$114,BY89+BX90-CG89)))</f>
        <v>319.57300000000021</v>
      </c>
      <c r="BZ90" s="13">
        <f>BY90*VLOOKUP('Données projet'!$B$12,Paramètres!$A$1:$I$89,3,0)*VLOOKUP('Données projet'!$B$12,Paramètres!$A$1:$I$89,5,0)</f>
        <v>363.9297324000002</v>
      </c>
      <c r="CA90" s="13">
        <f t="shared" si="93"/>
        <v>84.424240350440783</v>
      </c>
      <c r="CB90" s="20">
        <f t="shared" si="64"/>
        <v>780.88316920701811</v>
      </c>
      <c r="CC90" s="59">
        <f t="shared" si="65"/>
        <v>1062.2173840826363</v>
      </c>
      <c r="CD90" s="59">
        <f ca="1">AVERAGE(OFFSET($CC$3,0,0,'Données projet'!$E$12+1,1))-AVERAGE(OFFSET($H$3,0,0,'Données projet'!$E$12+1,1))</f>
        <v>797.57191672067393</v>
      </c>
      <c r="CE90" s="59">
        <f t="shared" si="94"/>
        <v>238.59056544987126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101.56214390160355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101.56214390160355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>
        <f>CT90*VLOOKUP('Données projet'!$B$13,Paramètres!$A$1:$I$89,3,0)*VLOOKUP('Données projet'!$B$13,Paramètres!$A$1:$I$89,5,0)</f>
        <v>0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188.98184340090461</v>
      </c>
      <c r="CZ90" s="59">
        <f t="shared" si="96"/>
        <v>450.74604661797798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28.102072230549108</v>
      </c>
      <c r="DH90" s="21">
        <f>EXP(-LN(2)/2)*DH89+(1-EXP(-LN(2)/2))/(LN(2)/2)*DB90*DE90*VLOOKUP('Données projet'!$B$13,Paramètres!$A$1:$I$89,3,0)*0.475*44/12</f>
        <v>1.1843792848347432E-10</v>
      </c>
      <c r="DI90" s="22">
        <f t="shared" si="69"/>
        <v>28.102072230667545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369.00000000000011</v>
      </c>
      <c r="DP90" s="17">
        <f>DO90*VLOOKUP('Données projet'!$B$14,Paramètres!$A$1:$I$89,3,0)*VLOOKUP('Données projet'!$B$14,Paramètres!$A$1:$I$89,5,0)</f>
        <v>333.87120000000004</v>
      </c>
      <c r="DQ90" s="13">
        <f t="shared" si="97"/>
        <v>78.232360111376309</v>
      </c>
      <c r="DR90" s="20">
        <f t="shared" si="70"/>
        <v>717.74703386064709</v>
      </c>
      <c r="DS90" s="59">
        <f t="shared" si="71"/>
        <v>999.08124873626525</v>
      </c>
      <c r="DT90" s="59">
        <f ca="1">AVERAGE(OFFSET($DS$3,0,0,'Données projet'!$E$14+1,1))-AVERAGE(OFFSET($H$3,0,0,'Données projet'!$E$14+1,1))</f>
        <v>442.34161202733173</v>
      </c>
      <c r="DU90" s="59">
        <f t="shared" si="98"/>
        <v>622.90413492324399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3.4188102896534858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3.4188102896534858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8.6509999999999998</v>
      </c>
      <c r="EJ90" s="12">
        <f>IF('Données projet'!$A$192&gt;35,EJ89+EI90-ER89,IF(A90&lt;'Données projet'!$A$192,$EG$205^A90,IF(A90='Données projet'!$A$192,'Données projet'!$B$192,EJ89+EI90-ER89)))</f>
        <v>319.57300000000021</v>
      </c>
      <c r="EK90" s="17">
        <f>EJ90*VLOOKUP('Données projet'!$B$15,Paramètres!$A$1:$I$89,3,0)*VLOOKUP('Données projet'!$B$15,Paramètres!$A$1:$I$89,5,0)</f>
        <v>348.97371600000025</v>
      </c>
      <c r="EL90" s="13">
        <f t="shared" si="99"/>
        <v>81.351152601018768</v>
      </c>
      <c r="EM90" s="20">
        <f t="shared" si="73"/>
        <v>749.48247948010805</v>
      </c>
      <c r="EN90" s="59">
        <f t="shared" si="74"/>
        <v>1030.8166943557262</v>
      </c>
      <c r="EO90" s="59">
        <f ca="1">AVERAGE(OFFSET($EN$3,0,0,'Données projet'!$E$15+1,1))-AVERAGE(OFFSET($H$3,0,0,'Données projet'!$E$15+1,1))</f>
        <v>767.9449852393318</v>
      </c>
      <c r="EP90" s="59">
        <f t="shared" si="100"/>
        <v>230.95605490295961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97.388357165921192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97.388357165921192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66.727513147895877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3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11</v>
      </c>
      <c r="H91" s="66">
        <f t="shared" si="56"/>
        <v>212.66666666666666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188.98184340090461</v>
      </c>
      <c r="T91" s="59">
        <f t="shared" si="88"/>
        <v>450.74604661797798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11.14</v>
      </c>
      <c r="AI91" s="13">
        <f>IF('Données projet'!$A$62&gt;35,AI90+AH91-AQ90,IF(A91&lt;'Données projet'!$A$62,$AF$205^A91,IF(A91='Données projet'!$A$62,'Données projet'!$B$62,AI90+AH91-AQ90)))</f>
        <v>449.08999999999975</v>
      </c>
      <c r="AJ91" s="13">
        <f>AI91*VLOOKUP('Données projet'!$B$10,Paramètres!$A$1:$I$89,3,0)*VLOOKUP('Données projet'!$B$10,Paramètres!$A$1:$I$89,5,0)</f>
        <v>406.33663199999972</v>
      </c>
      <c r="AK91" s="13">
        <f t="shared" si="89"/>
        <v>93.060142612346141</v>
      </c>
      <c r="AL91" s="20">
        <f t="shared" si="58"/>
        <v>869.78271578316901</v>
      </c>
      <c r="AM91" s="59">
        <f t="shared" si="59"/>
        <v>1151.3250885380185</v>
      </c>
      <c r="AN91" s="59">
        <f ca="1">AVERAGE(OFFSET($AM$3,0,0,'Données projet'!$E$10+1,1))-AVERAGE(OFFSET($H$3,0,0,'Données projet'!$E$10+1,1))</f>
        <v>725.60981534362895</v>
      </c>
      <c r="AO91" s="59">
        <f t="shared" si="90"/>
        <v>265.16078167969272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106.39960405820365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106.39960405820365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2.0099999999999993</v>
      </c>
      <c r="BD91" s="12">
        <f>IF('Données projet'!$A$88&gt;35,BD90+BC91-BL90,IF(A91&lt;'Données projet'!$A$88,$BA$205^A91,IF(A91='Données projet'!$A$88,'Données projet'!$B$88,BD90+BC91-BL90)))</f>
        <v>138.78000000000006</v>
      </c>
      <c r="BE91" s="13">
        <f>BD91*VLOOKUP('Données projet'!$B$11,Paramètres!$A$1:$I$89,3,0)*VLOOKUP('Données projet'!$B$11,Paramètres!$A$1:$I$89,5,0)</f>
        <v>159.87456000000006</v>
      </c>
      <c r="BF91" s="13">
        <f t="shared" si="91"/>
        <v>40.814220773182939</v>
      </c>
      <c r="BG91" s="20">
        <f t="shared" si="61"/>
        <v>349.53295984662697</v>
      </c>
      <c r="BH91" s="59">
        <f t="shared" si="62"/>
        <v>631.07533260147648</v>
      </c>
      <c r="BI91" s="59">
        <f ca="1">AVERAGE(OFFSET($BH$3,0,0,'Données projet'!$E$11+1,1))-AVERAGE(OFFSET($H$3,0,0,'Données projet'!$E$11+1,1))</f>
        <v>332.93090933713466</v>
      </c>
      <c r="BJ91" s="59">
        <f t="shared" si="92"/>
        <v>251.83579649532973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17.395383532222013</v>
      </c>
      <c r="BQ91" s="21">
        <f>EXP(-LN(2)/25)*BQ90+(1-EXP(-LN(2)/25))/(LN(2)/25)*Calculateur!BL91*Calculateur!BN91*VLOOKUP('Données projet'!$B$11,Paramètres!$A$1:$I$89,3,0)*0.475*44/12</f>
        <v>1.3928570182127749</v>
      </c>
      <c r="BR91" s="21">
        <f>EXP(-LN(2)/2)*BR90+(1-EXP(-LN(2)/2))/(LN(2)/2)*BL91*BO91*VLOOKUP('Données projet'!$B$11,Paramètres!$A$1:$I$89,3,0)*0.475*44/12</f>
        <v>5.0120443470594624E-12</v>
      </c>
      <c r="BS91" s="22">
        <f t="shared" si="63"/>
        <v>18.788240550439802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8.6509999999999998</v>
      </c>
      <c r="BY91" s="12">
        <f>IF('Données projet'!$A$114&gt;35,BY90+BX91-CG90,IF(A91&lt;'Données projet'!$A$114,$BV$205^A91,IF(A91='Données projet'!$A$114,'Données projet'!$B$114,BY90+BX91-CG90)))</f>
        <v>328.22400000000022</v>
      </c>
      <c r="BZ91" s="13">
        <f>BY91*VLOOKUP('Données projet'!$B$12,Paramètres!$A$1:$I$89,3,0)*VLOOKUP('Données projet'!$B$12,Paramètres!$A$1:$I$89,5,0)</f>
        <v>373.78149120000023</v>
      </c>
      <c r="CA91" s="13">
        <f t="shared" si="93"/>
        <v>86.440475286911507</v>
      </c>
      <c r="CB91" s="20">
        <f t="shared" si="64"/>
        <v>801.55325829803803</v>
      </c>
      <c r="CC91" s="59">
        <f t="shared" si="65"/>
        <v>1083.0956310528877</v>
      </c>
      <c r="CD91" s="59">
        <f ca="1">AVERAGE(OFFSET($CC$3,0,0,'Données projet'!$E$12+1,1))-AVERAGE(OFFSET($H$3,0,0,'Données projet'!$E$12+1,1))</f>
        <v>797.57191672067393</v>
      </c>
      <c r="CE91" s="59">
        <f t="shared" si="94"/>
        <v>238.59056544987126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99.570572206484144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99.570572206484144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>
        <f>CT91*VLOOKUP('Données projet'!$B$13,Paramètres!$A$1:$I$89,3,0)*VLOOKUP('Données projet'!$B$13,Paramètres!$A$1:$I$89,5,0)</f>
        <v>0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188.98184340090461</v>
      </c>
      <c r="CZ91" s="59">
        <f t="shared" si="96"/>
        <v>450.74604661797798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27.333619587580994</v>
      </c>
      <c r="DH91" s="21">
        <f>EXP(-LN(2)/2)*DH90+(1-EXP(-LN(2)/2))/(LN(2)/2)*DB91*DE91*VLOOKUP('Données projet'!$B$13,Paramètres!$A$1:$I$89,3,0)*0.475*44/12</f>
        <v>8.3748262380352044E-11</v>
      </c>
      <c r="DI91" s="22">
        <f t="shared" si="69"/>
        <v>27.333619587664742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369.00000000000011</v>
      </c>
      <c r="DP91" s="17">
        <f>DO91*VLOOKUP('Données projet'!$B$14,Paramètres!$A$1:$I$89,3,0)*VLOOKUP('Données projet'!$B$14,Paramètres!$A$1:$I$89,5,0)</f>
        <v>333.87120000000004</v>
      </c>
      <c r="DQ91" s="13">
        <f t="shared" si="97"/>
        <v>78.232360111376309</v>
      </c>
      <c r="DR91" s="20">
        <f t="shared" si="70"/>
        <v>717.74703386064709</v>
      </c>
      <c r="DS91" s="59">
        <f t="shared" si="71"/>
        <v>999.28940661549666</v>
      </c>
      <c r="DT91" s="59">
        <f ca="1">AVERAGE(OFFSET($DS$3,0,0,'Données projet'!$E$14+1,1))-AVERAGE(OFFSET($H$3,0,0,'Données projet'!$E$14+1,1))</f>
        <v>442.34161202733173</v>
      </c>
      <c r="DU91" s="59">
        <f t="shared" si="98"/>
        <v>622.90413492324399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3.3517695051417546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3.3517695051417546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8.6509999999999998</v>
      </c>
      <c r="EJ91" s="12">
        <f>IF('Données projet'!$A$192&gt;35,EJ90+EI91-ER90,IF(A91&lt;'Données projet'!$A$192,$EG$205^A91,IF(A91='Données projet'!$A$192,'Données projet'!$B$192,EJ90+EI91-ER90)))</f>
        <v>328.22400000000022</v>
      </c>
      <c r="EK91" s="17">
        <f>EJ91*VLOOKUP('Données projet'!$B$15,Paramètres!$A$1:$I$89,3,0)*VLOOKUP('Données projet'!$B$15,Paramètres!$A$1:$I$89,5,0)</f>
        <v>358.42060800000024</v>
      </c>
      <c r="EL91" s="13">
        <f t="shared" si="99"/>
        <v>83.293995501534994</v>
      </c>
      <c r="EM91" s="20">
        <f t="shared" si="73"/>
        <v>769.31960109850718</v>
      </c>
      <c r="EN91" s="59">
        <f t="shared" si="74"/>
        <v>1050.8619738533566</v>
      </c>
      <c r="EO91" s="59">
        <f ca="1">AVERAGE(OFFSET($EN$3,0,0,'Données projet'!$E$15+1,1))-AVERAGE(OFFSET($H$3,0,0,'Données projet'!$E$15+1,1))</f>
        <v>767.9449852393318</v>
      </c>
      <c r="EP91" s="59">
        <f t="shared" si="100"/>
        <v>230.95605490295961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95.478630882929991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95.478630882929991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66.784283478595341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3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11</v>
      </c>
      <c r="H92" s="66">
        <f t="shared" si="56"/>
        <v>212.66666666666666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188.98184340090461</v>
      </c>
      <c r="T92" s="59">
        <f t="shared" si="88"/>
        <v>450.74604661797798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11.14</v>
      </c>
      <c r="AI92" s="13">
        <f>IF('Données projet'!$A$62&gt;35,AI91+AH92-AQ91,IF(A92&lt;'Données projet'!$A$62,$AF$205^A92,IF(A92='Données projet'!$A$62,'Données projet'!$B$62,AI91+AH92-AQ91)))</f>
        <v>460.22999999999973</v>
      </c>
      <c r="AJ92" s="13">
        <f>AI92*VLOOKUP('Données projet'!$B$10,Paramètres!$A$1:$I$89,3,0)*VLOOKUP('Données projet'!$B$10,Paramètres!$A$1:$I$89,5,0)</f>
        <v>416.41610399999973</v>
      </c>
      <c r="AK92" s="13">
        <f t="shared" si="89"/>
        <v>95.09694787050303</v>
      </c>
      <c r="AL92" s="20">
        <f t="shared" si="58"/>
        <v>890.8852320077923</v>
      </c>
      <c r="AM92" s="59">
        <f t="shared" si="59"/>
        <v>1172.6321515680397</v>
      </c>
      <c r="AN92" s="59">
        <f ca="1">AVERAGE(OFFSET($AM$3,0,0,'Données projet'!$E$10+1,1))-AVERAGE(OFFSET($H$3,0,0,'Données projet'!$E$10+1,1))</f>
        <v>725.60981534362895</v>
      </c>
      <c r="AO92" s="59">
        <f t="shared" si="90"/>
        <v>265.16078167969272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104.31317271997267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104.31317271997267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2.0099999999999993</v>
      </c>
      <c r="BD92" s="12">
        <f>IF('Données projet'!$A$88&gt;35,BD91+BC92-BL91,IF(A92&lt;'Données projet'!$A$88,$BA$205^A92,IF(A92='Données projet'!$A$88,'Données projet'!$B$88,BD91+BC92-BL91)))</f>
        <v>140.79000000000005</v>
      </c>
      <c r="BE92" s="13">
        <f>BD92*VLOOKUP('Données projet'!$B$11,Paramètres!$A$1:$I$89,3,0)*VLOOKUP('Données projet'!$B$11,Paramètres!$A$1:$I$89,5,0)</f>
        <v>162.19008000000002</v>
      </c>
      <c r="BF92" s="13">
        <f t="shared" si="91"/>
        <v>41.336102530113926</v>
      </c>
      <c r="BG92" s="20">
        <f t="shared" si="61"/>
        <v>354.47476790661511</v>
      </c>
      <c r="BH92" s="59">
        <f t="shared" si="62"/>
        <v>636.22168746686259</v>
      </c>
      <c r="BI92" s="59">
        <f ca="1">AVERAGE(OFFSET($BH$3,0,0,'Données projet'!$E$11+1,1))-AVERAGE(OFFSET($H$3,0,0,'Données projet'!$E$11+1,1))</f>
        <v>332.93090933713466</v>
      </c>
      <c r="BJ92" s="59">
        <f t="shared" si="92"/>
        <v>251.83579649532973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17.05427067129143</v>
      </c>
      <c r="BQ92" s="21">
        <f>EXP(-LN(2)/25)*BQ91+(1-EXP(-LN(2)/25))/(LN(2)/25)*Calculateur!BL92*Calculateur!BN92*VLOOKUP('Données projet'!$B$11,Paramètres!$A$1:$I$89,3,0)*0.475*44/12</f>
        <v>1.3547692698025793</v>
      </c>
      <c r="BR92" s="21">
        <f>EXP(-LN(2)/2)*BR91+(1-EXP(-LN(2)/2))/(LN(2)/2)*BL92*BO92*VLOOKUP('Données projet'!$B$11,Paramètres!$A$1:$I$89,3,0)*0.475*44/12</f>
        <v>3.5440505454134478E-12</v>
      </c>
      <c r="BS92" s="22">
        <f t="shared" si="63"/>
        <v>18.409039941097554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8.6509999999999998</v>
      </c>
      <c r="BY92" s="12">
        <f>IF('Données projet'!$A$114&gt;35,BY91+BX92-CG91,IF(A92&lt;'Données projet'!$A$114,$BV$205^A92,IF(A92='Données projet'!$A$114,'Données projet'!$B$114,BY91+BX92-CG91)))</f>
        <v>336.87500000000023</v>
      </c>
      <c r="BZ92" s="13">
        <f>BY92*VLOOKUP('Données projet'!$B$12,Paramètres!$A$1:$I$89,3,0)*VLOOKUP('Données projet'!$B$12,Paramètres!$A$1:$I$89,5,0)</f>
        <v>383.63325000000026</v>
      </c>
      <c r="CA92" s="13">
        <f t="shared" si="93"/>
        <v>88.450533228988164</v>
      </c>
      <c r="CB92" s="20">
        <f t="shared" si="64"/>
        <v>822.21258912382143</v>
      </c>
      <c r="CC92" s="59">
        <f t="shared" si="65"/>
        <v>1103.9595086840689</v>
      </c>
      <c r="CD92" s="59">
        <f ca="1">AVERAGE(OFFSET($CC$3,0,0,'Données projet'!$E$12+1,1))-AVERAGE(OFFSET($H$3,0,0,'Données projet'!$E$12+1,1))</f>
        <v>797.57191672067393</v>
      </c>
      <c r="CE92" s="59">
        <f t="shared" si="94"/>
        <v>238.59056544987126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97.618054017567246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97.618054017567246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>
        <f>CT92*VLOOKUP('Données projet'!$B$13,Paramètres!$A$1:$I$89,3,0)*VLOOKUP('Données projet'!$B$13,Paramètres!$A$1:$I$89,5,0)</f>
        <v>0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188.98184340090461</v>
      </c>
      <c r="CZ92" s="59">
        <f t="shared" si="96"/>
        <v>450.74604661797798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26.58618032254601</v>
      </c>
      <c r="DH92" s="21">
        <f>EXP(-LN(2)/2)*DH91+(1-EXP(-LN(2)/2))/(LN(2)/2)*DB92*DE92*VLOOKUP('Données projet'!$B$13,Paramètres!$A$1:$I$89,3,0)*0.475*44/12</f>
        <v>5.9218964241737162E-11</v>
      </c>
      <c r="DI92" s="22">
        <f t="shared" si="69"/>
        <v>26.58618032260523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369.00000000000011</v>
      </c>
      <c r="DP92" s="17">
        <f>DO92*VLOOKUP('Données projet'!$B$14,Paramètres!$A$1:$I$89,3,0)*VLOOKUP('Données projet'!$B$14,Paramètres!$A$1:$I$89,5,0)</f>
        <v>333.87120000000004</v>
      </c>
      <c r="DQ92" s="13">
        <f t="shared" si="97"/>
        <v>78.232360111376309</v>
      </c>
      <c r="DR92" s="20">
        <f t="shared" si="70"/>
        <v>717.74703386064709</v>
      </c>
      <c r="DS92" s="59">
        <f t="shared" si="71"/>
        <v>999.49395342089451</v>
      </c>
      <c r="DT92" s="59">
        <f ca="1">AVERAGE(OFFSET($DS$3,0,0,'Données projet'!$E$14+1,1))-AVERAGE(OFFSET($H$3,0,0,'Données projet'!$E$14+1,1))</f>
        <v>442.34161202733173</v>
      </c>
      <c r="DU92" s="59">
        <f t="shared" si="98"/>
        <v>622.90413492324399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3.2860433495234576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3.2860433495234576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8.6509999999999998</v>
      </c>
      <c r="EJ92" s="12">
        <f>IF('Données projet'!$A$192&gt;35,EJ91+EI92-ER91,IF(A92&lt;'Données projet'!$A$192,$EG$205^A92,IF(A92='Données projet'!$A$192,'Données projet'!$B$192,EJ91+EI92-ER91)))</f>
        <v>336.87500000000023</v>
      </c>
      <c r="EK92" s="17">
        <f>EJ92*VLOOKUP('Données projet'!$B$15,Paramètres!$A$1:$I$89,3,0)*VLOOKUP('Données projet'!$B$15,Paramètres!$A$1:$I$89,5,0)</f>
        <v>367.86750000000023</v>
      </c>
      <c r="EL92" s="13">
        <f t="shared" si="99"/>
        <v>85.230886253574951</v>
      </c>
      <c r="EM92" s="20">
        <f t="shared" si="73"/>
        <v>789.14635605831018</v>
      </c>
      <c r="EN92" s="59">
        <f t="shared" si="74"/>
        <v>1070.8932756185577</v>
      </c>
      <c r="EO92" s="59">
        <f ca="1">AVERAGE(OFFSET($EN$3,0,0,'Données projet'!$E$15+1,1))-AVERAGE(OFFSET($H$3,0,0,'Données projet'!$E$15+1,1))</f>
        <v>767.9449852393318</v>
      </c>
      <c r="EP92" s="59">
        <f t="shared" si="100"/>
        <v>230.95605490295961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93.60635316753023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93.60635316753023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66.840068970976589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3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11</v>
      </c>
      <c r="H93" s="66">
        <f t="shared" si="56"/>
        <v>212.66666666666666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188.98184340090461</v>
      </c>
      <c r="T93" s="59">
        <f t="shared" si="88"/>
        <v>450.74604661797798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471.37</v>
      </c>
      <c r="AG93" s="12">
        <f>VLOOKUP(A93,'Données projet'!$A$61:$I$81,9,0)</f>
        <v>11.14</v>
      </c>
      <c r="AH93" s="12">
        <f t="array" ref="AH93">INDEX(AG:AG,MIN(IF(ISNUMBER(AG93:AG289),ROW(AG93:AG289),"")))</f>
        <v>11.14</v>
      </c>
      <c r="AI93" s="13">
        <f>IF('Données projet'!$A$62&gt;35,AI92+AH93-AQ92,IF(A93&lt;'Données projet'!$A$62,$AF$205^A93,IF(A93='Données projet'!$A$62,'Données projet'!$B$62,AI92+AH93-AQ92)))</f>
        <v>471.36999999999972</v>
      </c>
      <c r="AJ93" s="13">
        <f>AI93*VLOOKUP('Données projet'!$B$10,Paramètres!$A$1:$I$89,3,0)*VLOOKUP('Données projet'!$B$10,Paramètres!$A$1:$I$89,5,0)</f>
        <v>426.49557599999969</v>
      </c>
      <c r="AK93" s="13">
        <f t="shared" si="89"/>
        <v>97.128021924116553</v>
      </c>
      <c r="AL93" s="20">
        <f t="shared" si="58"/>
        <v>911.97776638450239</v>
      </c>
      <c r="AM93" s="59">
        <f t="shared" si="59"/>
        <v>1193.9256843203723</v>
      </c>
      <c r="AN93" s="59">
        <f ca="1">AVERAGE(OFFSET($AM$3,0,0,'Données projet'!$E$10+1,1))-AVERAGE(OFFSET($H$3,0,0,'Données projet'!$E$10+1,1))</f>
        <v>725.60981534362895</v>
      </c>
      <c r="AO93" s="59">
        <f t="shared" si="90"/>
        <v>265.16078167969272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63.25</v>
      </c>
      <c r="AR93" s="16">
        <f>IF(ISNA(VLOOKUP(A93,'Données projet'!$A$61:$I$81,5,0)),0%,VLOOKUP(A93,'Données projet'!$A$61:$I$81,5,0)*VLOOKUP('Données projet'!$B$10,Paramètres!$A$1:$I$89,7,0))</f>
        <v>0.43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129.47139955740687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129.47139955740687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142.80000000000001</v>
      </c>
      <c r="BB93" s="12">
        <f>VLOOKUP(A93,'Données projet'!$A$87:$I$107,9,0)</f>
        <v>2.0099999999999993</v>
      </c>
      <c r="BC93" s="12">
        <f t="array" ref="BC93">INDEX(BB:BB,MIN(IF(ISNUMBER(BB93:BB289),ROW(BB93:BB289),"")))</f>
        <v>2.0099999999999993</v>
      </c>
      <c r="BD93" s="12">
        <f>IF('Données projet'!$A$88&gt;35,BD92+BC93-BL92,IF(A93&lt;'Données projet'!$A$88,$BA$205^A93,IF(A93='Données projet'!$A$88,'Données projet'!$B$88,BD92+BC93-BL92)))</f>
        <v>142.80000000000004</v>
      </c>
      <c r="BE93" s="13">
        <f>BD93*VLOOKUP('Données projet'!$B$11,Paramètres!$A$1:$I$89,3,0)*VLOOKUP('Données projet'!$B$11,Paramètres!$A$1:$I$89,5,0)</f>
        <v>164.50560000000002</v>
      </c>
      <c r="BF93" s="13">
        <f t="shared" si="91"/>
        <v>41.857117716066618</v>
      </c>
      <c r="BG93" s="20">
        <f t="shared" si="61"/>
        <v>359.41506668881607</v>
      </c>
      <c r="BH93" s="59">
        <f t="shared" si="62"/>
        <v>641.36298462468608</v>
      </c>
      <c r="BI93" s="59">
        <f ca="1">AVERAGE(OFFSET($BH$3,0,0,'Données projet'!$E$11+1,1))-AVERAGE(OFFSET($H$3,0,0,'Données projet'!$E$11+1,1))</f>
        <v>332.93090933713466</v>
      </c>
      <c r="BJ93" s="59">
        <f t="shared" si="92"/>
        <v>251.83579649532973</v>
      </c>
      <c r="BK93" s="15">
        <f>IF(ISNA(VLOOKUP(A93,'Données projet'!$A$87:$I$107,3,0)),0,VLOOKUP(A93,'Données projet'!$A$87:$I$107,3,0))</f>
        <v>9</v>
      </c>
      <c r="BL93" s="15">
        <f>IF(ISNA(VLOOKUP(A93,'Données projet'!$A$87:$I$107,4,0)),0,VLOOKUP(A93,'Données projet'!$A$87:$I$107,4,0))</f>
        <v>15.4</v>
      </c>
      <c r="BM93" s="16">
        <f>IF(ISNA(VLOOKUP(A93,'Données projet'!$A$87:$I$107,5,0)),0%,VLOOKUP(A93,'Données projet'!$A$87:$I$107,5,0)*VLOOKUP('Données projet'!$B$11,Paramètres!$A$1:$I$89,7,0))</f>
        <v>0.45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22.456336031451709</v>
      </c>
      <c r="BQ93" s="21">
        <f>EXP(-LN(2)/25)*BQ92+(1-EXP(-LN(2)/25))/(LN(2)/25)*Calculateur!BL93*Calculateur!BN93*VLOOKUP('Données projet'!$B$11,Paramètres!$A$1:$I$89,3,0)*0.475*44/12</f>
        <v>1.3177230328756082</v>
      </c>
      <c r="BR93" s="21">
        <f>EXP(-LN(2)/2)*BR92+(1-EXP(-LN(2)/2))/(LN(2)/2)*BL93*BO93*VLOOKUP('Données projet'!$B$11,Paramètres!$A$1:$I$89,3,0)*0.475*44/12</f>
        <v>2.5060221735297316E-12</v>
      </c>
      <c r="BS93" s="22">
        <f t="shared" si="63"/>
        <v>23.774059064329823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8.6509999999999998</v>
      </c>
      <c r="BY93" s="12">
        <f>IF('Données projet'!$A$114&gt;35,BY92+BX93-CG92,IF(A93&lt;'Données projet'!$A$114,$BV$205^A93,IF(A93='Données projet'!$A$114,'Données projet'!$B$114,BY92+BX93-CG92)))</f>
        <v>345.52600000000024</v>
      </c>
      <c r="BZ93" s="13">
        <f>BY93*VLOOKUP('Données projet'!$B$12,Paramètres!$A$1:$I$89,3,0)*VLOOKUP('Données projet'!$B$12,Paramètres!$A$1:$I$89,5,0)</f>
        <v>393.48500880000029</v>
      </c>
      <c r="CA93" s="13">
        <f t="shared" si="93"/>
        <v>90.454591041811753</v>
      </c>
      <c r="CB93" s="20">
        <f t="shared" si="64"/>
        <v>842.86146972448921</v>
      </c>
      <c r="CC93" s="59">
        <f t="shared" si="65"/>
        <v>1124.8093876603591</v>
      </c>
      <c r="CD93" s="59">
        <f ca="1">AVERAGE(OFFSET($CC$3,0,0,'Données projet'!$E$12+1,1))-AVERAGE(OFFSET($H$3,0,0,'Données projet'!$E$12+1,1))</f>
        <v>797.57191672067393</v>
      </c>
      <c r="CE93" s="59">
        <f t="shared" si="94"/>
        <v>238.59056544987126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95.703823519416503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95.703823519416503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>
        <f>CT93*VLOOKUP('Données projet'!$B$13,Paramètres!$A$1:$I$89,3,0)*VLOOKUP('Données projet'!$B$13,Paramètres!$A$1:$I$89,5,0)</f>
        <v>0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188.98184340090461</v>
      </c>
      <c r="CZ93" s="59">
        <f t="shared" si="96"/>
        <v>450.74604661797798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25.859179823519529</v>
      </c>
      <c r="DH93" s="21">
        <f>EXP(-LN(2)/2)*DH92+(1-EXP(-LN(2)/2))/(LN(2)/2)*DB93*DE93*VLOOKUP('Données projet'!$B$13,Paramètres!$A$1:$I$89,3,0)*0.475*44/12</f>
        <v>4.1874131190176022E-11</v>
      </c>
      <c r="DI93" s="22">
        <f t="shared" si="69"/>
        <v>25.859179823561405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369.00000000000011</v>
      </c>
      <c r="DP93" s="17">
        <f>DO93*VLOOKUP('Données projet'!$B$14,Paramètres!$A$1:$I$89,3,0)*VLOOKUP('Données projet'!$B$14,Paramètres!$A$1:$I$89,5,0)</f>
        <v>333.87120000000004</v>
      </c>
      <c r="DQ93" s="13">
        <f t="shared" si="97"/>
        <v>78.232360111376309</v>
      </c>
      <c r="DR93" s="20">
        <f t="shared" si="70"/>
        <v>717.74703386064709</v>
      </c>
      <c r="DS93" s="59">
        <f t="shared" si="71"/>
        <v>999.69495179651699</v>
      </c>
      <c r="DT93" s="59">
        <f ca="1">AVERAGE(OFFSET($DS$3,0,0,'Données projet'!$E$14+1,1))-AVERAGE(OFFSET($H$3,0,0,'Données projet'!$E$14+1,1))</f>
        <v>442.34161202733173</v>
      </c>
      <c r="DU93" s="59">
        <f t="shared" si="98"/>
        <v>622.90413492324399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3.2216060437278387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3.2216060437278387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8.6509999999999998</v>
      </c>
      <c r="EJ93" s="12">
        <f>IF('Données projet'!$A$192&gt;35,EJ92+EI93-ER92,IF(A93&lt;'Données projet'!$A$192,$EG$205^A93,IF(A93='Données projet'!$A$192,'Données projet'!$B$192,EJ92+EI93-ER92)))</f>
        <v>345.52600000000024</v>
      </c>
      <c r="EK93" s="17">
        <f>EJ93*VLOOKUP('Données projet'!$B$15,Paramètres!$A$1:$I$89,3,0)*VLOOKUP('Données projet'!$B$15,Paramètres!$A$1:$I$89,5,0)</f>
        <v>377.31439200000023</v>
      </c>
      <c r="EL93" s="13">
        <f t="shared" si="99"/>
        <v>87.161995284293411</v>
      </c>
      <c r="EM93" s="20">
        <f t="shared" si="73"/>
        <v>808.96304118681144</v>
      </c>
      <c r="EN93" s="59">
        <f t="shared" si="74"/>
        <v>1090.9109591226813</v>
      </c>
      <c r="EO93" s="59">
        <f ca="1">AVERAGE(OFFSET($EN$3,0,0,'Données projet'!$E$15+1,1))-AVERAGE(OFFSET($H$3,0,0,'Données projet'!$E$15+1,1))</f>
        <v>767.9449852393318</v>
      </c>
      <c r="EP93" s="59">
        <f t="shared" si="100"/>
        <v>230.95605490295961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91.770789676152802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91.770789676152802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66.89488670978271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3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11</v>
      </c>
      <c r="H94" s="66">
        <f t="shared" si="56"/>
        <v>212.66666666666666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188.98184340090461</v>
      </c>
      <c r="T94" s="59">
        <f t="shared" si="88"/>
        <v>450.74604661797798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10.754999999999995</v>
      </c>
      <c r="AI94" s="13">
        <f>IF('Données projet'!$A$62&gt;35,AI93+AH94-AQ93,IF(A94&lt;'Données projet'!$A$62,$AF$205^A94,IF(A94='Données projet'!$A$62,'Données projet'!$B$62,AI93+AH94-AQ93)))</f>
        <v>418.87499999999972</v>
      </c>
      <c r="AJ94" s="13">
        <f>AI94*VLOOKUP('Données projet'!$B$10,Paramètres!$A$1:$I$89,3,0)*VLOOKUP('Données projet'!$B$10,Paramètres!$A$1:$I$89,5,0)</f>
        <v>378.99809999999974</v>
      </c>
      <c r="AK94" s="13">
        <f t="shared" si="89"/>
        <v>87.505579858582792</v>
      </c>
      <c r="AL94" s="20">
        <f t="shared" si="58"/>
        <v>812.49390908703117</v>
      </c>
      <c r="AM94" s="59">
        <f t="shared" si="59"/>
        <v>1094.6393385260715</v>
      </c>
      <c r="AN94" s="59">
        <f ca="1">AVERAGE(OFFSET($AM$3,0,0,'Données projet'!$E$10+1,1))-AVERAGE(OFFSET($H$3,0,0,'Données projet'!$E$10+1,1))</f>
        <v>725.60981534362895</v>
      </c>
      <c r="AO94" s="59">
        <f t="shared" si="90"/>
        <v>265.16078167969272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126.93254438184223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126.93254438184223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1.819999999999999</v>
      </c>
      <c r="BD94" s="12">
        <f>IF('Données projet'!$A$88&gt;35,BD93+BC94-BL93,IF(A94&lt;'Données projet'!$A$88,$BA$205^A94,IF(A94='Données projet'!$A$88,'Données projet'!$B$88,BD93+BC94-BL93)))</f>
        <v>129.22000000000003</v>
      </c>
      <c r="BE94" s="13">
        <f>BD94*VLOOKUP('Données projet'!$B$11,Paramètres!$A$1:$I$89,3,0)*VLOOKUP('Données projet'!$B$11,Paramètres!$A$1:$I$89,5,0)</f>
        <v>148.86144000000002</v>
      </c>
      <c r="BF94" s="13">
        <f t="shared" si="91"/>
        <v>38.319729148991918</v>
      </c>
      <c r="BG94" s="20">
        <f t="shared" si="61"/>
        <v>326.00720293449427</v>
      </c>
      <c r="BH94" s="59">
        <f t="shared" si="62"/>
        <v>608.15263237353463</v>
      </c>
      <c r="BI94" s="59">
        <f ca="1">AVERAGE(OFFSET($BH$3,0,0,'Données projet'!$E$11+1,1))-AVERAGE(OFFSET($H$3,0,0,'Données projet'!$E$11+1,1))</f>
        <v>332.93090933713466</v>
      </c>
      <c r="BJ94" s="59">
        <f t="shared" si="92"/>
        <v>251.83579649532973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22.015980978887452</v>
      </c>
      <c r="BQ94" s="21">
        <f>EXP(-LN(2)/25)*BQ93+(1-EXP(-LN(2)/25))/(LN(2)/25)*Calculateur!BL94*Calculateur!BN94*VLOOKUP('Données projet'!$B$11,Paramètres!$A$1:$I$89,3,0)*0.475*44/12</f>
        <v>1.2816898272455821</v>
      </c>
      <c r="BR94" s="21">
        <f>EXP(-LN(2)/2)*BR93+(1-EXP(-LN(2)/2))/(LN(2)/2)*BL94*BO94*VLOOKUP('Données projet'!$B$11,Paramètres!$A$1:$I$89,3,0)*0.475*44/12</f>
        <v>1.7720252727067243E-12</v>
      </c>
      <c r="BS94" s="22">
        <f t="shared" si="63"/>
        <v>23.297670806134807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8.6509999999999998</v>
      </c>
      <c r="BY94" s="12">
        <f>IF('Données projet'!$A$114&gt;35,BY93+BX94-CG93,IF(A94&lt;'Données projet'!$A$114,$BV$205^A94,IF(A94='Données projet'!$A$114,'Données projet'!$B$114,BY93+BX94-CG93)))</f>
        <v>354.17700000000025</v>
      </c>
      <c r="BZ94" s="13">
        <f>BY94*VLOOKUP('Données projet'!$B$12,Paramètres!$A$1:$I$89,3,0)*VLOOKUP('Données projet'!$B$12,Paramètres!$A$1:$I$89,5,0)</f>
        <v>403.33676760000031</v>
      </c>
      <c r="CA94" s="13">
        <f t="shared" si="93"/>
        <v>92.452816229362881</v>
      </c>
      <c r="CB94" s="20">
        <f t="shared" si="64"/>
        <v>863.50019183614086</v>
      </c>
      <c r="CC94" s="59">
        <f t="shared" si="65"/>
        <v>1145.6456212751812</v>
      </c>
      <c r="CD94" s="59">
        <f ca="1">AVERAGE(OFFSET($CC$3,0,0,'Données projet'!$E$12+1,1))-AVERAGE(OFFSET($H$3,0,0,'Données projet'!$E$12+1,1))</f>
        <v>797.57191672067393</v>
      </c>
      <c r="CE94" s="59">
        <f t="shared" si="94"/>
        <v>238.59056544987126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93.827129913769184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93.827129913769184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>
        <f>CT94*VLOOKUP('Données projet'!$B$13,Paramètres!$A$1:$I$89,3,0)*VLOOKUP('Données projet'!$B$13,Paramètres!$A$1:$I$89,5,0)</f>
        <v>0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188.98184340090461</v>
      </c>
      <c r="CZ94" s="59">
        <f t="shared" si="96"/>
        <v>450.74604661797798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25.152059191370224</v>
      </c>
      <c r="DH94" s="21">
        <f>EXP(-LN(2)/2)*DH93+(1-EXP(-LN(2)/2))/(LN(2)/2)*DB94*DE94*VLOOKUP('Données projet'!$B$13,Paramètres!$A$1:$I$89,3,0)*0.475*44/12</f>
        <v>2.9609482120868581E-11</v>
      </c>
      <c r="DI94" s="22">
        <f t="shared" si="69"/>
        <v>25.152059191399832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369.00000000000011</v>
      </c>
      <c r="DP94" s="17">
        <f>DO94*VLOOKUP('Données projet'!$B$14,Paramètres!$A$1:$I$89,3,0)*VLOOKUP('Données projet'!$B$14,Paramètres!$A$1:$I$89,5,0)</f>
        <v>333.87120000000004</v>
      </c>
      <c r="DQ94" s="13">
        <f t="shared" si="97"/>
        <v>78.232360111376309</v>
      </c>
      <c r="DR94" s="20">
        <f t="shared" si="70"/>
        <v>717.74703386064709</v>
      </c>
      <c r="DS94" s="59">
        <f t="shared" si="71"/>
        <v>999.89246329968751</v>
      </c>
      <c r="DT94" s="59">
        <f ca="1">AVERAGE(OFFSET($DS$3,0,0,'Données projet'!$E$14+1,1))-AVERAGE(OFFSET($H$3,0,0,'Données projet'!$E$14+1,1))</f>
        <v>442.34161202733173</v>
      </c>
      <c r="DU94" s="59">
        <f t="shared" si="98"/>
        <v>622.90413492324399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3.1584323141959962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3.1584323141959962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8.6509999999999998</v>
      </c>
      <c r="EJ94" s="12">
        <f>IF('Données projet'!$A$192&gt;35,EJ93+EI94-ER93,IF(A94&lt;'Données projet'!$A$192,$EG$205^A94,IF(A94='Données projet'!$A$192,'Données projet'!$B$192,EJ93+EI94-ER93)))</f>
        <v>354.17700000000025</v>
      </c>
      <c r="EK94" s="17">
        <f>EJ94*VLOOKUP('Données projet'!$B$15,Paramètres!$A$1:$I$89,3,0)*VLOOKUP('Données projet'!$B$15,Paramètres!$A$1:$I$89,5,0)</f>
        <v>386.76128400000022</v>
      </c>
      <c r="EL94" s="13">
        <f t="shared" si="99"/>
        <v>89.087484000435779</v>
      </c>
      <c r="EM94" s="20">
        <f t="shared" si="73"/>
        <v>828.76993760075936</v>
      </c>
      <c r="EN94" s="59">
        <f t="shared" si="74"/>
        <v>1110.9153670397998</v>
      </c>
      <c r="EO94" s="59">
        <f ca="1">AVERAGE(OFFSET($EN$3,0,0,'Données projet'!$E$15+1,1))-AVERAGE(OFFSET($H$3,0,0,'Données projet'!$E$15+1,1))</f>
        <v>767.9449852393318</v>
      </c>
      <c r="EP94" s="59">
        <f t="shared" si="100"/>
        <v>230.95605490295961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89.971220465258114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89.971220465258114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66.948753483374645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3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11</v>
      </c>
      <c r="H95" s="66">
        <f t="shared" si="56"/>
        <v>212.66666666666666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188.98184340090461</v>
      </c>
      <c r="T95" s="59">
        <f t="shared" si="88"/>
        <v>450.74604661797798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10.754999999999995</v>
      </c>
      <c r="AI95" s="13">
        <f>IF('Données projet'!$A$62&gt;35,AI94+AH95-AQ94,IF(A95&lt;'Données projet'!$A$62,$AF$205^A95,IF(A95='Données projet'!$A$62,'Données projet'!$B$62,AI94+AH95-AQ94)))</f>
        <v>429.62999999999971</v>
      </c>
      <c r="AJ95" s="13">
        <f>AI95*VLOOKUP('Données projet'!$B$10,Paramètres!$A$1:$I$89,3,0)*VLOOKUP('Données projet'!$B$10,Paramètres!$A$1:$I$89,5,0)</f>
        <v>388.7292239999997</v>
      </c>
      <c r="AK95" s="13">
        <f t="shared" si="89"/>
        <v>89.487901338654297</v>
      </c>
      <c r="AL95" s="20">
        <f t="shared" si="58"/>
        <v>832.89482663148908</v>
      </c>
      <c r="AM95" s="59">
        <f t="shared" si="59"/>
        <v>1115.2343411906895</v>
      </c>
      <c r="AN95" s="59">
        <f ca="1">AVERAGE(OFFSET($AM$3,0,0,'Données projet'!$E$10+1,1))-AVERAGE(OFFSET($H$3,0,0,'Données projet'!$E$10+1,1))</f>
        <v>725.60981534362895</v>
      </c>
      <c r="AO95" s="59">
        <f t="shared" si="90"/>
        <v>265.16078167969272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124.44347460772167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124.44347460772167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1.819999999999999</v>
      </c>
      <c r="BD95" s="12">
        <f>IF('Données projet'!$A$88&gt;35,BD94+BC95-BL94,IF(A95&lt;'Données projet'!$A$88,$BA$205^A95,IF(A95='Données projet'!$A$88,'Données projet'!$B$88,BD94+BC95-BL94)))</f>
        <v>131.04000000000002</v>
      </c>
      <c r="BE95" s="13">
        <f>BD95*VLOOKUP('Données projet'!$B$11,Paramètres!$A$1:$I$89,3,0)*VLOOKUP('Données projet'!$B$11,Paramètres!$A$1:$I$89,5,0)</f>
        <v>150.95808000000002</v>
      </c>
      <c r="BF95" s="13">
        <f t="shared" si="91"/>
        <v>38.796231993724774</v>
      </c>
      <c r="BG95" s="20">
        <f t="shared" si="61"/>
        <v>330.48876005573732</v>
      </c>
      <c r="BH95" s="59">
        <f t="shared" si="62"/>
        <v>612.82827461493775</v>
      </c>
      <c r="BI95" s="59">
        <f ca="1">AVERAGE(OFFSET($BH$3,0,0,'Données projet'!$E$11+1,1))-AVERAGE(OFFSET($H$3,0,0,'Données projet'!$E$11+1,1))</f>
        <v>332.93090933713466</v>
      </c>
      <c r="BJ95" s="59">
        <f t="shared" si="92"/>
        <v>251.83579649532973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21.584261020313921</v>
      </c>
      <c r="BQ95" s="21">
        <f>EXP(-LN(2)/25)*BQ94+(1-EXP(-LN(2)/25))/(LN(2)/25)*Calculateur!BL95*Calculateur!BN95*VLOOKUP('Données projet'!$B$11,Paramètres!$A$1:$I$89,3,0)*0.475*44/12</f>
        <v>1.2466419515184131</v>
      </c>
      <c r="BR95" s="21">
        <f>EXP(-LN(2)/2)*BR94+(1-EXP(-LN(2)/2))/(LN(2)/2)*BL95*BO95*VLOOKUP('Données projet'!$B$11,Paramètres!$A$1:$I$89,3,0)*0.475*44/12</f>
        <v>1.253011086764866E-12</v>
      </c>
      <c r="BS95" s="22">
        <f t="shared" si="63"/>
        <v>22.830902971833588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8.6509999999999998</v>
      </c>
      <c r="BY95" s="12">
        <f>IF('Données projet'!$A$114&gt;35,BY94+BX95-CG94,IF(A95&lt;'Données projet'!$A$114,$BV$205^A95,IF(A95='Données projet'!$A$114,'Données projet'!$B$114,BY94+BX95-CG94)))</f>
        <v>362.82800000000026</v>
      </c>
      <c r="BZ95" s="13">
        <f>BY95*VLOOKUP('Données projet'!$B$12,Paramètres!$A$1:$I$89,3,0)*VLOOKUP('Données projet'!$B$12,Paramètres!$A$1:$I$89,5,0)</f>
        <v>413.18852640000028</v>
      </c>
      <c r="CA95" s="13">
        <f t="shared" si="93"/>
        <v>94.445367646306295</v>
      </c>
      <c r="CB95" s="20">
        <f t="shared" si="64"/>
        <v>884.12903213065056</v>
      </c>
      <c r="CC95" s="59">
        <f t="shared" si="65"/>
        <v>1166.4685466898509</v>
      </c>
      <c r="CD95" s="59">
        <f ca="1">AVERAGE(OFFSET($CC$3,0,0,'Données projet'!$E$12+1,1))-AVERAGE(OFFSET($H$3,0,0,'Données projet'!$E$12+1,1))</f>
        <v>797.57191672067393</v>
      </c>
      <c r="CE95" s="59">
        <f t="shared" si="94"/>
        <v>238.59056544987126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91.987237125058527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91.987237125058527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>
        <f>CT95*VLOOKUP('Données projet'!$B$13,Paramètres!$A$1:$I$89,3,0)*VLOOKUP('Données projet'!$B$13,Paramètres!$A$1:$I$89,5,0)</f>
        <v>0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188.98184340090461</v>
      </c>
      <c r="CZ95" s="59">
        <f t="shared" si="96"/>
        <v>450.74604661797798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24.464274810092899</v>
      </c>
      <c r="DH95" s="21">
        <f>EXP(-LN(2)/2)*DH94+(1-EXP(-LN(2)/2))/(LN(2)/2)*DB95*DE95*VLOOKUP('Données projet'!$B$13,Paramètres!$A$1:$I$89,3,0)*0.475*44/12</f>
        <v>2.0937065595088011E-11</v>
      </c>
      <c r="DI95" s="22">
        <f t="shared" si="69"/>
        <v>24.464274810113835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369.00000000000011</v>
      </c>
      <c r="DP95" s="17">
        <f>DO95*VLOOKUP('Données projet'!$B$14,Paramètres!$A$1:$I$89,3,0)*VLOOKUP('Données projet'!$B$14,Paramètres!$A$1:$I$89,5,0)</f>
        <v>333.87120000000004</v>
      </c>
      <c r="DQ95" s="13">
        <f t="shared" si="97"/>
        <v>78.232360111376309</v>
      </c>
      <c r="DR95" s="20">
        <f t="shared" si="70"/>
        <v>717.74703386064709</v>
      </c>
      <c r="DS95" s="59">
        <f t="shared" si="71"/>
        <v>1000.0865484198475</v>
      </c>
      <c r="DT95" s="59">
        <f ca="1">AVERAGE(OFFSET($DS$3,0,0,'Données projet'!$E$14+1,1))-AVERAGE(OFFSET($H$3,0,0,'Données projet'!$E$14+1,1))</f>
        <v>442.34161202733173</v>
      </c>
      <c r="DU95" s="59">
        <f t="shared" si="98"/>
        <v>622.90413492324399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3.0964973829681028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3.0964973829681028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8.6509999999999998</v>
      </c>
      <c r="EJ95" s="12">
        <f>IF('Données projet'!$A$192&gt;35,EJ94+EI95-ER94,IF(A95&lt;'Données projet'!$A$192,$EG$205^A95,IF(A95='Données projet'!$A$192,'Données projet'!$B$192,EJ94+EI95-ER94)))</f>
        <v>362.82800000000026</v>
      </c>
      <c r="EK95" s="17">
        <f>EJ95*VLOOKUP('Données projet'!$B$15,Paramètres!$A$1:$I$89,3,0)*VLOOKUP('Données projet'!$B$15,Paramètres!$A$1:$I$89,5,0)</f>
        <v>396.20817600000026</v>
      </c>
      <c r="EL95" s="13">
        <f t="shared" si="99"/>
        <v>91.007505474271966</v>
      </c>
      <c r="EM95" s="20">
        <f t="shared" si="73"/>
        <v>848.56731190102403</v>
      </c>
      <c r="EN95" s="59">
        <f t="shared" si="74"/>
        <v>1130.9068264602245</v>
      </c>
      <c r="EO95" s="59">
        <f ca="1">AVERAGE(OFFSET($EN$3,0,0,'Données projet'!$E$15+1,1))-AVERAGE(OFFSET($H$3,0,0,'Données projet'!$E$15+1,1))</f>
        <v>767.9449852393318</v>
      </c>
      <c r="EP95" s="59">
        <f t="shared" si="100"/>
        <v>230.95605490295961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88.206939708960235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88.206939708960235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67.001685788872834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3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11</v>
      </c>
      <c r="H96" s="66">
        <f t="shared" si="56"/>
        <v>212.66666666666666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188.98184340090461</v>
      </c>
      <c r="T96" s="59">
        <f t="shared" si="88"/>
        <v>450.74604661797798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10.754999999999995</v>
      </c>
      <c r="AI96" s="13">
        <f>IF('Données projet'!$A$62&gt;35,AI95+AH96-AQ95,IF(A96&lt;'Données projet'!$A$62,$AF$205^A96,IF(A96='Données projet'!$A$62,'Données projet'!$B$62,AI95+AH96-AQ95)))</f>
        <v>440.38499999999971</v>
      </c>
      <c r="AJ96" s="13">
        <f>AI96*VLOOKUP('Données projet'!$B$10,Paramètres!$A$1:$I$89,3,0)*VLOOKUP('Données projet'!$B$10,Paramètres!$A$1:$I$89,5,0)</f>
        <v>398.46034799999973</v>
      </c>
      <c r="AK96" s="13">
        <f t="shared" si="89"/>
        <v>91.464454380602817</v>
      </c>
      <c r="AL96" s="20">
        <f t="shared" si="58"/>
        <v>853.28569747954941</v>
      </c>
      <c r="AM96" s="59">
        <f t="shared" si="59"/>
        <v>1135.8159302159843</v>
      </c>
      <c r="AN96" s="59">
        <f ca="1">AVERAGE(OFFSET($AM$3,0,0,'Données projet'!$E$10+1,1))-AVERAGE(OFFSET($H$3,0,0,'Données projet'!$E$10+1,1))</f>
        <v>725.60981534362895</v>
      </c>
      <c r="AO96" s="59">
        <f t="shared" si="90"/>
        <v>265.16078167969272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122.00321397368896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122.00321397368896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1.819999999999999</v>
      </c>
      <c r="BD96" s="12">
        <f>IF('Données projet'!$A$88&gt;35,BD95+BC96-BL95,IF(A96&lt;'Données projet'!$A$88,$BA$205^A96,IF(A96='Données projet'!$A$88,'Données projet'!$B$88,BD95+BC96-BL95)))</f>
        <v>132.86000000000001</v>
      </c>
      <c r="BE96" s="13">
        <f>BD96*VLOOKUP('Données projet'!$B$11,Paramètres!$A$1:$I$89,3,0)*VLOOKUP('Données projet'!$B$11,Paramètres!$A$1:$I$89,5,0)</f>
        <v>153.05472</v>
      </c>
      <c r="BF96" s="13">
        <f t="shared" si="91"/>
        <v>39.271965088385166</v>
      </c>
      <c r="BG96" s="20">
        <f t="shared" si="61"/>
        <v>334.9689765289375</v>
      </c>
      <c r="BH96" s="59">
        <f t="shared" si="62"/>
        <v>617.49920926537243</v>
      </c>
      <c r="BI96" s="59">
        <f ca="1">AVERAGE(OFFSET($BH$3,0,0,'Données projet'!$E$11+1,1))-AVERAGE(OFFSET($H$3,0,0,'Données projet'!$E$11+1,1))</f>
        <v>332.93090933713466</v>
      </c>
      <c r="BJ96" s="59">
        <f t="shared" si="92"/>
        <v>251.83579649532973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21.16100682680484</v>
      </c>
      <c r="BQ96" s="21">
        <f>EXP(-LN(2)/25)*BQ95+(1-EXP(-LN(2)/25))/(LN(2)/25)*Calculateur!BL96*Calculateur!BN96*VLOOKUP('Données projet'!$B$11,Paramètres!$A$1:$I$89,3,0)*0.475*44/12</f>
        <v>1.212552461796091</v>
      </c>
      <c r="BR96" s="21">
        <f>EXP(-LN(2)/2)*BR95+(1-EXP(-LN(2)/2))/(LN(2)/2)*BL96*BO96*VLOOKUP('Données projet'!$B$11,Paramètres!$A$1:$I$89,3,0)*0.475*44/12</f>
        <v>8.8601263635336226E-13</v>
      </c>
      <c r="BS96" s="22">
        <f t="shared" si="63"/>
        <v>22.373559288601815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8.6509999999999998</v>
      </c>
      <c r="BY96" s="12">
        <f>IF('Données projet'!$A$114&gt;35,BY95+BX96-CG95,IF(A96&lt;'Données projet'!$A$114,$BV$205^A96,IF(A96='Données projet'!$A$114,'Données projet'!$B$114,BY95+BX96-CG95)))</f>
        <v>371.47900000000027</v>
      </c>
      <c r="BZ96" s="13">
        <f>BY96*VLOOKUP('Données projet'!$B$12,Paramètres!$A$1:$I$89,3,0)*VLOOKUP('Données projet'!$B$12,Paramètres!$A$1:$I$89,5,0)</f>
        <v>423.04028520000037</v>
      </c>
      <c r="CA96" s="13">
        <f t="shared" si="93"/>
        <v>96.432396140033873</v>
      </c>
      <c r="CB96" s="20">
        <f t="shared" si="64"/>
        <v>904.74825333389288</v>
      </c>
      <c r="CC96" s="59">
        <f t="shared" si="65"/>
        <v>1187.2784860703277</v>
      </c>
      <c r="CD96" s="59">
        <f ca="1">AVERAGE(OFFSET($CC$3,0,0,'Données projet'!$E$12+1,1))-AVERAGE(OFFSET($H$3,0,0,'Données projet'!$E$12+1,1))</f>
        <v>797.57191672067393</v>
      </c>
      <c r="CE96" s="59">
        <f t="shared" si="94"/>
        <v>238.59056544987126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90.1834235117107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90.1834235117107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>
        <f>CT96*VLOOKUP('Données projet'!$B$13,Paramètres!$A$1:$I$89,3,0)*VLOOKUP('Données projet'!$B$13,Paramètres!$A$1:$I$89,5,0)</f>
        <v>0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188.98184340090461</v>
      </c>
      <c r="CZ96" s="59">
        <f t="shared" si="96"/>
        <v>450.74604661797798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23.795297928890609</v>
      </c>
      <c r="DH96" s="21">
        <f>EXP(-LN(2)/2)*DH95+(1-EXP(-LN(2)/2))/(LN(2)/2)*DB96*DE96*VLOOKUP('Données projet'!$B$13,Paramètres!$A$1:$I$89,3,0)*0.475*44/12</f>
        <v>1.480474106043429E-11</v>
      </c>
      <c r="DI96" s="22">
        <f t="shared" si="69"/>
        <v>23.795297928905413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369.00000000000011</v>
      </c>
      <c r="DP96" s="17">
        <f>DO96*VLOOKUP('Données projet'!$B$14,Paramètres!$A$1:$I$89,3,0)*VLOOKUP('Données projet'!$B$14,Paramètres!$A$1:$I$89,5,0)</f>
        <v>333.87120000000004</v>
      </c>
      <c r="DQ96" s="13">
        <f t="shared" si="97"/>
        <v>78.232360111376309</v>
      </c>
      <c r="DR96" s="20">
        <f t="shared" si="70"/>
        <v>717.74703386064709</v>
      </c>
      <c r="DS96" s="59">
        <f t="shared" si="71"/>
        <v>1000.277266597082</v>
      </c>
      <c r="DT96" s="59">
        <f ca="1">AVERAGE(OFFSET($DS$3,0,0,'Données projet'!$E$14+1,1))-AVERAGE(OFFSET($H$3,0,0,'Données projet'!$E$14+1,1))</f>
        <v>442.34161202733173</v>
      </c>
      <c r="DU96" s="59">
        <f t="shared" si="98"/>
        <v>622.90413492324399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3.0357769579650107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3.0357769579650107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8.6509999999999998</v>
      </c>
      <c r="EJ96" s="12">
        <f>IF('Données projet'!$A$192&gt;35,EJ95+EI96-ER95,IF(A96&lt;'Données projet'!$A$192,$EG$205^A96,IF(A96='Données projet'!$A$192,'Données projet'!$B$192,EJ95+EI96-ER95)))</f>
        <v>371.47900000000027</v>
      </c>
      <c r="EK96" s="17">
        <f>EJ96*VLOOKUP('Données projet'!$B$15,Paramètres!$A$1:$I$89,3,0)*VLOOKUP('Données projet'!$B$15,Paramètres!$A$1:$I$89,5,0)</f>
        <v>405.65506800000031</v>
      </c>
      <c r="EL96" s="13">
        <f t="shared" si="99"/>
        <v>92.922205062267096</v>
      </c>
      <c r="EM96" s="20">
        <f t="shared" si="73"/>
        <v>868.35541725011569</v>
      </c>
      <c r="EN96" s="59">
        <f t="shared" si="74"/>
        <v>1150.8856499865506</v>
      </c>
      <c r="EO96" s="59">
        <f ca="1">AVERAGE(OFFSET($EN$3,0,0,'Données projet'!$E$15+1,1))-AVERAGE(OFFSET($H$3,0,0,'Données projet'!$E$15+1,1))</f>
        <v>767.9449852393318</v>
      </c>
      <c r="EP96" s="59">
        <f t="shared" si="100"/>
        <v>230.95605490295961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86.47725542218835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86.47725542218835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67.053699837209521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3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11</v>
      </c>
      <c r="H97" s="66">
        <f t="shared" si="56"/>
        <v>212.66666666666666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188.98184340090461</v>
      </c>
      <c r="T97" s="59">
        <f t="shared" si="88"/>
        <v>450.74604661797798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10.754999999999995</v>
      </c>
      <c r="AI97" s="13">
        <f>IF('Données projet'!$A$62&gt;35,AI96+AH97-AQ96,IF(A97&lt;'Données projet'!$A$62,$AF$205^A97,IF(A97='Données projet'!$A$62,'Données projet'!$B$62,AI96+AH97-AQ96)))</f>
        <v>451.1399999999997</v>
      </c>
      <c r="AJ97" s="13">
        <f>AI97*VLOOKUP('Données projet'!$B$10,Paramètres!$A$1:$I$89,3,0)*VLOOKUP('Données projet'!$B$10,Paramètres!$A$1:$I$89,5,0)</f>
        <v>408.19147199999975</v>
      </c>
      <c r="AK97" s="13">
        <f t="shared" si="89"/>
        <v>93.435396066328195</v>
      </c>
      <c r="AL97" s="20">
        <f t="shared" si="58"/>
        <v>873.66679521552112</v>
      </c>
      <c r="AM97" s="59">
        <f t="shared" si="59"/>
        <v>1156.3844375951976</v>
      </c>
      <c r="AN97" s="59">
        <f ca="1">AVERAGE(OFFSET($AM$3,0,0,'Données projet'!$E$10+1,1))-AVERAGE(OFFSET($H$3,0,0,'Données projet'!$E$10+1,1))</f>
        <v>725.60981534362895</v>
      </c>
      <c r="AO97" s="59">
        <f t="shared" si="90"/>
        <v>265.16078167969272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119.6108053622776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119.6108053622776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1.819999999999999</v>
      </c>
      <c r="BD97" s="12">
        <f>IF('Données projet'!$A$88&gt;35,BD96+BC97-BL96,IF(A97&lt;'Données projet'!$A$88,$BA$205^A97,IF(A97='Données projet'!$A$88,'Données projet'!$B$88,BD96+BC97-BL96)))</f>
        <v>134.68</v>
      </c>
      <c r="BE97" s="13">
        <f>BD97*VLOOKUP('Données projet'!$B$11,Paramètres!$A$1:$I$89,3,0)*VLOOKUP('Données projet'!$B$11,Paramètres!$A$1:$I$89,5,0)</f>
        <v>155.15135999999998</v>
      </c>
      <c r="BF97" s="13">
        <f t="shared" si="91"/>
        <v>39.746940196236906</v>
      </c>
      <c r="BG97" s="20">
        <f t="shared" si="61"/>
        <v>339.44787284177926</v>
      </c>
      <c r="BH97" s="59">
        <f t="shared" si="62"/>
        <v>622.16551522145573</v>
      </c>
      <c r="BI97" s="59">
        <f ca="1">AVERAGE(OFFSET($BH$3,0,0,'Données projet'!$E$11+1,1))-AVERAGE(OFFSET($H$3,0,0,'Données projet'!$E$11+1,1))</f>
        <v>332.93090933713466</v>
      </c>
      <c r="BJ97" s="59">
        <f t="shared" si="92"/>
        <v>251.83579649532973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20.746052389870908</v>
      </c>
      <c r="BQ97" s="21">
        <f>EXP(-LN(2)/25)*BQ96+(1-EXP(-LN(2)/25))/(LN(2)/25)*Calculateur!BL97*Calculateur!BN97*VLOOKUP('Données projet'!$B$11,Paramètres!$A$1:$I$89,3,0)*0.475*44/12</f>
        <v>1.1793951509629141</v>
      </c>
      <c r="BR97" s="21">
        <f>EXP(-LN(2)/2)*BR96+(1-EXP(-LN(2)/2))/(LN(2)/2)*BL97*BO97*VLOOKUP('Données projet'!$B$11,Paramètres!$A$1:$I$89,3,0)*0.475*44/12</f>
        <v>6.265055433824331E-13</v>
      </c>
      <c r="BS97" s="22">
        <f t="shared" si="63"/>
        <v>21.925447540834448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>
        <f>VLOOKUP(A97,'Données projet'!$A$113:$I$133,2,0)</f>
        <v>380.13</v>
      </c>
      <c r="BW97" s="12">
        <f>VLOOKUP(A97,'Données projet'!$A$113:$I$133,9,0)</f>
        <v>8.6509999999999998</v>
      </c>
      <c r="BX97" s="12">
        <f t="array" ref="BX97">INDEX(BW:BW,MIN(IF(ISNUMBER(BW97:BW293),ROW(BW97:BW293),"")))</f>
        <v>8.6509999999999998</v>
      </c>
      <c r="BY97" s="12">
        <f>IF('Données projet'!$A$114&gt;35,BY96+BX97-CG96,IF(A97&lt;'Données projet'!$A$114,$BV$205^A97,IF(A97='Données projet'!$A$114,'Données projet'!$B$114,BY96+BX97-CG96)))</f>
        <v>380.13000000000028</v>
      </c>
      <c r="BZ97" s="13">
        <f>BY97*VLOOKUP('Données projet'!$B$12,Paramètres!$A$1:$I$89,3,0)*VLOOKUP('Données projet'!$B$12,Paramètres!$A$1:$I$89,5,0)</f>
        <v>432.89204400000034</v>
      </c>
      <c r="CA97" s="13">
        <f t="shared" si="93"/>
        <v>98.41404513121347</v>
      </c>
      <c r="CB97" s="20">
        <f t="shared" si="64"/>
        <v>925.35810523686405</v>
      </c>
      <c r="CC97" s="59">
        <f t="shared" si="65"/>
        <v>1208.0757476165404</v>
      </c>
      <c r="CD97" s="59">
        <f ca="1">AVERAGE(OFFSET($CC$3,0,0,'Données projet'!$E$12+1,1))-AVERAGE(OFFSET($H$3,0,0,'Données projet'!$E$12+1,1))</f>
        <v>797.57191672067393</v>
      </c>
      <c r="CE97" s="59">
        <f t="shared" si="94"/>
        <v>238.59056544987126</v>
      </c>
      <c r="CF97" s="15">
        <f>IF(ISNA(VLOOKUP(A97,'Données projet'!$A$113:$I$133,3,0)),0,VLOOKUP(A97,'Données projet'!$A$113:$I$133,3,0))</f>
        <v>7</v>
      </c>
      <c r="CG97" s="15">
        <f>IF(ISNA(VLOOKUP(A97,'Données projet'!$A$113:$I$133,4,0)),0,VLOOKUP(A97,'Données projet'!$A$113:$I$133,4,0))</f>
        <v>61.85</v>
      </c>
      <c r="CH97" s="16">
        <f>IF(ISNA(VLOOKUP(A97,'Données projet'!$A$113:$I$133,5,0)),0%,VLOOKUP(A97,'Données projet'!$A$113:$I$133,5,0)*VLOOKUP('Données projet'!$B$12,Paramètres!$A$1:$I$89,7,0))</f>
        <v>0.43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121.8963136640385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121.8963136640385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>
        <f>CT97*VLOOKUP('Données projet'!$B$13,Paramètres!$A$1:$I$89,3,0)*VLOOKUP('Données projet'!$B$13,Paramètres!$A$1:$I$89,5,0)</f>
        <v>0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188.98184340090461</v>
      </c>
      <c r="CZ97" s="59">
        <f t="shared" si="96"/>
        <v>450.74604661797798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23.144614255684761</v>
      </c>
      <c r="DH97" s="21">
        <f>EXP(-LN(2)/2)*DH96+(1-EXP(-LN(2)/2))/(LN(2)/2)*DB97*DE97*VLOOKUP('Données projet'!$B$13,Paramètres!$A$1:$I$89,3,0)*0.475*44/12</f>
        <v>1.0468532797544005E-11</v>
      </c>
      <c r="DI97" s="22">
        <f t="shared" si="69"/>
        <v>23.144614255695231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369.00000000000011</v>
      </c>
      <c r="DP97" s="17">
        <f>DO97*VLOOKUP('Données projet'!$B$14,Paramètres!$A$1:$I$89,3,0)*VLOOKUP('Données projet'!$B$14,Paramètres!$A$1:$I$89,5,0)</f>
        <v>333.87120000000004</v>
      </c>
      <c r="DQ97" s="13">
        <f t="shared" si="97"/>
        <v>78.232360111376309</v>
      </c>
      <c r="DR97" s="20">
        <f t="shared" si="70"/>
        <v>717.74703386064709</v>
      </c>
      <c r="DS97" s="59">
        <f t="shared" si="71"/>
        <v>1000.4646762403236</v>
      </c>
      <c r="DT97" s="59">
        <f ca="1">AVERAGE(OFFSET($DS$3,0,0,'Données projet'!$E$14+1,1))-AVERAGE(OFFSET($H$3,0,0,'Données projet'!$E$14+1,1))</f>
        <v>442.34161202733173</v>
      </c>
      <c r="DU97" s="59">
        <f t="shared" si="98"/>
        <v>622.90413492324399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2.9762472234604269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2.9762472234604269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>
        <f>VLOOKUP(A97,'Données projet'!$A$191:$I$211,2,0)</f>
        <v>380.13</v>
      </c>
      <c r="EH97" s="12">
        <f>VLOOKUP(A97,'Données projet'!$A$191:$I$211,9,0)</f>
        <v>8.6509999999999998</v>
      </c>
      <c r="EI97" s="12">
        <f t="array" ref="EI97">INDEX(EH:EH,MIN(IF(ISNUMBER(EH97:EH293),ROW(EH97:EH293),"")))</f>
        <v>8.6509999999999998</v>
      </c>
      <c r="EJ97" s="12">
        <f>IF('Données projet'!$A$192&gt;35,EJ96+EI97-ER96,IF(A97&lt;'Données projet'!$A$192,$EG$205^A97,IF(A97='Données projet'!$A$192,'Données projet'!$B$192,EJ96+EI97-ER96)))</f>
        <v>380.13000000000028</v>
      </c>
      <c r="EK97" s="17">
        <f>EJ97*VLOOKUP('Données projet'!$B$15,Paramètres!$A$1:$I$89,3,0)*VLOOKUP('Données projet'!$B$15,Paramètres!$A$1:$I$89,5,0)</f>
        <v>415.1019600000003</v>
      </c>
      <c r="EL97" s="13">
        <f t="shared" si="99"/>
        <v>94.831720964500249</v>
      </c>
      <c r="EM97" s="20">
        <f t="shared" si="73"/>
        <v>888.13449434650511</v>
      </c>
      <c r="EN97" s="59">
        <f t="shared" si="74"/>
        <v>1170.8521367261815</v>
      </c>
      <c r="EO97" s="59">
        <f ca="1">AVERAGE(OFFSET($EN$3,0,0,'Données projet'!$E$15+1,1))-AVERAGE(OFFSET($H$3,0,0,'Données projet'!$E$15+1,1))</f>
        <v>767.9449852393318</v>
      </c>
      <c r="EP97" s="59">
        <f t="shared" si="100"/>
        <v>230.95605490295961</v>
      </c>
      <c r="EQ97" s="15">
        <f>IF(ISNA(VLOOKUP(A97,'Données projet'!$A$191:$I$211,3,0)),0,VLOOKUP(A97,'Données projet'!$A$191:$I$211,3,0))</f>
        <v>7</v>
      </c>
      <c r="ER97" s="15">
        <f>IF(ISNA(VLOOKUP(A97,'Données projet'!$A$191:$I$211,4,0)),0,VLOOKUP(A97,'Données projet'!$A$191:$I$211,4,0))</f>
        <v>61.85</v>
      </c>
      <c r="ES97" s="16">
        <f>IF(ISNA(VLOOKUP(A97,'Données projet'!$A$191:$I$211,5,0)),0%,VLOOKUP(A97,'Données projet'!$A$191:$I$211,5,0)*VLOOKUP('Données projet'!$B$15,Paramètres!$A$1:$I$89,7,0))</f>
        <v>0.43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116.88687611620129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116.88687611620129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67.104811558093573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3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11</v>
      </c>
      <c r="H98" s="66">
        <f t="shared" si="56"/>
        <v>212.66666666666666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188.98184340090461</v>
      </c>
      <c r="T98" s="59">
        <f t="shared" si="88"/>
        <v>450.74604661797798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10.754999999999995</v>
      </c>
      <c r="AI98" s="13">
        <f>IF('Données projet'!$A$62&gt;35,AI97+AH98-AQ97,IF(A98&lt;'Données projet'!$A$62,$AF$205^A98,IF(A98='Données projet'!$A$62,'Données projet'!$B$62,AI97+AH98-AQ97)))</f>
        <v>461.8949999999997</v>
      </c>
      <c r="AJ98" s="13">
        <f>AI98*VLOOKUP('Données projet'!$B$10,Paramètres!$A$1:$I$89,3,0)*VLOOKUP('Données projet'!$B$10,Paramètres!$A$1:$I$89,5,0)</f>
        <v>417.92259599999971</v>
      </c>
      <c r="AK98" s="13">
        <f t="shared" si="89"/>
        <v>95.400875561025359</v>
      </c>
      <c r="AL98" s="20">
        <f t="shared" si="58"/>
        <v>894.03837963545186</v>
      </c>
      <c r="AM98" s="59">
        <f t="shared" si="59"/>
        <v>1176.9401805200448</v>
      </c>
      <c r="AN98" s="59">
        <f ca="1">AVERAGE(OFFSET($AM$3,0,0,'Données projet'!$E$10+1,1))-AVERAGE(OFFSET($H$3,0,0,'Données projet'!$E$10+1,1))</f>
        <v>725.60981534362895</v>
      </c>
      <c r="AO98" s="59">
        <f t="shared" si="90"/>
        <v>265.16078167969272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117.26531042451086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117.26531042451086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1.819999999999999</v>
      </c>
      <c r="BD98" s="12">
        <f>IF('Données projet'!$A$88&gt;35,BD97+BC98-BL97,IF(A98&lt;'Données projet'!$A$88,$BA$205^A98,IF(A98='Données projet'!$A$88,'Données projet'!$B$88,BD97+BC98-BL97)))</f>
        <v>136.5</v>
      </c>
      <c r="BE98" s="13">
        <f>BD98*VLOOKUP('Données projet'!$B$11,Paramètres!$A$1:$I$89,3,0)*VLOOKUP('Données projet'!$B$11,Paramètres!$A$1:$I$89,5,0)</f>
        <v>157.24799999999999</v>
      </c>
      <c r="BF98" s="13">
        <f t="shared" si="91"/>
        <v>40.22116874434861</v>
      </c>
      <c r="BG98" s="20">
        <f t="shared" si="61"/>
        <v>343.92546889640715</v>
      </c>
      <c r="BH98" s="59">
        <f t="shared" si="62"/>
        <v>626.82726978100004</v>
      </c>
      <c r="BI98" s="59">
        <f ca="1">AVERAGE(OFFSET($BH$3,0,0,'Données projet'!$E$11+1,1))-AVERAGE(OFFSET($H$3,0,0,'Données projet'!$E$11+1,1))</f>
        <v>332.93090933713466</v>
      </c>
      <c r="BJ98" s="59">
        <f t="shared" si="92"/>
        <v>251.83579649532973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20.339234956348033</v>
      </c>
      <c r="BQ98" s="21">
        <f>EXP(-LN(2)/25)*BQ97+(1-EXP(-LN(2)/25))/(LN(2)/25)*Calculateur!BL98*Calculateur!BN98*VLOOKUP('Données projet'!$B$11,Paramètres!$A$1:$I$89,3,0)*0.475*44/12</f>
        <v>1.1471445285381379</v>
      </c>
      <c r="BR98" s="21">
        <f>EXP(-LN(2)/2)*BR97+(1-EXP(-LN(2)/2))/(LN(2)/2)*BL98*BO98*VLOOKUP('Données projet'!$B$11,Paramètres!$A$1:$I$89,3,0)*0.475*44/12</f>
        <v>4.4300631817668123E-13</v>
      </c>
      <c r="BS98" s="22">
        <f t="shared" si="63"/>
        <v>21.486379484886616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8.3920000000000012</v>
      </c>
      <c r="BY98" s="12">
        <f>IF('Données projet'!$A$114&gt;35,BY97+BX98-CG97,IF(A98&lt;'Données projet'!$A$114,$BV$205^A98,IF(A98='Données projet'!$A$114,'Données projet'!$B$114,BY97+BX98-CG97)))</f>
        <v>326.67200000000025</v>
      </c>
      <c r="BZ98" s="13">
        <f>BY98*VLOOKUP('Données projet'!$B$12,Paramètres!$A$1:$I$89,3,0)*VLOOKUP('Données projet'!$B$12,Paramètres!$A$1:$I$89,5,0)</f>
        <v>372.0140736000003</v>
      </c>
      <c r="CA98" s="13">
        <f t="shared" si="93"/>
        <v>86.079220219719346</v>
      </c>
      <c r="CB98" s="20">
        <f t="shared" si="64"/>
        <v>797.845820069345</v>
      </c>
      <c r="CC98" s="59">
        <f t="shared" si="65"/>
        <v>1080.7476209539379</v>
      </c>
      <c r="CD98" s="59">
        <f ca="1">AVERAGE(OFFSET($CC$3,0,0,'Données projet'!$E$12+1,1))-AVERAGE(OFFSET($H$3,0,0,'Données projet'!$E$12+1,1))</f>
        <v>797.57191672067393</v>
      </c>
      <c r="CE98" s="59">
        <f t="shared" si="94"/>
        <v>238.59056544987126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119.50600130249664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119.50600130249664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>
        <f>CT98*VLOOKUP('Données projet'!$B$13,Paramètres!$A$1:$I$89,3,0)*VLOOKUP('Données projet'!$B$13,Paramètres!$A$1:$I$89,5,0)</f>
        <v>0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188.98184340090461</v>
      </c>
      <c r="CZ98" s="59">
        <f t="shared" si="96"/>
        <v>450.74604661797798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22.511723561740695</v>
      </c>
      <c r="DH98" s="21">
        <f>EXP(-LN(2)/2)*DH97+(1-EXP(-LN(2)/2))/(LN(2)/2)*DB98*DE98*VLOOKUP('Données projet'!$B$13,Paramètres!$A$1:$I$89,3,0)*0.475*44/12</f>
        <v>7.4023705302171452E-12</v>
      </c>
      <c r="DI98" s="22">
        <f t="shared" si="69"/>
        <v>22.511723561748099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369.00000000000011</v>
      </c>
      <c r="DP98" s="17">
        <f>DO98*VLOOKUP('Données projet'!$B$14,Paramètres!$A$1:$I$89,3,0)*VLOOKUP('Données projet'!$B$14,Paramètres!$A$1:$I$89,5,0)</f>
        <v>333.87120000000004</v>
      </c>
      <c r="DQ98" s="13">
        <f t="shared" si="97"/>
        <v>78.232360111376309</v>
      </c>
      <c r="DR98" s="20">
        <f t="shared" si="70"/>
        <v>717.74703386064709</v>
      </c>
      <c r="DS98" s="59">
        <f t="shared" si="71"/>
        <v>1000.64883474524</v>
      </c>
      <c r="DT98" s="59">
        <f ca="1">AVERAGE(OFFSET($DS$3,0,0,'Données projet'!$E$14+1,1))-AVERAGE(OFFSET($H$3,0,0,'Données projet'!$E$14+1,1))</f>
        <v>442.34161202733173</v>
      </c>
      <c r="DU98" s="59">
        <f t="shared" si="98"/>
        <v>622.90413492324399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2.9178848307399252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2.9178848307399252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8.3920000000000012</v>
      </c>
      <c r="EJ98" s="12">
        <f>IF('Données projet'!$A$192&gt;35,EJ97+EI98-ER97,IF(A98&lt;'Données projet'!$A$192,$EG$205^A98,IF(A98='Données projet'!$A$192,'Données projet'!$B$192,EJ97+EI98-ER97)))</f>
        <v>326.67200000000025</v>
      </c>
      <c r="EK98" s="17">
        <f>EJ98*VLOOKUP('Données projet'!$B$15,Paramètres!$A$1:$I$89,3,0)*VLOOKUP('Données projet'!$B$15,Paramètres!$A$1:$I$89,5,0)</f>
        <v>356.72582400000027</v>
      </c>
      <c r="EL98" s="13">
        <f t="shared" si="99"/>
        <v>82.945890313060232</v>
      </c>
      <c r="EM98" s="20">
        <f t="shared" si="73"/>
        <v>765.76156909524707</v>
      </c>
      <c r="EN98" s="59">
        <f t="shared" si="74"/>
        <v>1048.6633699798399</v>
      </c>
      <c r="EO98" s="59">
        <f ca="1">AVERAGE(OFFSET($EN$3,0,0,'Données projet'!$E$15+1,1))-AVERAGE(OFFSET($H$3,0,0,'Données projet'!$E$15+1,1))</f>
        <v>767.9449852393318</v>
      </c>
      <c r="EP98" s="59">
        <f t="shared" si="100"/>
        <v>230.95605490295961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114.59479576951732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114.59479576951732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67.155036604888977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3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11</v>
      </c>
      <c r="H99" s="66">
        <f t="shared" si="56"/>
        <v>212.66666666666666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188.98184340090461</v>
      </c>
      <c r="T99" s="59">
        <f t="shared" si="88"/>
        <v>450.74604661797798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10.754999999999995</v>
      </c>
      <c r="AI99" s="13">
        <f>IF('Données projet'!$A$62&gt;35,AI98+AH99-AQ98,IF(A99&lt;'Données projet'!$A$62,$AF$205^A99,IF(A99='Données projet'!$A$62,'Données projet'!$B$62,AI98+AH99-AQ98)))</f>
        <v>472.64999999999969</v>
      </c>
      <c r="AJ99" s="13">
        <f>AI99*VLOOKUP('Données projet'!$B$10,Paramètres!$A$1:$I$89,3,0)*VLOOKUP('Données projet'!$B$10,Paramètres!$A$1:$I$89,5,0)</f>
        <v>427.65371999999974</v>
      </c>
      <c r="AK99" s="13">
        <f t="shared" si="89"/>
        <v>97.361034687082608</v>
      </c>
      <c r="AL99" s="20">
        <f t="shared" si="58"/>
        <v>914.40069774666847</v>
      </c>
      <c r="AM99" s="59">
        <f t="shared" si="59"/>
        <v>1197.4834623978343</v>
      </c>
      <c r="AN99" s="59">
        <f ca="1">AVERAGE(OFFSET($AM$3,0,0,'Données projet'!$E$10+1,1))-AVERAGE(OFFSET($H$3,0,0,'Données projet'!$E$10+1,1))</f>
        <v>725.60981534362895</v>
      </c>
      <c r="AO99" s="59">
        <f t="shared" si="90"/>
        <v>265.16078167969272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114.96580921186307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114.96580921186307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1.819999999999999</v>
      </c>
      <c r="BD99" s="12">
        <f>IF('Données projet'!$A$88&gt;35,BD98+BC99-BL98,IF(A99&lt;'Données projet'!$A$88,$BA$205^A99,IF(A99='Données projet'!$A$88,'Données projet'!$B$88,BD98+BC99-BL98)))</f>
        <v>138.32</v>
      </c>
      <c r="BE99" s="13">
        <f>BD99*VLOOKUP('Données projet'!$B$11,Paramètres!$A$1:$I$89,3,0)*VLOOKUP('Données projet'!$B$11,Paramètres!$A$1:$I$89,5,0)</f>
        <v>159.34463999999997</v>
      </c>
      <c r="BF99" s="13">
        <f t="shared" si="91"/>
        <v>40.694661837553809</v>
      </c>
      <c r="BG99" s="20">
        <f t="shared" si="61"/>
        <v>348.40178403373943</v>
      </c>
      <c r="BH99" s="59">
        <f t="shared" si="62"/>
        <v>631.48454868490512</v>
      </c>
      <c r="BI99" s="59">
        <f ca="1">AVERAGE(OFFSET($BH$3,0,0,'Données projet'!$E$11+1,1))-AVERAGE(OFFSET($H$3,0,0,'Données projet'!$E$11+1,1))</f>
        <v>332.93090933713466</v>
      </c>
      <c r="BJ99" s="59">
        <f t="shared" si="92"/>
        <v>251.83579649532973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19.940394964562408</v>
      </c>
      <c r="BQ99" s="21">
        <f>EXP(-LN(2)/25)*BQ98+(1-EXP(-LN(2)/25))/(LN(2)/25)*Calculateur!BL99*Calculateur!BN99*VLOOKUP('Données projet'!$B$11,Paramètres!$A$1:$I$89,3,0)*0.475*44/12</f>
        <v>1.1157758010795535</v>
      </c>
      <c r="BR99" s="21">
        <f>EXP(-LN(2)/2)*BR98+(1-EXP(-LN(2)/2))/(LN(2)/2)*BL99*BO99*VLOOKUP('Données projet'!$B$11,Paramètres!$A$1:$I$89,3,0)*0.475*44/12</f>
        <v>3.132527716912166E-13</v>
      </c>
      <c r="BS99" s="22">
        <f t="shared" si="63"/>
        <v>21.056170765642275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8.3920000000000012</v>
      </c>
      <c r="BY99" s="12">
        <f>IF('Données projet'!$A$114&gt;35,BY98+BX99-CG98,IF(A99&lt;'Données projet'!$A$114,$BV$205^A99,IF(A99='Données projet'!$A$114,'Données projet'!$B$114,BY98+BX99-CG98)))</f>
        <v>335.06400000000025</v>
      </c>
      <c r="BZ99" s="13">
        <f>BY99*VLOOKUP('Données projet'!$B$12,Paramètres!$A$1:$I$89,3,0)*VLOOKUP('Données projet'!$B$12,Paramètres!$A$1:$I$89,5,0)</f>
        <v>381.57088320000031</v>
      </c>
      <c r="CA99" s="13">
        <f t="shared" si="93"/>
        <v>88.03025009494425</v>
      </c>
      <c r="CB99" s="20">
        <f t="shared" si="64"/>
        <v>817.88864048869516</v>
      </c>
      <c r="CC99" s="59">
        <f t="shared" si="65"/>
        <v>1100.971405139861</v>
      </c>
      <c r="CD99" s="59">
        <f ca="1">AVERAGE(OFFSET($CC$3,0,0,'Données projet'!$E$12+1,1))-AVERAGE(OFFSET($H$3,0,0,'Données projet'!$E$12+1,1))</f>
        <v>797.57191672067393</v>
      </c>
      <c r="CE99" s="59">
        <f t="shared" si="94"/>
        <v>238.59056544987126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117.16256150841804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117.16256150841804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>
        <f>CT99*VLOOKUP('Données projet'!$B$13,Paramètres!$A$1:$I$89,3,0)*VLOOKUP('Données projet'!$B$13,Paramètres!$A$1:$I$89,5,0)</f>
        <v>0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188.98184340090461</v>
      </c>
      <c r="CZ99" s="59">
        <f t="shared" si="96"/>
        <v>450.74604661797798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21.896139297104806</v>
      </c>
      <c r="DH99" s="21">
        <f>EXP(-LN(2)/2)*DH98+(1-EXP(-LN(2)/2))/(LN(2)/2)*DB99*DE99*VLOOKUP('Données projet'!$B$13,Paramètres!$A$1:$I$89,3,0)*0.475*44/12</f>
        <v>5.2342663987720027E-12</v>
      </c>
      <c r="DI99" s="22">
        <f t="shared" si="69"/>
        <v>21.896139297110039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369.00000000000011</v>
      </c>
      <c r="DP99" s="17">
        <f>DO99*VLOOKUP('Données projet'!$B$14,Paramètres!$A$1:$I$89,3,0)*VLOOKUP('Données projet'!$B$14,Paramètres!$A$1:$I$89,5,0)</f>
        <v>333.87120000000004</v>
      </c>
      <c r="DQ99" s="13">
        <f t="shared" si="97"/>
        <v>78.232360111376309</v>
      </c>
      <c r="DR99" s="20">
        <f t="shared" si="70"/>
        <v>717.74703386064709</v>
      </c>
      <c r="DS99" s="59">
        <f t="shared" si="71"/>
        <v>1000.8297985118129</v>
      </c>
      <c r="DT99" s="59">
        <f ca="1">AVERAGE(OFFSET($DS$3,0,0,'Données projet'!$E$14+1,1))-AVERAGE(OFFSET($H$3,0,0,'Données projet'!$E$14+1,1))</f>
        <v>442.34161202733173</v>
      </c>
      <c r="DU99" s="59">
        <f t="shared" si="98"/>
        <v>622.90413492324399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2.8606668889431277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2.8606668889431277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8.3920000000000012</v>
      </c>
      <c r="EJ99" s="12">
        <f>IF('Données projet'!$A$192&gt;35,EJ98+EI99-ER98,IF(A99&lt;'Données projet'!$A$192,$EG$205^A99,IF(A99='Données projet'!$A$192,'Données projet'!$B$192,EJ98+EI99-ER98)))</f>
        <v>335.06400000000025</v>
      </c>
      <c r="EK99" s="17">
        <f>EJ99*VLOOKUP('Données projet'!$B$15,Paramètres!$A$1:$I$89,3,0)*VLOOKUP('Données projet'!$B$15,Paramètres!$A$1:$I$89,5,0)</f>
        <v>365.88988800000027</v>
      </c>
      <c r="EL99" s="13">
        <f t="shared" si="99"/>
        <v>84.825901651625188</v>
      </c>
      <c r="EM99" s="20">
        <f t="shared" si="73"/>
        <v>784.99666697658097</v>
      </c>
      <c r="EN99" s="59">
        <f t="shared" si="74"/>
        <v>1068.0794316277468</v>
      </c>
      <c r="EO99" s="59">
        <f ca="1">AVERAGE(OFFSET($EN$3,0,0,'Données projet'!$E$15+1,1))-AVERAGE(OFFSET($H$3,0,0,'Données projet'!$E$15+1,1))</f>
        <v>767.9449852393318</v>
      </c>
      <c r="EP99" s="59">
        <f t="shared" si="100"/>
        <v>230.95605490295961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112.34766172040085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112.34766172040085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67.204390359408848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3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11</v>
      </c>
      <c r="H100" s="66">
        <f t="shared" si="56"/>
        <v>212.66666666666666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188.98184340090461</v>
      </c>
      <c r="T100" s="59">
        <f t="shared" si="88"/>
        <v>450.74604661797798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10.754999999999995</v>
      </c>
      <c r="AI100" s="13">
        <f>IF('Données projet'!$A$62&gt;35,AI99+AH100-AQ99,IF(A100&lt;'Données projet'!$A$62,$AF$205^A100,IF(A100='Données projet'!$A$62,'Données projet'!$B$62,AI99+AH100-AQ99)))</f>
        <v>483.40499999999969</v>
      </c>
      <c r="AJ100" s="13">
        <f>AI100*VLOOKUP('Données projet'!$B$10,Paramètres!$A$1:$I$89,3,0)*VLOOKUP('Données projet'!$B$10,Paramètres!$A$1:$I$89,5,0)</f>
        <v>437.3848439999997</v>
      </c>
      <c r="AK100" s="13">
        <f t="shared" si="89"/>
        <v>99.316008444270537</v>
      </c>
      <c r="AL100" s="20">
        <f t="shared" si="58"/>
        <v>934.75398467377056</v>
      </c>
      <c r="AM100" s="59">
        <f t="shared" si="59"/>
        <v>1218.0145737747337</v>
      </c>
      <c r="AN100" s="59">
        <f ca="1">AVERAGE(OFFSET($AM$3,0,0,'Données projet'!$E$10+1,1))-AVERAGE(OFFSET($H$3,0,0,'Données projet'!$E$10+1,1))</f>
        <v>725.60981534362895</v>
      </c>
      <c r="AO100" s="59">
        <f t="shared" si="90"/>
        <v>265.16078167969272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112.71139981543807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112.71139981543807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1.819999999999999</v>
      </c>
      <c r="BD100" s="12">
        <f>IF('Données projet'!$A$88&gt;35,BD99+BC100-BL99,IF(A100&lt;'Données projet'!$A$88,$BA$205^A100,IF(A100='Données projet'!$A$88,'Données projet'!$B$88,BD99+BC100-BL99)))</f>
        <v>140.13999999999999</v>
      </c>
      <c r="BE100" s="13">
        <f>BD100*VLOOKUP('Données projet'!$B$11,Paramètres!$A$1:$I$89,3,0)*VLOOKUP('Données projet'!$B$11,Paramètres!$A$1:$I$89,5,0)</f>
        <v>161.44127999999998</v>
      </c>
      <c r="BF100" s="13">
        <f t="shared" si="91"/>
        <v>41.167430271655704</v>
      </c>
      <c r="BG100" s="20">
        <f t="shared" si="61"/>
        <v>352.87683705646697</v>
      </c>
      <c r="BH100" s="59">
        <f t="shared" si="62"/>
        <v>636.13742615743001</v>
      </c>
      <c r="BI100" s="59">
        <f ca="1">AVERAGE(OFFSET($BH$3,0,0,'Données projet'!$E$11+1,1))-AVERAGE(OFFSET($H$3,0,0,'Données projet'!$E$11+1,1))</f>
        <v>332.93090933713466</v>
      </c>
      <c r="BJ100" s="59">
        <f t="shared" si="92"/>
        <v>251.83579649532973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19.549375981747325</v>
      </c>
      <c r="BQ100" s="21">
        <f>EXP(-LN(2)/25)*BQ99+(1-EXP(-LN(2)/25))/(LN(2)/25)*Calculateur!BL100*Calculateur!BN100*VLOOKUP('Données projet'!$B$11,Paramètres!$A$1:$I$89,3,0)*0.475*44/12</f>
        <v>1.0852648531229339</v>
      </c>
      <c r="BR100" s="21">
        <f>EXP(-LN(2)/2)*BR99+(1-EXP(-LN(2)/2))/(LN(2)/2)*BL100*BO100*VLOOKUP('Données projet'!$B$11,Paramètres!$A$1:$I$89,3,0)*0.475*44/12</f>
        <v>2.2150315908834064E-13</v>
      </c>
      <c r="BS100" s="22">
        <f t="shared" si="63"/>
        <v>20.634640834870478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8.3920000000000012</v>
      </c>
      <c r="BY100" s="12">
        <f>IF('Données projet'!$A$114&gt;35,BY99+BX100-CG99,IF(A100&lt;'Données projet'!$A$114,$BV$205^A100,IF(A100='Données projet'!$A$114,'Données projet'!$B$114,BY99+BX100-CG99)))</f>
        <v>343.45600000000024</v>
      </c>
      <c r="BZ100" s="13">
        <f>BY100*VLOOKUP('Données projet'!$B$12,Paramètres!$A$1:$I$89,3,0)*VLOOKUP('Données projet'!$B$12,Paramètres!$A$1:$I$89,5,0)</f>
        <v>391.12769280000026</v>
      </c>
      <c r="CA100" s="13">
        <f t="shared" si="93"/>
        <v>89.975599690903195</v>
      </c>
      <c r="CB100" s="20">
        <f t="shared" si="64"/>
        <v>837.92156775499018</v>
      </c>
      <c r="CC100" s="59">
        <f t="shared" si="65"/>
        <v>1121.1821568559533</v>
      </c>
      <c r="CD100" s="59">
        <f ca="1">AVERAGE(OFFSET($CC$3,0,0,'Données projet'!$E$12+1,1))-AVERAGE(OFFSET($H$3,0,0,'Données projet'!$E$12+1,1))</f>
        <v>797.57191672067393</v>
      </c>
      <c r="CE100" s="59">
        <f t="shared" si="94"/>
        <v>238.59056544987126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114.86507513934419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114.86507513934419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>
        <f>CT100*VLOOKUP('Données projet'!$B$13,Paramètres!$A$1:$I$89,3,0)*VLOOKUP('Données projet'!$B$13,Paramètres!$A$1:$I$89,5,0)</f>
        <v>0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188.98184340090461</v>
      </c>
      <c r="CZ100" s="59">
        <f t="shared" si="96"/>
        <v>450.74604661797798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21.297388216557554</v>
      </c>
      <c r="DH100" s="21">
        <f>EXP(-LN(2)/2)*DH99+(1-EXP(-LN(2)/2))/(LN(2)/2)*DB100*DE100*VLOOKUP('Données projet'!$B$13,Paramètres!$A$1:$I$89,3,0)*0.475*44/12</f>
        <v>3.7011852651085726E-12</v>
      </c>
      <c r="DI100" s="22">
        <f t="shared" si="69"/>
        <v>21.297388216561256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369.00000000000011</v>
      </c>
      <c r="DP100" s="17">
        <f>DO100*VLOOKUP('Données projet'!$B$14,Paramètres!$A$1:$I$89,3,0)*VLOOKUP('Données projet'!$B$14,Paramètres!$A$1:$I$89,5,0)</f>
        <v>333.87120000000004</v>
      </c>
      <c r="DQ100" s="13">
        <f t="shared" si="97"/>
        <v>78.232360111376309</v>
      </c>
      <c r="DR100" s="20">
        <f t="shared" si="70"/>
        <v>717.74703386064709</v>
      </c>
      <c r="DS100" s="59">
        <f t="shared" si="71"/>
        <v>1001.0076229616102</v>
      </c>
      <c r="DT100" s="59">
        <f ca="1">AVERAGE(OFFSET($DS$3,0,0,'Données projet'!$E$14+1,1))-AVERAGE(OFFSET($H$3,0,0,'Données projet'!$E$14+1,1))</f>
        <v>442.34161202733173</v>
      </c>
      <c r="DU100" s="59">
        <f t="shared" si="98"/>
        <v>622.90413492324399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2.8045709560854672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2.8045709560854672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8.3920000000000012</v>
      </c>
      <c r="EJ100" s="12">
        <f>IF('Données projet'!$A$192&gt;35,EJ99+EI100-ER99,IF(A100&lt;'Données projet'!$A$192,$EG$205^A100,IF(A100='Données projet'!$A$192,'Données projet'!$B$192,EJ99+EI100-ER99)))</f>
        <v>343.45600000000024</v>
      </c>
      <c r="EK100" s="17">
        <f>EJ100*VLOOKUP('Données projet'!$B$15,Paramètres!$A$1:$I$89,3,0)*VLOOKUP('Données projet'!$B$15,Paramètres!$A$1:$I$89,5,0)</f>
        <v>375.05395200000027</v>
      </c>
      <c r="EL100" s="13">
        <f t="shared" si="99"/>
        <v>86.700439476144126</v>
      </c>
      <c r="EM100" s="20">
        <f t="shared" si="73"/>
        <v>804.22223182095149</v>
      </c>
      <c r="EN100" s="59">
        <f t="shared" si="74"/>
        <v>1087.4828209219145</v>
      </c>
      <c r="EO100" s="59">
        <f ca="1">AVERAGE(OFFSET($EN$3,0,0,'Données projet'!$E$15+1,1))-AVERAGE(OFFSET($H$3,0,0,'Données projet'!$E$15+1,1))</f>
        <v>767.9449852393318</v>
      </c>
      <c r="EP100" s="59">
        <f t="shared" si="100"/>
        <v>230.95605490295961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110.14459259937112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110.14459259937112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67.25288793662628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3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11</v>
      </c>
      <c r="H101" s="66">
        <f t="shared" si="56"/>
        <v>212.66666666666666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188.98184340090461</v>
      </c>
      <c r="T101" s="59">
        <f t="shared" si="88"/>
        <v>450.74604661797798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10.754999999999995</v>
      </c>
      <c r="AI101" s="13">
        <f>IF('Données projet'!$A$62&gt;35,AI100+AH101-AQ100,IF(A101&lt;'Données projet'!$A$62,$AF$205^A101,IF(A101='Données projet'!$A$62,'Données projet'!$B$62,AI100+AH101-AQ100)))</f>
        <v>494.15999999999968</v>
      </c>
      <c r="AJ101" s="13">
        <f>AI101*VLOOKUP('Données projet'!$B$10,Paramètres!$A$1:$I$89,3,0)*VLOOKUP('Données projet'!$B$10,Paramètres!$A$1:$I$89,5,0)</f>
        <v>447.11596799999973</v>
      </c>
      <c r="AK101" s="13">
        <f t="shared" si="89"/>
        <v>101.26592548233283</v>
      </c>
      <c r="AL101" s="20">
        <f t="shared" si="58"/>
        <v>955.09846448172914</v>
      </c>
      <c r="AM101" s="59">
        <f t="shared" si="59"/>
        <v>1238.5337931758413</v>
      </c>
      <c r="AN101" s="59">
        <f ca="1">AVERAGE(OFFSET($AM$3,0,0,'Données projet'!$E$10+1,1))-AVERAGE(OFFSET($H$3,0,0,'Données projet'!$E$10+1,1))</f>
        <v>725.60981534362895</v>
      </c>
      <c r="AO101" s="59">
        <f t="shared" si="90"/>
        <v>265.16078167969272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110.501198012223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110.501198012223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1.819999999999999</v>
      </c>
      <c r="BD101" s="12">
        <f>IF('Données projet'!$A$88&gt;35,BD100+BC101-BL100,IF(A101&lt;'Données projet'!$A$88,$BA$205^A101,IF(A101='Données projet'!$A$88,'Données projet'!$B$88,BD100+BC101-BL100)))</f>
        <v>141.95999999999998</v>
      </c>
      <c r="BE101" s="13">
        <f>BD101*VLOOKUP('Données projet'!$B$11,Paramètres!$A$1:$I$89,3,0)*VLOOKUP('Données projet'!$B$11,Paramètres!$A$1:$I$89,5,0)</f>
        <v>163.53791999999996</v>
      </c>
      <c r="BF101" s="13">
        <f t="shared" si="91"/>
        <v>41.639484545926599</v>
      </c>
      <c r="BG101" s="20">
        <f t="shared" si="61"/>
        <v>357.35064625082208</v>
      </c>
      <c r="BH101" s="59">
        <f t="shared" si="62"/>
        <v>640.7859749449342</v>
      </c>
      <c r="BI101" s="59">
        <f ca="1">AVERAGE(OFFSET($BH$3,0,0,'Données projet'!$E$11+1,1))-AVERAGE(OFFSET($H$3,0,0,'Données projet'!$E$11+1,1))</f>
        <v>332.93090933713466</v>
      </c>
      <c r="BJ101" s="59">
        <f t="shared" si="92"/>
        <v>251.83579649532973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19.166024642687216</v>
      </c>
      <c r="BQ101" s="21">
        <f>EXP(-LN(2)/25)*BQ100+(1-EXP(-LN(2)/25))/(LN(2)/25)*Calculateur!BL101*Calculateur!BN101*VLOOKUP('Données projet'!$B$11,Paramètres!$A$1:$I$89,3,0)*0.475*44/12</f>
        <v>1.055588228642689</v>
      </c>
      <c r="BR101" s="21">
        <f>EXP(-LN(2)/2)*BR100+(1-EXP(-LN(2)/2))/(LN(2)/2)*BL101*BO101*VLOOKUP('Données projet'!$B$11,Paramètres!$A$1:$I$89,3,0)*0.475*44/12</f>
        <v>1.5662638584560833E-13</v>
      </c>
      <c r="BS101" s="22">
        <f t="shared" si="63"/>
        <v>20.221612871330059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8.3920000000000012</v>
      </c>
      <c r="BY101" s="12">
        <f>IF('Données projet'!$A$114&gt;35,BY100+BX101-CG100,IF(A101&lt;'Données projet'!$A$114,$BV$205^A101,IF(A101='Données projet'!$A$114,'Données projet'!$B$114,BY100+BX101-CG100)))</f>
        <v>351.84800000000024</v>
      </c>
      <c r="BZ101" s="13">
        <f>BY101*VLOOKUP('Données projet'!$B$12,Paramètres!$A$1:$I$89,3,0)*VLOOKUP('Données projet'!$B$12,Paramètres!$A$1:$I$89,5,0)</f>
        <v>400.68450240000027</v>
      </c>
      <c r="CA101" s="13">
        <f t="shared" si="93"/>
        <v>91.915423765858435</v>
      </c>
      <c r="CB101" s="20">
        <f t="shared" si="64"/>
        <v>857.94487140553736</v>
      </c>
      <c r="CC101" s="59">
        <f t="shared" si="65"/>
        <v>1141.3802000996495</v>
      </c>
      <c r="CD101" s="59">
        <f ca="1">AVERAGE(OFFSET($CC$3,0,0,'Données projet'!$E$12+1,1))-AVERAGE(OFFSET($H$3,0,0,'Données projet'!$E$12+1,1))</f>
        <v>797.57191672067393</v>
      </c>
      <c r="CE101" s="59">
        <f t="shared" si="94"/>
        <v>238.59056544987126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112.61264107663955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112.61264107663955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>
        <f>CT101*VLOOKUP('Données projet'!$B$13,Paramètres!$A$1:$I$89,3,0)*VLOOKUP('Données projet'!$B$13,Paramètres!$A$1:$I$89,5,0)</f>
        <v>0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188.98184340090461</v>
      </c>
      <c r="CZ101" s="59">
        <f t="shared" si="96"/>
        <v>450.74604661797798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20.715010015794817</v>
      </c>
      <c r="DH101" s="21">
        <f>EXP(-LN(2)/2)*DH100+(1-EXP(-LN(2)/2))/(LN(2)/2)*DB101*DE101*VLOOKUP('Données projet'!$B$13,Paramètres!$A$1:$I$89,3,0)*0.475*44/12</f>
        <v>2.6171331993860014E-12</v>
      </c>
      <c r="DI101" s="22">
        <f t="shared" si="69"/>
        <v>20.715010015797436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369.00000000000011</v>
      </c>
      <c r="DP101" s="17">
        <f>DO101*VLOOKUP('Données projet'!$B$14,Paramètres!$A$1:$I$89,3,0)*VLOOKUP('Données projet'!$B$14,Paramètres!$A$1:$I$89,5,0)</f>
        <v>333.87120000000004</v>
      </c>
      <c r="DQ101" s="13">
        <f t="shared" si="97"/>
        <v>78.232360111376309</v>
      </c>
      <c r="DR101" s="20">
        <f t="shared" si="70"/>
        <v>717.74703386064709</v>
      </c>
      <c r="DS101" s="59">
        <f t="shared" si="71"/>
        <v>1001.1823625547593</v>
      </c>
      <c r="DT101" s="59">
        <f ca="1">AVERAGE(OFFSET($DS$3,0,0,'Données projet'!$E$14+1,1))-AVERAGE(OFFSET($H$3,0,0,'Données projet'!$E$14+1,1))</f>
        <v>442.34161202733173</v>
      </c>
      <c r="DU101" s="59">
        <f t="shared" si="98"/>
        <v>622.90413492324399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2.7495750302560049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2.7495750302560049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8.3920000000000012</v>
      </c>
      <c r="EJ101" s="12">
        <f>IF('Données projet'!$A$192&gt;35,EJ100+EI101-ER100,IF(A101&lt;'Données projet'!$A$192,$EG$205^A101,IF(A101='Données projet'!$A$192,'Données projet'!$B$192,EJ100+EI101-ER100)))</f>
        <v>351.84800000000024</v>
      </c>
      <c r="EK101" s="17">
        <f>EJ101*VLOOKUP('Données projet'!$B$15,Paramètres!$A$1:$I$89,3,0)*VLOOKUP('Données projet'!$B$15,Paramètres!$A$1:$I$89,5,0)</f>
        <v>384.2180160000002</v>
      </c>
      <c r="EL101" s="13">
        <f t="shared" si="99"/>
        <v>88.569652911595441</v>
      </c>
      <c r="EM101" s="20">
        <f t="shared" si="73"/>
        <v>823.43852335436225</v>
      </c>
      <c r="EN101" s="59">
        <f t="shared" si="74"/>
        <v>1106.8738520484744</v>
      </c>
      <c r="EO101" s="59">
        <f ca="1">AVERAGE(OFFSET($EN$3,0,0,'Données projet'!$E$15+1,1))-AVERAGE(OFFSET($H$3,0,0,'Données projet'!$E$15+1,1))</f>
        <v>767.9449852393318</v>
      </c>
      <c r="EP101" s="59">
        <f t="shared" si="100"/>
        <v>230.95605490295961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107.98472432006531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107.98472432006531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67.300544189303309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3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11</v>
      </c>
      <c r="H102" s="66">
        <f t="shared" si="56"/>
        <v>212.66666666666666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188.98184340090461</v>
      </c>
      <c r="T102" s="59">
        <f t="shared" si="88"/>
        <v>450.74604661797798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10.754999999999995</v>
      </c>
      <c r="AI102" s="13">
        <f>IF('Données projet'!$A$62&gt;35,AI101+AH102-AQ101,IF(A102&lt;'Données projet'!$A$62,$AF$205^A102,IF(A102='Données projet'!$A$62,'Données projet'!$B$62,AI101+AH102-AQ101)))</f>
        <v>504.91499999999968</v>
      </c>
      <c r="AJ102" s="13">
        <f>AI102*VLOOKUP('Données projet'!$B$10,Paramètres!$A$1:$I$89,3,0)*VLOOKUP('Données projet'!$B$10,Paramètres!$A$1:$I$89,5,0)</f>
        <v>456.84709199999969</v>
      </c>
      <c r="AK102" s="13">
        <f t="shared" si="89"/>
        <v>103.21090853127453</v>
      </c>
      <c r="AL102" s="20">
        <f t="shared" si="58"/>
        <v>975.43435092530251</v>
      </c>
      <c r="AM102" s="59">
        <f t="shared" si="59"/>
        <v>1259.0413878712818</v>
      </c>
      <c r="AN102" s="59">
        <f ca="1">AVERAGE(OFFSET($AM$3,0,0,'Données projet'!$E$10+1,1))-AVERAGE(OFFSET($H$3,0,0,'Données projet'!$E$10+1,1))</f>
        <v>725.60981534362895</v>
      </c>
      <c r="AO102" s="59">
        <f t="shared" si="90"/>
        <v>265.16078167969272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108.33433691827899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108.33433691827899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1.819999999999999</v>
      </c>
      <c r="BD102" s="12">
        <f>IF('Données projet'!$A$88&gt;35,BD101+BC102-BL101,IF(A102&lt;'Données projet'!$A$88,$BA$205^A102,IF(A102='Données projet'!$A$88,'Données projet'!$B$88,BD101+BC102-BL101)))</f>
        <v>143.77999999999997</v>
      </c>
      <c r="BE102" s="13">
        <f>BD102*VLOOKUP('Données projet'!$B$11,Paramètres!$A$1:$I$89,3,0)*VLOOKUP('Données projet'!$B$11,Paramètres!$A$1:$I$89,5,0)</f>
        <v>165.63455999999994</v>
      </c>
      <c r="BF102" s="13">
        <f t="shared" si="91"/>
        <v>42.110834874947706</v>
      </c>
      <c r="BG102" s="20">
        <f t="shared" si="61"/>
        <v>361.82322940720042</v>
      </c>
      <c r="BH102" s="59">
        <f t="shared" si="62"/>
        <v>645.43026635317983</v>
      </c>
      <c r="BI102" s="59">
        <f ca="1">AVERAGE(OFFSET($BH$3,0,0,'Données projet'!$E$11+1,1))-AVERAGE(OFFSET($H$3,0,0,'Données projet'!$E$11+1,1))</f>
        <v>332.93090933713466</v>
      </c>
      <c r="BJ102" s="59">
        <f t="shared" si="92"/>
        <v>251.83579649532973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18.790190589564848</v>
      </c>
      <c r="BQ102" s="21">
        <f>EXP(-LN(2)/25)*BQ101+(1-EXP(-LN(2)/25))/(LN(2)/25)*Calculateur!BL102*Calculateur!BN102*VLOOKUP('Données projet'!$B$11,Paramètres!$A$1:$I$89,3,0)*0.475*44/12</f>
        <v>1.0267231130194823</v>
      </c>
      <c r="BR102" s="21">
        <f>EXP(-LN(2)/2)*BR101+(1-EXP(-LN(2)/2))/(LN(2)/2)*BL102*BO102*VLOOKUP('Données projet'!$B$11,Paramètres!$A$1:$I$89,3,0)*0.475*44/12</f>
        <v>1.1075157954417033E-13</v>
      </c>
      <c r="BS102" s="22">
        <f t="shared" si="63"/>
        <v>19.81691370258444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8.3920000000000012</v>
      </c>
      <c r="BY102" s="12">
        <f>IF('Données projet'!$A$114&gt;35,BY101+BX102-CG101,IF(A102&lt;'Données projet'!$A$114,$BV$205^A102,IF(A102='Données projet'!$A$114,'Données projet'!$B$114,BY101+BX102-CG101)))</f>
        <v>360.24000000000024</v>
      </c>
      <c r="BZ102" s="13">
        <f>BY102*VLOOKUP('Données projet'!$B$12,Paramètres!$A$1:$I$89,3,0)*VLOOKUP('Données projet'!$B$12,Paramètres!$A$1:$I$89,5,0)</f>
        <v>410.24131200000022</v>
      </c>
      <c r="CA102" s="13">
        <f t="shared" si="93"/>
        <v>93.849869274683385</v>
      </c>
      <c r="CB102" s="20">
        <f t="shared" si="64"/>
        <v>877.95880738674043</v>
      </c>
      <c r="CC102" s="59">
        <f t="shared" si="65"/>
        <v>1161.5658443327197</v>
      </c>
      <c r="CD102" s="59">
        <f ca="1">AVERAGE(OFFSET($CC$3,0,0,'Données projet'!$E$12+1,1))-AVERAGE(OFFSET($H$3,0,0,'Données projet'!$E$12+1,1))</f>
        <v>797.57191672067393</v>
      </c>
      <c r="CE102" s="59">
        <f t="shared" si="94"/>
        <v>238.59056544987126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110.40437587205544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110.40437587205544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>
        <f>CT102*VLOOKUP('Données projet'!$B$13,Paramètres!$A$1:$I$89,3,0)*VLOOKUP('Données projet'!$B$13,Paramètres!$A$1:$I$89,5,0)</f>
        <v>0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188.98184340090461</v>
      </c>
      <c r="CZ102" s="59">
        <f t="shared" si="96"/>
        <v>450.74604661797798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20.148556977557877</v>
      </c>
      <c r="DH102" s="21">
        <f>EXP(-LN(2)/2)*DH101+(1-EXP(-LN(2)/2))/(LN(2)/2)*DB102*DE102*VLOOKUP('Données projet'!$B$13,Paramètres!$A$1:$I$89,3,0)*0.475*44/12</f>
        <v>1.8505926325542863E-12</v>
      </c>
      <c r="DI102" s="22">
        <f t="shared" si="69"/>
        <v>20.148556977559728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369.00000000000011</v>
      </c>
      <c r="DP102" s="17">
        <f>DO102*VLOOKUP('Données projet'!$B$14,Paramètres!$A$1:$I$89,3,0)*VLOOKUP('Données projet'!$B$14,Paramètres!$A$1:$I$89,5,0)</f>
        <v>333.87120000000004</v>
      </c>
      <c r="DQ102" s="13">
        <f t="shared" si="97"/>
        <v>78.232360111376309</v>
      </c>
      <c r="DR102" s="20">
        <f t="shared" si="70"/>
        <v>717.74703386064709</v>
      </c>
      <c r="DS102" s="59">
        <f t="shared" si="71"/>
        <v>1001.3540708066264</v>
      </c>
      <c r="DT102" s="59">
        <f ca="1">AVERAGE(OFFSET($DS$3,0,0,'Données projet'!$E$14+1,1))-AVERAGE(OFFSET($H$3,0,0,'Données projet'!$E$14+1,1))</f>
        <v>442.34161202733173</v>
      </c>
      <c r="DU102" s="59">
        <f t="shared" si="98"/>
        <v>622.90413492324399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2.6956575409878556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2.6956575409878556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8.3920000000000012</v>
      </c>
      <c r="EJ102" s="12">
        <f>IF('Données projet'!$A$192&gt;35,EJ101+EI102-ER101,IF(A102&lt;'Données projet'!$A$192,$EG$205^A102,IF(A102='Données projet'!$A$192,'Données projet'!$B$192,EJ101+EI102-ER101)))</f>
        <v>360.24000000000024</v>
      </c>
      <c r="EK102" s="17">
        <f>EJ102*VLOOKUP('Données projet'!$B$15,Paramètres!$A$1:$I$89,3,0)*VLOOKUP('Données projet'!$B$15,Paramètres!$A$1:$I$89,5,0)</f>
        <v>393.38208000000026</v>
      </c>
      <c r="EL102" s="13">
        <f t="shared" si="99"/>
        <v>90.433683563616</v>
      </c>
      <c r="EM102" s="20">
        <f t="shared" si="73"/>
        <v>842.64578820663166</v>
      </c>
      <c r="EN102" s="59">
        <f t="shared" si="74"/>
        <v>1126.252825152611</v>
      </c>
      <c r="EO102" s="59">
        <f ca="1">AVERAGE(OFFSET($EN$3,0,0,'Données projet'!$E$15+1,1))-AVERAGE(OFFSET($H$3,0,0,'Données projet'!$E$15+1,1))</f>
        <v>767.9449852393318</v>
      </c>
      <c r="EP102" s="59">
        <f t="shared" si="100"/>
        <v>230.95605490295961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105.86720974032711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105.86720974032711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67.347373712539834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3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11</v>
      </c>
      <c r="H103" s="66">
        <f t="shared" si="56"/>
        <v>212.66666666666666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188.98184340090461</v>
      </c>
      <c r="T103" s="59">
        <f t="shared" si="88"/>
        <v>450.74604661797798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515.66999999999996</v>
      </c>
      <c r="AG103" s="12">
        <f>VLOOKUP(A103,'Données projet'!$A$61:$I$81,9,0)</f>
        <v>10.754999999999995</v>
      </c>
      <c r="AH103" s="12">
        <f t="array" ref="AH103">INDEX(AG:AG,MIN(IF(ISNUMBER(AG103:AG299),ROW(AG103:AG299),"")))</f>
        <v>10.754999999999995</v>
      </c>
      <c r="AI103" s="13">
        <f>IF('Données projet'!$A$62&gt;35,AI102+AH103-AQ102,IF(A103&lt;'Données projet'!$A$62,$AF$205^A103,IF(A103='Données projet'!$A$62,'Données projet'!$B$62,AI102+AH103-AQ102)))</f>
        <v>515.66999999999962</v>
      </c>
      <c r="AJ103" s="13">
        <f>AI103*VLOOKUP('Données projet'!$B$10,Paramètres!$A$1:$I$89,3,0)*VLOOKUP('Données projet'!$B$10,Paramètres!$A$1:$I$89,5,0)</f>
        <v>466.57821599999966</v>
      </c>
      <c r="AK103" s="13">
        <f t="shared" si="89"/>
        <v>105.15107479395371</v>
      </c>
      <c r="AL103" s="20">
        <f t="shared" si="58"/>
        <v>995.76184813280224</v>
      </c>
      <c r="AM103" s="59">
        <f t="shared" si="59"/>
        <v>1279.537614576361</v>
      </c>
      <c r="AN103" s="59">
        <f ca="1">AVERAGE(OFFSET($AM$3,0,0,'Données projet'!$E$10+1,1))-AVERAGE(OFFSET($H$3,0,0,'Données projet'!$E$10+1,1))</f>
        <v>725.60981534362895</v>
      </c>
      <c r="AO103" s="59">
        <f t="shared" si="90"/>
        <v>265.16078167969272</v>
      </c>
      <c r="AP103" s="15">
        <f>IF(ISNA(VLOOKUP(A103,'Données projet'!$A$61:$I$81,3,0)),0,VLOOKUP(A103,'Données projet'!$A$61:$I$81,3,0))</f>
        <v>9</v>
      </c>
      <c r="AQ103" s="15">
        <f>IF(ISNA(VLOOKUP(A103,'Données projet'!$A$61:$I$81,4,0)),0,VLOOKUP(A103,'Données projet'!$A$61:$I$81,4,0))</f>
        <v>85.23</v>
      </c>
      <c r="AR103" s="16">
        <f>IF(ISNA(VLOOKUP(A103,'Données projet'!$A$61:$I$81,5,0)),0%,VLOOKUP(A103,'Données projet'!$A$61:$I$81,5,0)*VLOOKUP('Données projet'!$B$10,Paramètres!$A$1:$I$89,7,0))</f>
        <v>0.43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142.86728121423491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142.86728121423491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145.6</v>
      </c>
      <c r="BB103" s="12">
        <f>VLOOKUP(A103,'Données projet'!$A$87:$I$107,9,0)</f>
        <v>1.819999999999999</v>
      </c>
      <c r="BC103" s="12">
        <f t="array" ref="BC103">INDEX(BB:BB,MIN(IF(ISNUMBER(BB103:BB299),ROW(BB103:BB299),"")))</f>
        <v>1.819999999999999</v>
      </c>
      <c r="BD103" s="12">
        <f>IF('Données projet'!$A$88&gt;35,BD102+BC103-BL102,IF(A103&lt;'Données projet'!$A$88,$BA$205^A103,IF(A103='Données projet'!$A$88,'Données projet'!$B$88,BD102+BC103-BL102)))</f>
        <v>145.59999999999997</v>
      </c>
      <c r="BE103" s="13">
        <f>BD103*VLOOKUP('Données projet'!$B$11,Paramètres!$A$1:$I$89,3,0)*VLOOKUP('Données projet'!$B$11,Paramètres!$A$1:$I$89,5,0)</f>
        <v>167.73119999999994</v>
      </c>
      <c r="BF103" s="13">
        <f t="shared" si="91"/>
        <v>42.581491199832655</v>
      </c>
      <c r="BG103" s="20">
        <f t="shared" si="61"/>
        <v>366.29460383970849</v>
      </c>
      <c r="BH103" s="59">
        <f t="shared" si="62"/>
        <v>650.07037028326727</v>
      </c>
      <c r="BI103" s="59">
        <f ca="1">AVERAGE(OFFSET($BH$3,0,0,'Données projet'!$E$11+1,1))-AVERAGE(OFFSET($H$3,0,0,'Données projet'!$E$11+1,1))</f>
        <v>332.93090933713466</v>
      </c>
      <c r="BJ103" s="59">
        <f t="shared" si="92"/>
        <v>251.83579649532973</v>
      </c>
      <c r="BK103" s="15">
        <f>IF(ISNA(VLOOKUP(A103,'Données projet'!$A$87:$I$107,3,0)),0,VLOOKUP(A103,'Données projet'!$A$87:$I$107,3,0))</f>
        <v>10</v>
      </c>
      <c r="BL103" s="15">
        <f>IF(ISNA(VLOOKUP(A103,'Données projet'!$A$87:$I$107,4,0)),0,VLOOKUP(A103,'Données projet'!$A$87:$I$107,4,0))</f>
        <v>14.6</v>
      </c>
      <c r="BM103" s="16">
        <f>IF(ISNA(VLOOKUP(A103,'Données projet'!$A$87:$I$107,5,0)),0%,VLOOKUP(A103,'Données projet'!$A$87:$I$107,5,0)*VLOOKUP('Données projet'!$B$11,Paramètres!$A$1:$I$89,7,0))</f>
        <v>0.45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23.860216179664445</v>
      </c>
      <c r="BQ103" s="21">
        <f>EXP(-LN(2)/25)*BQ102+(1-EXP(-LN(2)/25))/(LN(2)/25)*Calculateur!BL103*Calculateur!BN103*VLOOKUP('Données projet'!$B$11,Paramètres!$A$1:$I$89,3,0)*0.475*44/12</f>
        <v>0.99864731550094266</v>
      </c>
      <c r="BR103" s="21">
        <f>EXP(-LN(2)/2)*BR102+(1-EXP(-LN(2)/2))/(LN(2)/2)*BL103*BO103*VLOOKUP('Données projet'!$B$11,Paramètres!$A$1:$I$89,3,0)*0.475*44/12</f>
        <v>7.8313192922804176E-14</v>
      </c>
      <c r="BS103" s="22">
        <f t="shared" si="63"/>
        <v>24.858863495165465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8.3920000000000012</v>
      </c>
      <c r="BY103" s="12">
        <f>IF('Données projet'!$A$114&gt;35,BY102+BX103-CG102,IF(A103&lt;'Données projet'!$A$114,$BV$205^A103,IF(A103='Données projet'!$A$114,'Données projet'!$B$114,BY102+BX103-CG102)))</f>
        <v>368.63200000000023</v>
      </c>
      <c r="BZ103" s="13">
        <f>BY103*VLOOKUP('Données projet'!$B$12,Paramètres!$A$1:$I$89,3,0)*VLOOKUP('Données projet'!$B$12,Paramètres!$A$1:$I$89,5,0)</f>
        <v>419.79812160000029</v>
      </c>
      <c r="CA103" s="13">
        <f t="shared" si="93"/>
        <v>95.779075934813534</v>
      </c>
      <c r="CB103" s="20">
        <f t="shared" si="64"/>
        <v>897.96361903980085</v>
      </c>
      <c r="CC103" s="59">
        <f t="shared" si="65"/>
        <v>1181.7393854833597</v>
      </c>
      <c r="CD103" s="59">
        <f ca="1">AVERAGE(OFFSET($CC$3,0,0,'Données projet'!$E$12+1,1))-AVERAGE(OFFSET($H$3,0,0,'Données projet'!$E$12+1,1))</f>
        <v>797.57191672067393</v>
      </c>
      <c r="CE103" s="59">
        <f t="shared" si="94"/>
        <v>238.59056544987126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108.23941340122444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108.23941340122444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>
        <f>CT103*VLOOKUP('Données projet'!$B$13,Paramètres!$A$1:$I$89,3,0)*VLOOKUP('Données projet'!$B$13,Paramètres!$A$1:$I$89,5,0)</f>
        <v>0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188.98184340090461</v>
      </c>
      <c r="CZ103" s="59">
        <f t="shared" si="96"/>
        <v>450.74604661797798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19.597593627439995</v>
      </c>
      <c r="DH103" s="21">
        <f>EXP(-LN(2)/2)*DH102+(1-EXP(-LN(2)/2))/(LN(2)/2)*DB103*DE103*VLOOKUP('Données projet'!$B$13,Paramètres!$A$1:$I$89,3,0)*0.475*44/12</f>
        <v>1.3085665996930007E-12</v>
      </c>
      <c r="DI103" s="22">
        <f t="shared" si="69"/>
        <v>19.597593627441302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369.00000000000011</v>
      </c>
      <c r="DP103" s="17">
        <f>DO103*VLOOKUP('Données projet'!$B$14,Paramètres!$A$1:$I$89,3,0)*VLOOKUP('Données projet'!$B$14,Paramètres!$A$1:$I$89,5,0)</f>
        <v>333.87120000000004</v>
      </c>
      <c r="DQ103" s="13">
        <f t="shared" si="97"/>
        <v>78.232360111376309</v>
      </c>
      <c r="DR103" s="20">
        <f t="shared" si="70"/>
        <v>717.74703386064709</v>
      </c>
      <c r="DS103" s="59">
        <f t="shared" si="71"/>
        <v>1001.5228003042059</v>
      </c>
      <c r="DT103" s="59">
        <f ca="1">AVERAGE(OFFSET($DS$3,0,0,'Données projet'!$E$14+1,1))-AVERAGE(OFFSET($H$3,0,0,'Données projet'!$E$14+1,1))</f>
        <v>442.34161202733173</v>
      </c>
      <c r="DU103" s="59">
        <f t="shared" si="98"/>
        <v>622.90413492324399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2.6427973407978338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2.6427973407978338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8.3920000000000012</v>
      </c>
      <c r="EJ103" s="12">
        <f>IF('Données projet'!$A$192&gt;35,EJ102+EI103-ER102,IF(A103&lt;'Données projet'!$A$192,$EG$205^A103,IF(A103='Données projet'!$A$192,'Données projet'!$B$192,EJ102+EI103-ER102)))</f>
        <v>368.63200000000023</v>
      </c>
      <c r="EK103" s="17">
        <f>EJ103*VLOOKUP('Données projet'!$B$15,Paramètres!$A$1:$I$89,3,0)*VLOOKUP('Données projet'!$B$15,Paramètres!$A$1:$I$89,5,0)</f>
        <v>402.54614400000025</v>
      </c>
      <c r="EL103" s="13">
        <f t="shared" si="99"/>
        <v>92.292666063851556</v>
      </c>
      <c r="EM103" s="20">
        <f t="shared" si="73"/>
        <v>861.84426086120857</v>
      </c>
      <c r="EN103" s="59">
        <f t="shared" si="74"/>
        <v>1145.6200273047673</v>
      </c>
      <c r="EO103" s="59">
        <f ca="1">AVERAGE(OFFSET($EN$3,0,0,'Données projet'!$E$15+1,1))-AVERAGE(OFFSET($H$3,0,0,'Données projet'!$E$15+1,1))</f>
        <v>767.9449852393318</v>
      </c>
      <c r="EP103" s="59">
        <f t="shared" si="100"/>
        <v>230.95605490295961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103.79121832994122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103.79121832994122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67.393390848243314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3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11</v>
      </c>
      <c r="H104" s="66">
        <f t="shared" si="56"/>
        <v>212.66666666666666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188.98184340090461</v>
      </c>
      <c r="T104" s="59">
        <f t="shared" si="88"/>
        <v>450.74604661797798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10.060000000000002</v>
      </c>
      <c r="AI104" s="13">
        <f>IF('Données projet'!$A$62&gt;35,AI103+AH104-AQ103,IF(A104&lt;'Données projet'!$A$62,$AF$205^A104,IF(A104='Données projet'!$A$62,'Données projet'!$B$62,AI103+AH104-AQ103)))</f>
        <v>440.49999999999955</v>
      </c>
      <c r="AJ104" s="13">
        <f>AI104*VLOOKUP('Données projet'!$B$10,Paramètres!$A$1:$I$89,3,0)*VLOOKUP('Données projet'!$B$10,Paramètres!$A$1:$I$89,5,0)</f>
        <v>398.56439999999958</v>
      </c>
      <c r="AK104" s="13">
        <f t="shared" si="89"/>
        <v>91.48555847776619</v>
      </c>
      <c r="AL104" s="20">
        <f t="shared" si="58"/>
        <v>853.50367768210856</v>
      </c>
      <c r="AM104" s="59">
        <f t="shared" si="59"/>
        <v>1137.4452465436866</v>
      </c>
      <c r="AN104" s="59">
        <f ca="1">AVERAGE(OFFSET($AM$3,0,0,'Données projet'!$E$10+1,1))-AVERAGE(OFFSET($H$3,0,0,'Données projet'!$E$10+1,1))</f>
        <v>725.60981534362895</v>
      </c>
      <c r="AO104" s="59">
        <f t="shared" si="90"/>
        <v>265.16078167969272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140.06574097006089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140.06574097006089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1.65</v>
      </c>
      <c r="BD104" s="12">
        <f>IF('Données projet'!$A$88&gt;35,BD103+BC104-BL103,IF(A104&lt;'Données projet'!$A$88,$BA$205^A104,IF(A104='Données projet'!$A$88,'Données projet'!$B$88,BD103+BC104-BL103)))</f>
        <v>132.64999999999998</v>
      </c>
      <c r="BE104" s="13">
        <f>BD104*VLOOKUP('Données projet'!$B$11,Paramètres!$A$1:$I$89,3,0)*VLOOKUP('Données projet'!$B$11,Paramètres!$A$1:$I$89,5,0)</f>
        <v>152.81279999999998</v>
      </c>
      <c r="BF104" s="13">
        <f t="shared" si="91"/>
        <v>39.217111712614937</v>
      </c>
      <c r="BG104" s="20">
        <f t="shared" si="61"/>
        <v>334.45209623280431</v>
      </c>
      <c r="BH104" s="59">
        <f t="shared" si="62"/>
        <v>618.39366509438219</v>
      </c>
      <c r="BI104" s="59">
        <f ca="1">AVERAGE(OFFSET($BH$3,0,0,'Données projet'!$E$11+1,1))-AVERAGE(OFFSET($H$3,0,0,'Données projet'!$E$11+1,1))</f>
        <v>332.93090933713466</v>
      </c>
      <c r="BJ104" s="59">
        <f t="shared" si="92"/>
        <v>251.83579649532973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23.392331893676076</v>
      </c>
      <c r="BQ104" s="21">
        <f>EXP(-LN(2)/25)*BQ103+(1-EXP(-LN(2)/25))/(LN(2)/25)*Calculateur!BL104*Calculateur!BN104*VLOOKUP('Données projet'!$B$11,Paramètres!$A$1:$I$89,3,0)*0.475*44/12</f>
        <v>0.97133925214198946</v>
      </c>
      <c r="BR104" s="21">
        <f>EXP(-LN(2)/2)*BR103+(1-EXP(-LN(2)/2))/(LN(2)/2)*BL104*BO104*VLOOKUP('Données projet'!$B$11,Paramètres!$A$1:$I$89,3,0)*0.475*44/12</f>
        <v>5.5375789772085179E-14</v>
      </c>
      <c r="BS104" s="22">
        <f t="shared" si="63"/>
        <v>24.363671145818124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8.3920000000000012</v>
      </c>
      <c r="BY104" s="12">
        <f>IF('Données projet'!$A$114&gt;35,BY103+BX104-CG103,IF(A104&lt;'Données projet'!$A$114,$BV$205^A104,IF(A104='Données projet'!$A$114,'Données projet'!$B$114,BY103+BX104-CG103)))</f>
        <v>377.02400000000023</v>
      </c>
      <c r="BZ104" s="13">
        <f>BY104*VLOOKUP('Données projet'!$B$12,Paramètres!$A$1:$I$89,3,0)*VLOOKUP('Données projet'!$B$12,Paramètres!$A$1:$I$89,5,0)</f>
        <v>429.35493120000024</v>
      </c>
      <c r="CA104" s="13">
        <f t="shared" si="93"/>
        <v>97.703176739209823</v>
      </c>
      <c r="CB104" s="20">
        <f t="shared" si="64"/>
        <v>917.95953799412416</v>
      </c>
      <c r="CC104" s="59">
        <f t="shared" si="65"/>
        <v>1201.901106855702</v>
      </c>
      <c r="CD104" s="59">
        <f ca="1">AVERAGE(OFFSET($CC$3,0,0,'Données projet'!$E$12+1,1))-AVERAGE(OFFSET($H$3,0,0,'Données projet'!$E$12+1,1))</f>
        <v>797.57191672067393</v>
      </c>
      <c r="CE104" s="59">
        <f t="shared" si="94"/>
        <v>238.59056544987126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106.11690452394971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106.11690452394971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>
        <f>CT104*VLOOKUP('Données projet'!$B$13,Paramètres!$A$1:$I$89,3,0)*VLOOKUP('Données projet'!$B$13,Paramètres!$A$1:$I$89,5,0)</f>
        <v>0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188.98184340090461</v>
      </c>
      <c r="CZ104" s="59">
        <f t="shared" si="96"/>
        <v>450.74604661797798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19.061696399104989</v>
      </c>
      <c r="DH104" s="21">
        <f>EXP(-LN(2)/2)*DH103+(1-EXP(-LN(2)/2))/(LN(2)/2)*DB104*DE104*VLOOKUP('Données projet'!$B$13,Paramètres!$A$1:$I$89,3,0)*0.475*44/12</f>
        <v>9.2529631627714316E-13</v>
      </c>
      <c r="DI104" s="22">
        <f t="shared" si="69"/>
        <v>19.061696399105912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369.00000000000011</v>
      </c>
      <c r="DP104" s="17">
        <f>DO104*VLOOKUP('Données projet'!$B$14,Paramètres!$A$1:$I$89,3,0)*VLOOKUP('Données projet'!$B$14,Paramètres!$A$1:$I$89,5,0)</f>
        <v>333.87120000000004</v>
      </c>
      <c r="DQ104" s="13">
        <f t="shared" si="97"/>
        <v>78.232360111376309</v>
      </c>
      <c r="DR104" s="20">
        <f t="shared" si="70"/>
        <v>717.74703386064709</v>
      </c>
      <c r="DS104" s="59">
        <f t="shared" si="71"/>
        <v>1001.688602722225</v>
      </c>
      <c r="DT104" s="59">
        <f ca="1">AVERAGE(OFFSET($DS$3,0,0,'Données projet'!$E$14+1,1))-AVERAGE(OFFSET($H$3,0,0,'Données projet'!$E$14+1,1))</f>
        <v>442.34161202733173</v>
      </c>
      <c r="DU104" s="59">
        <f t="shared" si="98"/>
        <v>622.90413492324399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2.5909736968919996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2.5909736968919996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8.3920000000000012</v>
      </c>
      <c r="EJ104" s="12">
        <f>IF('Données projet'!$A$192&gt;35,EJ103+EI104-ER103,IF(A104&lt;'Données projet'!$A$192,$EG$205^A104,IF(A104='Données projet'!$A$192,'Données projet'!$B$192,EJ103+EI104-ER103)))</f>
        <v>377.02400000000023</v>
      </c>
      <c r="EK104" s="17">
        <f>EJ104*VLOOKUP('Données projet'!$B$15,Paramètres!$A$1:$I$89,3,0)*VLOOKUP('Données projet'!$B$15,Paramètres!$A$1:$I$89,5,0)</f>
        <v>411.71020800000025</v>
      </c>
      <c r="EL104" s="13">
        <f t="shared" si="99"/>
        <v>94.146728564247809</v>
      </c>
      <c r="EM104" s="20">
        <f t="shared" si="73"/>
        <v>881.03416451606529</v>
      </c>
      <c r="EN104" s="59">
        <f t="shared" si="74"/>
        <v>1164.9757333776433</v>
      </c>
      <c r="EO104" s="59">
        <f ca="1">AVERAGE(OFFSET($EN$3,0,0,'Données projet'!$E$15+1,1))-AVERAGE(OFFSET($H$3,0,0,'Données projet'!$E$15+1,1))</f>
        <v>767.9449852393318</v>
      </c>
      <c r="EP104" s="59">
        <f t="shared" si="100"/>
        <v>230.95605490295961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101.75593584488327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101.75593584488327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67.438609689521257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3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11</v>
      </c>
      <c r="H105" s="66">
        <f t="shared" si="56"/>
        <v>212.66666666666666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188.98184340090461</v>
      </c>
      <c r="T105" s="59">
        <f t="shared" si="88"/>
        <v>450.74604661797798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10.060000000000002</v>
      </c>
      <c r="AI105" s="13">
        <f>IF('Données projet'!$A$62&gt;35,AI104+AH105-AQ104,IF(A105&lt;'Données projet'!$A$62,$AF$205^A105,IF(A105='Données projet'!$A$62,'Données projet'!$B$62,AI104+AH105-AQ104)))</f>
        <v>450.55999999999955</v>
      </c>
      <c r="AJ105" s="13">
        <f>AI105*VLOOKUP('Données projet'!$B$10,Paramètres!$A$1:$I$89,3,0)*VLOOKUP('Données projet'!$B$10,Paramètres!$A$1:$I$89,5,0)</f>
        <v>407.66668799999957</v>
      </c>
      <c r="AK105" s="13">
        <f t="shared" si="89"/>
        <v>93.329246968763528</v>
      </c>
      <c r="AL105" s="20">
        <f t="shared" si="58"/>
        <v>872.56792007059573</v>
      </c>
      <c r="AM105" s="59">
        <f t="shared" si="59"/>
        <v>1156.6724150489188</v>
      </c>
      <c r="AN105" s="59">
        <f ca="1">AVERAGE(OFFSET($AM$3,0,0,'Données projet'!$E$10+1,1))-AVERAGE(OFFSET($H$3,0,0,'Données projet'!$E$10+1,1))</f>
        <v>725.60981534362895</v>
      </c>
      <c r="AO105" s="59">
        <f t="shared" si="90"/>
        <v>265.16078167969272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137.31913722130432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137.31913722130432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1.65</v>
      </c>
      <c r="BD105" s="12">
        <f>IF('Données projet'!$A$88&gt;35,BD104+BC105-BL104,IF(A105&lt;'Données projet'!$A$88,$BA$205^A105,IF(A105='Données projet'!$A$88,'Données projet'!$B$88,BD104+BC105-BL104)))</f>
        <v>134.29999999999998</v>
      </c>
      <c r="BE105" s="13">
        <f>BD105*VLOOKUP('Données projet'!$B$11,Paramètres!$A$1:$I$89,3,0)*VLOOKUP('Données projet'!$B$11,Paramètres!$A$1:$I$89,5,0)</f>
        <v>154.71359999999996</v>
      </c>
      <c r="BF105" s="13">
        <f t="shared" si="91"/>
        <v>39.647831609620148</v>
      </c>
      <c r="BG105" s="20">
        <f t="shared" si="61"/>
        <v>338.5128267200883</v>
      </c>
      <c r="BH105" s="59">
        <f t="shared" si="62"/>
        <v>622.61732169841139</v>
      </c>
      <c r="BI105" s="59">
        <f ca="1">AVERAGE(OFFSET($BH$3,0,0,'Données projet'!$E$11+1,1))-AVERAGE(OFFSET($H$3,0,0,'Données projet'!$E$11+1,1))</f>
        <v>332.93090933713466</v>
      </c>
      <c r="BJ105" s="59">
        <f t="shared" si="92"/>
        <v>251.83579649532973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22.933622533154704</v>
      </c>
      <c r="BQ105" s="21">
        <f>EXP(-LN(2)/25)*BQ104+(1-EXP(-LN(2)/25))/(LN(2)/25)*Calculateur!BL105*Calculateur!BN105*VLOOKUP('Données projet'!$B$11,Paramètres!$A$1:$I$89,3,0)*0.475*44/12</f>
        <v>0.94477792921165549</v>
      </c>
      <c r="BR105" s="21">
        <f>EXP(-LN(2)/2)*BR104+(1-EXP(-LN(2)/2))/(LN(2)/2)*BL105*BO105*VLOOKUP('Données projet'!$B$11,Paramètres!$A$1:$I$89,3,0)*0.475*44/12</f>
        <v>3.9156596461402094E-14</v>
      </c>
      <c r="BS105" s="22">
        <f t="shared" si="63"/>
        <v>23.8784004623664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8.3920000000000012</v>
      </c>
      <c r="BY105" s="12">
        <f>IF('Données projet'!$A$114&gt;35,BY104+BX105-CG104,IF(A105&lt;'Données projet'!$A$114,$BV$205^A105,IF(A105='Données projet'!$A$114,'Données projet'!$B$114,BY104+BX105-CG104)))</f>
        <v>385.41600000000022</v>
      </c>
      <c r="BZ105" s="13">
        <f>BY105*VLOOKUP('Données projet'!$B$12,Paramètres!$A$1:$I$89,3,0)*VLOOKUP('Données projet'!$B$12,Paramètres!$A$1:$I$89,5,0)</f>
        <v>438.9117408000003</v>
      </c>
      <c r="CA105" s="13">
        <f t="shared" si="93"/>
        <v>99.622298422362391</v>
      </c>
      <c r="CB105" s="20">
        <f t="shared" si="64"/>
        <v>937.94678497894836</v>
      </c>
      <c r="CC105" s="59">
        <f t="shared" si="65"/>
        <v>1222.0512799572714</v>
      </c>
      <c r="CD105" s="59">
        <f ca="1">AVERAGE(OFFSET($CC$3,0,0,'Données projet'!$E$12+1,1))-AVERAGE(OFFSET($H$3,0,0,'Données projet'!$E$12+1,1))</f>
        <v>797.57191672067393</v>
      </c>
      <c r="CE105" s="59">
        <f t="shared" si="94"/>
        <v>238.59056544987126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104.03601675115577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104.03601675115577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>
        <f>CT105*VLOOKUP('Données projet'!$B$13,Paramètres!$A$1:$I$89,3,0)*VLOOKUP('Données projet'!$B$13,Paramètres!$A$1:$I$89,5,0)</f>
        <v>0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188.98184340090461</v>
      </c>
      <c r="CZ105" s="59">
        <f t="shared" si="96"/>
        <v>450.74604661797798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18.540453308660414</v>
      </c>
      <c r="DH105" s="21">
        <f>EXP(-LN(2)/2)*DH104+(1-EXP(-LN(2)/2))/(LN(2)/2)*DB105*DE105*VLOOKUP('Données projet'!$B$13,Paramètres!$A$1:$I$89,3,0)*0.475*44/12</f>
        <v>6.5428329984650034E-13</v>
      </c>
      <c r="DI105" s="22">
        <f t="shared" si="69"/>
        <v>18.540453308661068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369.00000000000011</v>
      </c>
      <c r="DP105" s="17">
        <f>DO105*VLOOKUP('Données projet'!$B$14,Paramètres!$A$1:$I$89,3,0)*VLOOKUP('Données projet'!$B$14,Paramètres!$A$1:$I$89,5,0)</f>
        <v>333.87120000000004</v>
      </c>
      <c r="DQ105" s="13">
        <f t="shared" si="97"/>
        <v>78.232360111376309</v>
      </c>
      <c r="DR105" s="20">
        <f t="shared" si="70"/>
        <v>717.74703386064709</v>
      </c>
      <c r="DS105" s="59">
        <f t="shared" si="71"/>
        <v>1001.8515288389701</v>
      </c>
      <c r="DT105" s="59">
        <f ca="1">AVERAGE(OFFSET($DS$3,0,0,'Données projet'!$E$14+1,1))-AVERAGE(OFFSET($H$3,0,0,'Données projet'!$E$14+1,1))</f>
        <v>442.34161202733173</v>
      </c>
      <c r="DU105" s="59">
        <f t="shared" si="98"/>
        <v>622.90413492324399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2.5401662830338574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2.5401662830338574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8.3920000000000012</v>
      </c>
      <c r="EJ105" s="12">
        <f>IF('Données projet'!$A$192&gt;35,EJ104+EI105-ER104,IF(A105&lt;'Données projet'!$A$192,$EG$205^A105,IF(A105='Données projet'!$A$192,'Données projet'!$B$192,EJ104+EI105-ER104)))</f>
        <v>385.41600000000022</v>
      </c>
      <c r="EK105" s="17">
        <f>EJ105*VLOOKUP('Données projet'!$B$15,Paramètres!$A$1:$I$89,3,0)*VLOOKUP('Données projet'!$B$15,Paramètres!$A$1:$I$89,5,0)</f>
        <v>420.87427200000019</v>
      </c>
      <c r="EL105" s="13">
        <f t="shared" si="99"/>
        <v>95.995993186091056</v>
      </c>
      <c r="EM105" s="20">
        <f t="shared" si="73"/>
        <v>900.21571186577557</v>
      </c>
      <c r="EN105" s="59">
        <f t="shared" si="74"/>
        <v>1184.3202068440987</v>
      </c>
      <c r="EO105" s="59">
        <f ca="1">AVERAGE(OFFSET($EN$3,0,0,'Données projet'!$E$15+1,1))-AVERAGE(OFFSET($H$3,0,0,'Données projet'!$E$15+1,1))</f>
        <v>767.9449852393318</v>
      </c>
      <c r="EP105" s="59">
        <f t="shared" si="100"/>
        <v>230.95605490295961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99.760564007957569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99.760564007957569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67.483044084997204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3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11</v>
      </c>
      <c r="H106" s="66">
        <f t="shared" si="56"/>
        <v>212.66666666666666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188.98184340090461</v>
      </c>
      <c r="T106" s="59">
        <f t="shared" si="88"/>
        <v>450.74604661797798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10.060000000000002</v>
      </c>
      <c r="AI106" s="13">
        <f>IF('Données projet'!$A$62&gt;35,AI105+AH106-AQ105,IF(A106&lt;'Données projet'!$A$62,$AF$205^A106,IF(A106='Données projet'!$A$62,'Données projet'!$B$62,AI105+AH106-AQ105)))</f>
        <v>460.61999999999955</v>
      </c>
      <c r="AJ106" s="13">
        <f>AI106*VLOOKUP('Données projet'!$B$10,Paramètres!$A$1:$I$89,3,0)*VLOOKUP('Données projet'!$B$10,Paramètres!$A$1:$I$89,5,0)</f>
        <v>416.76897599999961</v>
      </c>
      <c r="AK106" s="13">
        <f t="shared" si="89"/>
        <v>95.168149602065114</v>
      </c>
      <c r="AL106" s="20">
        <f t="shared" si="58"/>
        <v>891.62382709026269</v>
      </c>
      <c r="AM106" s="59">
        <f t="shared" si="59"/>
        <v>1175.8884217814536</v>
      </c>
      <c r="AN106" s="59">
        <f ca="1">AVERAGE(OFFSET($AM$3,0,0,'Données projet'!$E$10+1,1))-AVERAGE(OFFSET($H$3,0,0,'Données projet'!$E$10+1,1))</f>
        <v>725.60981534362895</v>
      </c>
      <c r="AO106" s="59">
        <f t="shared" si="90"/>
        <v>265.16078167969272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134.62639269679798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134.62639269679798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1.65</v>
      </c>
      <c r="BD106" s="12">
        <f>IF('Données projet'!$A$88&gt;35,BD105+BC106-BL105,IF(A106&lt;'Données projet'!$A$88,$BA$205^A106,IF(A106='Données projet'!$A$88,'Données projet'!$B$88,BD105+BC106-BL105)))</f>
        <v>135.94999999999999</v>
      </c>
      <c r="BE106" s="13">
        <f>BD106*VLOOKUP('Données projet'!$B$11,Paramètres!$A$1:$I$89,3,0)*VLOOKUP('Données projet'!$B$11,Paramètres!$A$1:$I$89,5,0)</f>
        <v>156.61439999999996</v>
      </c>
      <c r="BF106" s="13">
        <f t="shared" si="91"/>
        <v>40.077935965748608</v>
      </c>
      <c r="BG106" s="20">
        <f t="shared" si="61"/>
        <v>342.57248514034541</v>
      </c>
      <c r="BH106" s="59">
        <f t="shared" si="62"/>
        <v>626.83707983153636</v>
      </c>
      <c r="BI106" s="59">
        <f ca="1">AVERAGE(OFFSET($BH$3,0,0,'Données projet'!$E$11+1,1))-AVERAGE(OFFSET($H$3,0,0,'Données projet'!$E$11+1,1))</f>
        <v>332.93090933713466</v>
      </c>
      <c r="BJ106" s="59">
        <f t="shared" si="92"/>
        <v>251.83579649532973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22.483908183408072</v>
      </c>
      <c r="BQ106" s="21">
        <f>EXP(-LN(2)/25)*BQ105+(1-EXP(-LN(2)/25))/(LN(2)/25)*Calculateur!BL106*Calculateur!BN106*VLOOKUP('Données projet'!$B$11,Paramètres!$A$1:$I$89,3,0)*0.475*44/12</f>
        <v>0.91894292705365077</v>
      </c>
      <c r="BR106" s="21">
        <f>EXP(-LN(2)/2)*BR105+(1-EXP(-LN(2)/2))/(LN(2)/2)*BL106*BO106*VLOOKUP('Données projet'!$B$11,Paramètres!$A$1:$I$89,3,0)*0.475*44/12</f>
        <v>2.7687894886042593E-14</v>
      </c>
      <c r="BS106" s="22">
        <f t="shared" si="63"/>
        <v>23.40285111046175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8.3920000000000012</v>
      </c>
      <c r="BY106" s="12">
        <f>IF('Données projet'!$A$114&gt;35,BY105+BX106-CG105,IF(A106&lt;'Données projet'!$A$114,$BV$205^A106,IF(A106='Données projet'!$A$114,'Données projet'!$B$114,BY105+BX106-CG105)))</f>
        <v>393.80800000000022</v>
      </c>
      <c r="BZ106" s="13">
        <f>BY106*VLOOKUP('Données projet'!$B$12,Paramètres!$A$1:$I$89,3,0)*VLOOKUP('Données projet'!$B$12,Paramètres!$A$1:$I$89,5,0)</f>
        <v>448.46855040000025</v>
      </c>
      <c r="CA106" s="13">
        <f t="shared" si="93"/>
        <v>101.53656188456287</v>
      </c>
      <c r="CB106" s="20">
        <f t="shared" si="64"/>
        <v>957.92557056228054</v>
      </c>
      <c r="CC106" s="59">
        <f t="shared" si="65"/>
        <v>1242.1901652534716</v>
      </c>
      <c r="CD106" s="59">
        <f ca="1">AVERAGE(OFFSET($CC$3,0,0,'Données projet'!$E$12+1,1))-AVERAGE(OFFSET($H$3,0,0,'Données projet'!$E$12+1,1))</f>
        <v>797.57191672067393</v>
      </c>
      <c r="CE106" s="59">
        <f t="shared" si="94"/>
        <v>238.59056544987126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101.9959339183701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101.9959339183701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>
        <f>CT106*VLOOKUP('Données projet'!$B$13,Paramètres!$A$1:$I$89,3,0)*VLOOKUP('Données projet'!$B$13,Paramètres!$A$1:$I$89,5,0)</f>
        <v>0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188.98184340090461</v>
      </c>
      <c r="CZ106" s="59">
        <f t="shared" si="96"/>
        <v>450.74604661797798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18.033463637935029</v>
      </c>
      <c r="DH106" s="21">
        <f>EXP(-LN(2)/2)*DH105+(1-EXP(-LN(2)/2))/(LN(2)/2)*DB106*DE106*VLOOKUP('Données projet'!$B$13,Paramètres!$A$1:$I$89,3,0)*0.475*44/12</f>
        <v>4.6264815813857158E-13</v>
      </c>
      <c r="DI106" s="22">
        <f t="shared" si="69"/>
        <v>18.03346363793549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369.00000000000011</v>
      </c>
      <c r="DP106" s="17">
        <f>DO106*VLOOKUP('Données projet'!$B$14,Paramètres!$A$1:$I$89,3,0)*VLOOKUP('Données projet'!$B$14,Paramètres!$A$1:$I$89,5,0)</f>
        <v>333.87120000000004</v>
      </c>
      <c r="DQ106" s="13">
        <f t="shared" si="97"/>
        <v>78.232360111376309</v>
      </c>
      <c r="DR106" s="20">
        <f t="shared" si="70"/>
        <v>717.74703386064709</v>
      </c>
      <c r="DS106" s="59">
        <f t="shared" si="71"/>
        <v>1002.011628551838</v>
      </c>
      <c r="DT106" s="59">
        <f ca="1">AVERAGE(OFFSET($DS$3,0,0,'Données projet'!$E$14+1,1))-AVERAGE(OFFSET($H$3,0,0,'Données projet'!$E$14+1,1))</f>
        <v>442.34161202733173</v>
      </c>
      <c r="DU106" s="59">
        <f t="shared" si="98"/>
        <v>622.90413492324399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2.4903551715720105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2.4903551715720105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8.3920000000000012</v>
      </c>
      <c r="EJ106" s="12">
        <f>IF('Données projet'!$A$192&gt;35,EJ105+EI106-ER105,IF(A106&lt;'Données projet'!$A$192,$EG$205^A106,IF(A106='Données projet'!$A$192,'Données projet'!$B$192,EJ105+EI106-ER105)))</f>
        <v>393.80800000000022</v>
      </c>
      <c r="EK106" s="17">
        <f>EJ106*VLOOKUP('Données projet'!$B$15,Paramètres!$A$1:$I$89,3,0)*VLOOKUP('Données projet'!$B$15,Paramètres!$A$1:$I$89,5,0)</f>
        <v>430.03833600000024</v>
      </c>
      <c r="EL106" s="13">
        <f t="shared" si="99"/>
        <v>97.84057642883765</v>
      </c>
      <c r="EM106" s="20">
        <f t="shared" si="73"/>
        <v>919.38910581355924</v>
      </c>
      <c r="EN106" s="59">
        <f t="shared" si="74"/>
        <v>1203.6537005047503</v>
      </c>
      <c r="EO106" s="59">
        <f ca="1">AVERAGE(OFFSET($EN$3,0,0,'Données projet'!$E$15+1,1))-AVERAGE(OFFSET($H$3,0,0,'Données projet'!$E$15+1,1))</f>
        <v>767.9449852393318</v>
      </c>
      <c r="EP106" s="59">
        <f t="shared" si="100"/>
        <v>230.95605490295961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97.804320195697329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97.804320195697329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67.526707643052077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3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11</v>
      </c>
      <c r="H107" s="66">
        <f t="shared" si="56"/>
        <v>212.66666666666666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188.98184340090461</v>
      </c>
      <c r="T107" s="59">
        <f t="shared" si="88"/>
        <v>450.74604661797798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10.060000000000002</v>
      </c>
      <c r="AI107" s="13">
        <f>IF('Données projet'!$A$62&gt;35,AI106+AH107-AQ106,IF(A107&lt;'Données projet'!$A$62,$AF$205^A107,IF(A107='Données projet'!$A$62,'Données projet'!$B$62,AI106+AH107-AQ106)))</f>
        <v>470.67999999999955</v>
      </c>
      <c r="AJ107" s="13">
        <f>AI107*VLOOKUP('Données projet'!$B$10,Paramètres!$A$1:$I$89,3,0)*VLOOKUP('Données projet'!$B$10,Paramètres!$A$1:$I$89,5,0)</f>
        <v>425.87126399999954</v>
      </c>
      <c r="AK107" s="13">
        <f t="shared" si="89"/>
        <v>97.002382938501356</v>
      </c>
      <c r="AL107" s="20">
        <f t="shared" si="58"/>
        <v>910.67160175122228</v>
      </c>
      <c r="AM107" s="59">
        <f t="shared" si="59"/>
        <v>1195.0935187831922</v>
      </c>
      <c r="AN107" s="59">
        <f ca="1">AVERAGE(OFFSET($AM$3,0,0,'Données projet'!$E$10+1,1))-AVERAGE(OFFSET($H$3,0,0,'Données projet'!$E$10+1,1))</f>
        <v>725.60981534362895</v>
      </c>
      <c r="AO107" s="59">
        <f t="shared" si="90"/>
        <v>265.16078167969272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131.98645125000525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131.98645125000525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1.65</v>
      </c>
      <c r="BD107" s="12">
        <f>IF('Données projet'!$A$88&gt;35,BD106+BC107-BL106,IF(A107&lt;'Données projet'!$A$88,$BA$205^A107,IF(A107='Données projet'!$A$88,'Données projet'!$B$88,BD106+BC107-BL106)))</f>
        <v>137.6</v>
      </c>
      <c r="BE107" s="13">
        <f>BD107*VLOOKUP('Données projet'!$B$11,Paramètres!$A$1:$I$89,3,0)*VLOOKUP('Données projet'!$B$11,Paramètres!$A$1:$I$89,5,0)</f>
        <v>158.51519999999999</v>
      </c>
      <c r="BF107" s="13">
        <f t="shared" si="91"/>
        <v>40.507433115819268</v>
      </c>
      <c r="BG107" s="20">
        <f t="shared" si="61"/>
        <v>346.63108601005183</v>
      </c>
      <c r="BH107" s="59">
        <f t="shared" si="62"/>
        <v>631.05300304202183</v>
      </c>
      <c r="BI107" s="59">
        <f ca="1">AVERAGE(OFFSET($BH$3,0,0,'Données projet'!$E$11+1,1))-AVERAGE(OFFSET($H$3,0,0,'Données projet'!$E$11+1,1))</f>
        <v>332.93090933713466</v>
      </c>
      <c r="BJ107" s="59">
        <f t="shared" si="92"/>
        <v>251.83579649532973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22.043012457761304</v>
      </c>
      <c r="BQ107" s="21">
        <f>EXP(-LN(2)/25)*BQ106+(1-EXP(-LN(2)/25))/(LN(2)/25)*Calculateur!BL107*Calculateur!BN107*VLOOKUP('Données projet'!$B$11,Paramètres!$A$1:$I$89,3,0)*0.475*44/12</f>
        <v>0.89381438438826044</v>
      </c>
      <c r="BR107" s="21">
        <f>EXP(-LN(2)/2)*BR106+(1-EXP(-LN(2)/2))/(LN(2)/2)*BL107*BO107*VLOOKUP('Données projet'!$B$11,Paramètres!$A$1:$I$89,3,0)*0.475*44/12</f>
        <v>1.957829823070105E-14</v>
      </c>
      <c r="BS107" s="22">
        <f t="shared" si="63"/>
        <v>22.936826842149586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>
        <f>VLOOKUP(A107,'Données projet'!$A$113:$I$133,2,0)</f>
        <v>402.2</v>
      </c>
      <c r="BW107" s="12">
        <f>VLOOKUP(A107,'Données projet'!$A$113:$I$133,9,0)</f>
        <v>8.3920000000000012</v>
      </c>
      <c r="BX107" s="12">
        <f t="array" ref="BX107">INDEX(BW:BW,MIN(IF(ISNUMBER(BW107:BW303),ROW(BW107:BW303),"")))</f>
        <v>8.3920000000000012</v>
      </c>
      <c r="BY107" s="12">
        <f>IF('Données projet'!$A$114&gt;35,BY106+BX107-CG106,IF(A107&lt;'Données projet'!$A$114,$BV$205^A107,IF(A107='Données projet'!$A$114,'Données projet'!$B$114,BY106+BX107-CG106)))</f>
        <v>402.20000000000022</v>
      </c>
      <c r="BZ107" s="13">
        <f>BY107*VLOOKUP('Données projet'!$B$12,Paramètres!$A$1:$I$89,3,0)*VLOOKUP('Données projet'!$B$12,Paramètres!$A$1:$I$89,5,0)</f>
        <v>458.02536000000026</v>
      </c>
      <c r="CA107" s="13">
        <f t="shared" si="93"/>
        <v>103.44608257899176</v>
      </c>
      <c r="CB107" s="20">
        <f t="shared" si="64"/>
        <v>977.89609582507774</v>
      </c>
      <c r="CC107" s="59">
        <f t="shared" si="65"/>
        <v>1262.3180128570477</v>
      </c>
      <c r="CD107" s="59">
        <f ca="1">AVERAGE(OFFSET($CC$3,0,0,'Données projet'!$E$12+1,1))-AVERAGE(OFFSET($H$3,0,0,'Données projet'!$E$12+1,1))</f>
        <v>797.57191672067393</v>
      </c>
      <c r="CE107" s="59">
        <f t="shared" si="94"/>
        <v>238.59056544987126</v>
      </c>
      <c r="CF107" s="15">
        <f>IF(ISNA(VLOOKUP(A107,'Données projet'!$A$113:$I$133,3,0)),0,VLOOKUP(A107,'Données projet'!$A$113:$I$133,3,0))</f>
        <v>8</v>
      </c>
      <c r="CG107" s="15">
        <f>IF(ISNA(VLOOKUP(A107,'Données projet'!$A$113:$I$133,4,0)),0,VLOOKUP(A107,'Données projet'!$A$113:$I$133,4,0))</f>
        <v>60.19</v>
      </c>
      <c r="CH107" s="16">
        <f>IF(ISNA(VLOOKUP(A107,'Données projet'!$A$113:$I$133,5,0)),0%,VLOOKUP(A107,'Données projet'!$A$113:$I$133,5,0)*VLOOKUP('Données projet'!$B$12,Paramètres!$A$1:$I$89,7,0))</f>
        <v>0.43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132.57857822537341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132.57857822537341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>
        <f>CT107*VLOOKUP('Données projet'!$B$13,Paramètres!$A$1:$I$89,3,0)*VLOOKUP('Données projet'!$B$13,Paramètres!$A$1:$I$89,5,0)</f>
        <v>0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188.98184340090461</v>
      </c>
      <c r="CZ107" s="59">
        <f t="shared" si="96"/>
        <v>450.74604661797798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17.54033762641706</v>
      </c>
      <c r="DH107" s="21">
        <f>EXP(-LN(2)/2)*DH106+(1-EXP(-LN(2)/2))/(LN(2)/2)*DB107*DE107*VLOOKUP('Données projet'!$B$13,Paramètres!$A$1:$I$89,3,0)*0.475*44/12</f>
        <v>3.2714164992325017E-13</v>
      </c>
      <c r="DI107" s="22">
        <f t="shared" si="69"/>
        <v>17.540337626417386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369.00000000000011</v>
      </c>
      <c r="DP107" s="17">
        <f>DO107*VLOOKUP('Données projet'!$B$14,Paramètres!$A$1:$I$89,3,0)*VLOOKUP('Données projet'!$B$14,Paramètres!$A$1:$I$89,5,0)</f>
        <v>333.87120000000004</v>
      </c>
      <c r="DQ107" s="13">
        <f t="shared" si="97"/>
        <v>78.232360111376309</v>
      </c>
      <c r="DR107" s="20">
        <f t="shared" si="70"/>
        <v>717.74703386064709</v>
      </c>
      <c r="DS107" s="59">
        <f t="shared" si="71"/>
        <v>1002.168950892617</v>
      </c>
      <c r="DT107" s="59">
        <f ca="1">AVERAGE(OFFSET($DS$3,0,0,'Données projet'!$E$14+1,1))-AVERAGE(OFFSET($H$3,0,0,'Données projet'!$E$14+1,1))</f>
        <v>442.34161202733173</v>
      </c>
      <c r="DU107" s="59">
        <f t="shared" si="98"/>
        <v>622.90413492324399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2.4415208256241523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2.4415208256241523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>
        <f>VLOOKUP(A107,'Données projet'!$A$191:$I$211,2,0)</f>
        <v>402.2</v>
      </c>
      <c r="EH107" s="12">
        <f>VLOOKUP(A107,'Données projet'!$A$191:$I$211,9,0)</f>
        <v>8.3920000000000012</v>
      </c>
      <c r="EI107" s="12">
        <f t="array" ref="EI107">INDEX(EH:EH,MIN(IF(ISNUMBER(EH107:EH303),ROW(EH107:EH303),"")))</f>
        <v>8.3920000000000012</v>
      </c>
      <c r="EJ107" s="12">
        <f>IF('Données projet'!$A$192&gt;35,EJ106+EI107-ER106,IF(A107&lt;'Données projet'!$A$192,$EG$205^A107,IF(A107='Données projet'!$A$192,'Données projet'!$B$192,EJ106+EI107-ER106)))</f>
        <v>402.20000000000022</v>
      </c>
      <c r="EK107" s="17">
        <f>EJ107*VLOOKUP('Données projet'!$B$15,Paramètres!$A$1:$I$89,3,0)*VLOOKUP('Données projet'!$B$15,Paramètres!$A$1:$I$89,5,0)</f>
        <v>439.20240000000024</v>
      </c>
      <c r="EL107" s="13">
        <f t="shared" si="99"/>
        <v>99.680589543109846</v>
      </c>
      <c r="EM107" s="20">
        <f t="shared" si="73"/>
        <v>938.55454012091661</v>
      </c>
      <c r="EN107" s="59">
        <f t="shared" si="74"/>
        <v>1222.9764571528865</v>
      </c>
      <c r="EO107" s="59">
        <f ca="1">AVERAGE(OFFSET($EN$3,0,0,'Données projet'!$E$15+1,1))-AVERAGE(OFFSET($H$3,0,0,'Données projet'!$E$15+1,1))</f>
        <v>767.9449852393318</v>
      </c>
      <c r="EP107" s="59">
        <f t="shared" si="100"/>
        <v>230.95605490295961</v>
      </c>
      <c r="EQ107" s="15">
        <f>IF(ISNA(VLOOKUP(A107,'Données projet'!$A$191:$I$211,3,0)),0,VLOOKUP(A107,'Données projet'!$A$191:$I$211,3,0))</f>
        <v>8</v>
      </c>
      <c r="ER107" s="15">
        <f>IF(ISNA(VLOOKUP(A107,'Données projet'!$A$191:$I$211,4,0)),0,VLOOKUP(A107,'Données projet'!$A$191:$I$211,4,0))</f>
        <v>60.19</v>
      </c>
      <c r="ES107" s="16">
        <f>IF(ISNA(VLOOKUP(A107,'Données projet'!$A$191:$I$211,5,0)),0%,VLOOKUP(A107,'Données projet'!$A$191:$I$211,5,0)*VLOOKUP('Données projet'!$B$15,Paramètres!$A$1:$I$89,7,0))</f>
        <v>0.43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127.13014350378269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127.13014350378269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67.569613735991794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3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11</v>
      </c>
      <c r="H108" s="66">
        <f t="shared" si="56"/>
        <v>212.66666666666666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188.98184340090461</v>
      </c>
      <c r="T108" s="59">
        <f t="shared" si="88"/>
        <v>450.74604661797798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10.060000000000002</v>
      </c>
      <c r="AI108" s="13">
        <f>IF('Données projet'!$A$62&gt;35,AI107+AH108-AQ107,IF(A108&lt;'Données projet'!$A$62,$AF$205^A108,IF(A108='Données projet'!$A$62,'Données projet'!$B$62,AI107+AH108-AQ107)))</f>
        <v>480.73999999999955</v>
      </c>
      <c r="AJ108" s="13">
        <f>AI108*VLOOKUP('Données projet'!$B$10,Paramètres!$A$1:$I$89,3,0)*VLOOKUP('Données projet'!$B$10,Paramètres!$A$1:$I$89,5,0)</f>
        <v>434.97355199999959</v>
      </c>
      <c r="AK108" s="13">
        <f t="shared" si="89"/>
        <v>98.83205827167825</v>
      </c>
      <c r="AL108" s="20">
        <f t="shared" si="58"/>
        <v>929.71143788983875</v>
      </c>
      <c r="AM108" s="59">
        <f t="shared" si="59"/>
        <v>1214.2879480716952</v>
      </c>
      <c r="AN108" s="59">
        <f ca="1">AVERAGE(OFFSET($AM$3,0,0,'Données projet'!$E$10+1,1))-AVERAGE(OFFSET($H$3,0,0,'Données projet'!$E$10+1,1))</f>
        <v>725.60981534362895</v>
      </c>
      <c r="AO108" s="59">
        <f t="shared" si="90"/>
        <v>265.16078167969272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129.39827744477881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129.39827744477881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1.65</v>
      </c>
      <c r="BD108" s="12">
        <f>IF('Données projet'!$A$88&gt;35,BD107+BC108-BL107,IF(A108&lt;'Données projet'!$A$88,$BA$205^A108,IF(A108='Données projet'!$A$88,'Données projet'!$B$88,BD107+BC108-BL107)))</f>
        <v>139.25</v>
      </c>
      <c r="BE108" s="13">
        <f>BD108*VLOOKUP('Données projet'!$B$11,Paramètres!$A$1:$I$89,3,0)*VLOOKUP('Données projet'!$B$11,Paramètres!$A$1:$I$89,5,0)</f>
        <v>160.416</v>
      </c>
      <c r="BF108" s="13">
        <f t="shared" si="91"/>
        <v>40.936331183259533</v>
      </c>
      <c r="BG108" s="20">
        <f t="shared" si="61"/>
        <v>350.68864347751037</v>
      </c>
      <c r="BH108" s="59">
        <f t="shared" si="62"/>
        <v>635.26515365936677</v>
      </c>
      <c r="BI108" s="59">
        <f ca="1">AVERAGE(OFFSET($BH$3,0,0,'Données projet'!$E$11+1,1))-AVERAGE(OFFSET($H$3,0,0,'Données projet'!$E$11+1,1))</f>
        <v>332.93090933713466</v>
      </c>
      <c r="BJ108" s="59">
        <f t="shared" si="92"/>
        <v>251.83579649532973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21.610762428374628</v>
      </c>
      <c r="BQ108" s="21">
        <f>EXP(-LN(2)/25)*BQ107+(1-EXP(-LN(2)/25))/(LN(2)/25)*Calculateur!BL108*Calculateur!BN108*VLOOKUP('Données projet'!$B$11,Paramètres!$A$1:$I$89,3,0)*0.475*44/12</f>
        <v>0.86937298304350785</v>
      </c>
      <c r="BR108" s="21">
        <f>EXP(-LN(2)/2)*BR107+(1-EXP(-LN(2)/2))/(LN(2)/2)*BL108*BO108*VLOOKUP('Données projet'!$B$11,Paramètres!$A$1:$I$89,3,0)*0.475*44/12</f>
        <v>1.38439474430213E-14</v>
      </c>
      <c r="BS108" s="22">
        <f t="shared" si="63"/>
        <v>22.48013541141815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8.2550000000000008</v>
      </c>
      <c r="BY108" s="12">
        <f>IF('Données projet'!$A$114&gt;35,BY107+BX108-CG107,IF(A108&lt;'Données projet'!$A$114,$BV$205^A108,IF(A108='Données projet'!$A$114,'Données projet'!$B$114,BY107+BX108-CG107)))</f>
        <v>350.26500000000021</v>
      </c>
      <c r="BZ108" s="13">
        <f>BY108*VLOOKUP('Données projet'!$B$12,Paramètres!$A$1:$I$89,3,0)*VLOOKUP('Données projet'!$B$12,Paramètres!$A$1:$I$89,5,0)</f>
        <v>398.88178200000027</v>
      </c>
      <c r="CA108" s="13">
        <f t="shared" si="93"/>
        <v>91.549926759575882</v>
      </c>
      <c r="CB108" s="20">
        <f t="shared" si="64"/>
        <v>854.16855942292841</v>
      </c>
      <c r="CC108" s="59">
        <f t="shared" si="65"/>
        <v>1138.7450696047849</v>
      </c>
      <c r="CD108" s="59">
        <f ca="1">AVERAGE(OFFSET($CC$3,0,0,'Données projet'!$E$12+1,1))-AVERAGE(OFFSET($H$3,0,0,'Données projet'!$E$12+1,1))</f>
        <v>797.57191672067393</v>
      </c>
      <c r="CE108" s="59">
        <f t="shared" si="94"/>
        <v>238.59056544987126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129.9787931713218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129.9787931713218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>
        <f>CT108*VLOOKUP('Données projet'!$B$13,Paramètres!$A$1:$I$89,3,0)*VLOOKUP('Données projet'!$B$13,Paramètres!$A$1:$I$89,5,0)</f>
        <v>0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188.98184340090461</v>
      </c>
      <c r="CZ108" s="59">
        <f t="shared" si="96"/>
        <v>450.74604661797798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17.060696171616417</v>
      </c>
      <c r="DH108" s="21">
        <f>EXP(-LN(2)/2)*DH107+(1-EXP(-LN(2)/2))/(LN(2)/2)*DB108*DE108*VLOOKUP('Données projet'!$B$13,Paramètres!$A$1:$I$89,3,0)*0.475*44/12</f>
        <v>2.3132407906928579E-13</v>
      </c>
      <c r="DI108" s="22">
        <f t="shared" si="69"/>
        <v>17.060696171616648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369.00000000000011</v>
      </c>
      <c r="DP108" s="17">
        <f>DO108*VLOOKUP('Données projet'!$B$14,Paramètres!$A$1:$I$89,3,0)*VLOOKUP('Données projet'!$B$14,Paramètres!$A$1:$I$89,5,0)</f>
        <v>333.87120000000004</v>
      </c>
      <c r="DQ108" s="13">
        <f t="shared" si="97"/>
        <v>78.232360111376309</v>
      </c>
      <c r="DR108" s="20">
        <f t="shared" si="70"/>
        <v>717.74703386064709</v>
      </c>
      <c r="DS108" s="59">
        <f t="shared" si="71"/>
        <v>1002.3235440425035</v>
      </c>
      <c r="DT108" s="59">
        <f ca="1">AVERAGE(OFFSET($DS$3,0,0,'Données projet'!$E$14+1,1))-AVERAGE(OFFSET($H$3,0,0,'Données projet'!$E$14+1,1))</f>
        <v>442.34161202733173</v>
      </c>
      <c r="DU108" s="59">
        <f t="shared" si="98"/>
        <v>622.90413492324399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2.393644091414322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2.393644091414322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8.2550000000000008</v>
      </c>
      <c r="EJ108" s="12">
        <f>IF('Données projet'!$A$192&gt;35,EJ107+EI108-ER107,IF(A108&lt;'Données projet'!$A$192,$EG$205^A108,IF(A108='Données projet'!$A$192,'Données projet'!$B$192,EJ107+EI108-ER107)))</f>
        <v>350.26500000000021</v>
      </c>
      <c r="EK108" s="17">
        <f>EJ108*VLOOKUP('Données projet'!$B$15,Paramètres!$A$1:$I$89,3,0)*VLOOKUP('Données projet'!$B$15,Paramètres!$A$1:$I$89,5,0)</f>
        <v>382.48938000000021</v>
      </c>
      <c r="EL108" s="13">
        <f t="shared" si="99"/>
        <v>88.217460192894208</v>
      </c>
      <c r="EM108" s="20">
        <f t="shared" si="73"/>
        <v>819.81441333595774</v>
      </c>
      <c r="EN108" s="59">
        <f t="shared" si="74"/>
        <v>1104.3909235178141</v>
      </c>
      <c r="EO108" s="59">
        <f ca="1">AVERAGE(OFFSET($EN$3,0,0,'Données projet'!$E$15+1,1))-AVERAGE(OFFSET($H$3,0,0,'Données projet'!$E$15+1,1))</f>
        <v>767.9449852393318</v>
      </c>
      <c r="EP108" s="59">
        <f t="shared" si="100"/>
        <v>230.95605490295961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124.63719893140444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124.63719893140444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67.611775504142656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3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11</v>
      </c>
      <c r="H109" s="66">
        <f t="shared" si="56"/>
        <v>212.66666666666666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188.98184340090461</v>
      </c>
      <c r="T109" s="59">
        <f t="shared" si="88"/>
        <v>450.74604661797798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10.060000000000002</v>
      </c>
      <c r="AI109" s="13">
        <f>IF('Données projet'!$A$62&gt;35,AI108+AH109-AQ108,IF(A109&lt;'Données projet'!$A$62,$AF$205^A109,IF(A109='Données projet'!$A$62,'Données projet'!$B$62,AI108+AH109-AQ108)))</f>
        <v>490.79999999999956</v>
      </c>
      <c r="AJ109" s="13">
        <f>AI109*VLOOKUP('Données projet'!$B$10,Paramètres!$A$1:$I$89,3,0)*VLOOKUP('Données projet'!$B$10,Paramètres!$A$1:$I$89,5,0)</f>
        <v>444.07583999999957</v>
      </c>
      <c r="AK109" s="13">
        <f t="shared" si="89"/>
        <v>100.65728197115644</v>
      </c>
      <c r="AL109" s="20">
        <f t="shared" si="58"/>
        <v>948.74352076643015</v>
      </c>
      <c r="AM109" s="59">
        <f t="shared" si="59"/>
        <v>1233.4719422526409</v>
      </c>
      <c r="AN109" s="59">
        <f ca="1">AVERAGE(OFFSET($AM$3,0,0,'Données projet'!$E$10+1,1))-AVERAGE(OFFSET($H$3,0,0,'Données projet'!$E$10+1,1))</f>
        <v>725.60981534362895</v>
      </c>
      <c r="AO109" s="59">
        <f t="shared" si="90"/>
        <v>265.16078167969272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126.86085614924274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126.86085614924274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1.65</v>
      </c>
      <c r="BD109" s="12">
        <f>IF('Données projet'!$A$88&gt;35,BD108+BC109-BL108,IF(A109&lt;'Données projet'!$A$88,$BA$205^A109,IF(A109='Données projet'!$A$88,'Données projet'!$B$88,BD108+BC109-BL108)))</f>
        <v>140.9</v>
      </c>
      <c r="BE109" s="13">
        <f>BD109*VLOOKUP('Données projet'!$B$11,Paramètres!$A$1:$I$89,3,0)*VLOOKUP('Données projet'!$B$11,Paramètres!$A$1:$I$89,5,0)</f>
        <v>162.3168</v>
      </c>
      <c r="BF109" s="13">
        <f t="shared" si="91"/>
        <v>41.364638087906826</v>
      </c>
      <c r="BG109" s="20">
        <f t="shared" si="61"/>
        <v>354.74517133643775</v>
      </c>
      <c r="BH109" s="59">
        <f t="shared" si="62"/>
        <v>639.47359282264847</v>
      </c>
      <c r="BI109" s="59">
        <f ca="1">AVERAGE(OFFSET($BH$3,0,0,'Données projet'!$E$11+1,1))-AVERAGE(OFFSET($H$3,0,0,'Données projet'!$E$11+1,1))</f>
        <v>332.93090933713466</v>
      </c>
      <c r="BJ109" s="59">
        <f t="shared" si="92"/>
        <v>251.83579649532973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21.186988558417742</v>
      </c>
      <c r="BQ109" s="21">
        <f>EXP(-LN(2)/25)*BQ108+(1-EXP(-LN(2)/25))/(LN(2)/25)*Calculateur!BL109*Calculateur!BN109*VLOOKUP('Données projet'!$B$11,Paramètres!$A$1:$I$89,3,0)*0.475*44/12</f>
        <v>0.84559993310384496</v>
      </c>
      <c r="BR109" s="21">
        <f>EXP(-LN(2)/2)*BR108+(1-EXP(-LN(2)/2))/(LN(2)/2)*BL109*BO109*VLOOKUP('Données projet'!$B$11,Paramètres!$A$1:$I$89,3,0)*0.475*44/12</f>
        <v>9.7891491153505267E-15</v>
      </c>
      <c r="BS109" s="22">
        <f t="shared" si="63"/>
        <v>22.032588491521597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8.2550000000000008</v>
      </c>
      <c r="BY109" s="12">
        <f>IF('Données projet'!$A$114&gt;35,BY108+BX109-CG108,IF(A109&lt;'Données projet'!$A$114,$BV$205^A109,IF(A109='Données projet'!$A$114,'Données projet'!$B$114,BY108+BX109-CG108)))</f>
        <v>358.52000000000021</v>
      </c>
      <c r="BZ109" s="13">
        <f>BY109*VLOOKUP('Données projet'!$B$12,Paramètres!$A$1:$I$89,3,0)*VLOOKUP('Données projet'!$B$12,Paramètres!$A$1:$I$89,5,0)</f>
        <v>408.28257600000023</v>
      </c>
      <c r="CA109" s="13">
        <f t="shared" si="93"/>
        <v>93.45382223386234</v>
      </c>
      <c r="CB109" s="20">
        <f t="shared" si="64"/>
        <v>873.85756025731064</v>
      </c>
      <c r="CC109" s="59">
        <f t="shared" si="65"/>
        <v>1158.5859817435214</v>
      </c>
      <c r="CD109" s="59">
        <f ca="1">AVERAGE(OFFSET($CC$3,0,0,'Données projet'!$E$12+1,1))-AVERAGE(OFFSET($H$3,0,0,'Données projet'!$E$12+1,1))</f>
        <v>797.57191672067393</v>
      </c>
      <c r="CE109" s="59">
        <f t="shared" si="94"/>
        <v>238.59056544987126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127.42998831646784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127.42998831646784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>
        <f>CT109*VLOOKUP('Données projet'!$B$13,Paramètres!$A$1:$I$89,3,0)*VLOOKUP('Données projet'!$B$13,Paramètres!$A$1:$I$89,5,0)</f>
        <v>0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188.98184340090461</v>
      </c>
      <c r="CZ109" s="59">
        <f t="shared" si="96"/>
        <v>450.74604661797798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16.594170537620549</v>
      </c>
      <c r="DH109" s="21">
        <f>EXP(-LN(2)/2)*DH108+(1-EXP(-LN(2)/2))/(LN(2)/2)*DB109*DE109*VLOOKUP('Données projet'!$B$13,Paramètres!$A$1:$I$89,3,0)*0.475*44/12</f>
        <v>1.6357082496162509E-13</v>
      </c>
      <c r="DI109" s="22">
        <f t="shared" si="69"/>
        <v>16.594170537620712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369.00000000000011</v>
      </c>
      <c r="DP109" s="17">
        <f>DO109*VLOOKUP('Données projet'!$B$14,Paramètres!$A$1:$I$89,3,0)*VLOOKUP('Données projet'!$B$14,Paramètres!$A$1:$I$89,5,0)</f>
        <v>333.87120000000004</v>
      </c>
      <c r="DQ109" s="13">
        <f t="shared" si="97"/>
        <v>78.232360111376309</v>
      </c>
      <c r="DR109" s="20">
        <f t="shared" si="70"/>
        <v>717.74703386064709</v>
      </c>
      <c r="DS109" s="59">
        <f t="shared" si="71"/>
        <v>1002.4754553468579</v>
      </c>
      <c r="DT109" s="59">
        <f ca="1">AVERAGE(OFFSET($DS$3,0,0,'Données projet'!$E$14+1,1))-AVERAGE(OFFSET($H$3,0,0,'Données projet'!$E$14+1,1))</f>
        <v>442.34161202733173</v>
      </c>
      <c r="DU109" s="59">
        <f t="shared" si="98"/>
        <v>622.90413492324399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2.3467061907604219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2.3467061907604219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8.2550000000000008</v>
      </c>
      <c r="EJ109" s="12">
        <f>IF('Données projet'!$A$192&gt;35,EJ108+EI109-ER108,IF(A109&lt;'Données projet'!$A$192,$EG$205^A109,IF(A109='Données projet'!$A$192,'Données projet'!$B$192,EJ108+EI109-ER108)))</f>
        <v>358.52000000000021</v>
      </c>
      <c r="EK109" s="17">
        <f>EJ109*VLOOKUP('Données projet'!$B$15,Paramètres!$A$1:$I$89,3,0)*VLOOKUP('Données projet'!$B$15,Paramètres!$A$1:$I$89,5,0)</f>
        <v>391.50384000000025</v>
      </c>
      <c r="EL109" s="13">
        <f t="shared" si="99"/>
        <v>90.052052848062402</v>
      </c>
      <c r="EM109" s="20">
        <f t="shared" si="73"/>
        <v>838.7098467103757</v>
      </c>
      <c r="EN109" s="59">
        <f t="shared" si="74"/>
        <v>1123.4382681965865</v>
      </c>
      <c r="EO109" s="59">
        <f ca="1">AVERAGE(OFFSET($EN$3,0,0,'Données projet'!$E$15+1,1))-AVERAGE(OFFSET($H$3,0,0,'Données projet'!$E$15+1,1))</f>
        <v>767.9449852393318</v>
      </c>
      <c r="EP109" s="59">
        <f t="shared" si="100"/>
        <v>230.95605490295961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122.19313948154448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122.19313948154448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67.653205859875669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3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11</v>
      </c>
      <c r="H110" s="66">
        <f t="shared" si="56"/>
        <v>212.66666666666666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188.98184340090461</v>
      </c>
      <c r="T110" s="59">
        <f t="shared" si="88"/>
        <v>450.74604661797798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10.060000000000002</v>
      </c>
      <c r="AI110" s="13">
        <f>IF('Données projet'!$A$62&gt;35,AI109+AH110-AQ109,IF(A110&lt;'Données projet'!$A$62,$AF$205^A110,IF(A110='Données projet'!$A$62,'Données projet'!$B$62,AI109+AH110-AQ109)))</f>
        <v>500.85999999999956</v>
      </c>
      <c r="AJ110" s="13">
        <f>AI110*VLOOKUP('Données projet'!$B$10,Paramètres!$A$1:$I$89,3,0)*VLOOKUP('Données projet'!$B$10,Paramètres!$A$1:$I$89,5,0)</f>
        <v>453.17812799999962</v>
      </c>
      <c r="AK110" s="13">
        <f t="shared" si="89"/>
        <v>102.47815579669938</v>
      </c>
      <c r="AL110" s="20">
        <f t="shared" si="58"/>
        <v>967.76802761258398</v>
      </c>
      <c r="AM110" s="59">
        <f t="shared" si="59"/>
        <v>1252.6457250816416</v>
      </c>
      <c r="AN110" s="59">
        <f ca="1">AVERAGE(OFFSET($AM$3,0,0,'Données projet'!$E$10+1,1))-AVERAGE(OFFSET($H$3,0,0,'Données projet'!$E$10+1,1))</f>
        <v>725.60981534362895</v>
      </c>
      <c r="AO110" s="59">
        <f t="shared" si="90"/>
        <v>265.16078167969272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124.37319213763794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124.37319213763794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1.65</v>
      </c>
      <c r="BD110" s="12">
        <f>IF('Données projet'!$A$88&gt;35,BD109+BC110-BL109,IF(A110&lt;'Données projet'!$A$88,$BA$205^A110,IF(A110='Données projet'!$A$88,'Données projet'!$B$88,BD109+BC110-BL109)))</f>
        <v>142.55000000000001</v>
      </c>
      <c r="BE110" s="13">
        <f>BD110*VLOOKUP('Données projet'!$B$11,Paramètres!$A$1:$I$89,3,0)*VLOOKUP('Données projet'!$B$11,Paramètres!$A$1:$I$89,5,0)</f>
        <v>164.2176</v>
      </c>
      <c r="BF110" s="13">
        <f t="shared" si="91"/>
        <v>41.79236155343402</v>
      </c>
      <c r="BG110" s="20">
        <f t="shared" si="61"/>
        <v>358.8006830388976</v>
      </c>
      <c r="BH110" s="59">
        <f t="shared" si="62"/>
        <v>643.67838050795513</v>
      </c>
      <c r="BI110" s="59">
        <f ca="1">AVERAGE(OFFSET($BH$3,0,0,'Données projet'!$E$11+1,1))-AVERAGE(OFFSET($H$3,0,0,'Données projet'!$E$11+1,1))</f>
        <v>332.93090933713466</v>
      </c>
      <c r="BJ110" s="59">
        <f t="shared" si="92"/>
        <v>251.83579649532973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20.771524635574171</v>
      </c>
      <c r="BQ110" s="21">
        <f>EXP(-LN(2)/25)*BQ109+(1-EXP(-LN(2)/25))/(LN(2)/25)*Calculateur!BL110*Calculateur!BN110*VLOOKUP('Données projet'!$B$11,Paramètres!$A$1:$I$89,3,0)*0.475*44/12</f>
        <v>0.8224769584649525</v>
      </c>
      <c r="BR110" s="21">
        <f>EXP(-LN(2)/2)*BR109+(1-EXP(-LN(2)/2))/(LN(2)/2)*BL110*BO110*VLOOKUP('Données projet'!$B$11,Paramètres!$A$1:$I$89,3,0)*0.475*44/12</f>
        <v>6.9219737215106506E-15</v>
      </c>
      <c r="BS110" s="22">
        <f t="shared" si="63"/>
        <v>21.594001594039131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8.2550000000000008</v>
      </c>
      <c r="BY110" s="12">
        <f>IF('Données projet'!$A$114&gt;35,BY109+BX110-CG109,IF(A110&lt;'Données projet'!$A$114,$BV$205^A110,IF(A110='Données projet'!$A$114,'Données projet'!$B$114,BY109+BX110-CG109)))</f>
        <v>366.7750000000002</v>
      </c>
      <c r="BZ110" s="13">
        <f>BY110*VLOOKUP('Données projet'!$B$12,Paramètres!$A$1:$I$89,3,0)*VLOOKUP('Données projet'!$B$12,Paramètres!$A$1:$I$89,5,0)</f>
        <v>417.68337000000025</v>
      </c>
      <c r="CA110" s="13">
        <f t="shared" si="93"/>
        <v>95.352621367162143</v>
      </c>
      <c r="CB110" s="20">
        <f t="shared" si="64"/>
        <v>893.53768496447447</v>
      </c>
      <c r="CC110" s="59">
        <f t="shared" si="65"/>
        <v>1178.4153824335319</v>
      </c>
      <c r="CD110" s="59">
        <f ca="1">AVERAGE(OFFSET($CC$3,0,0,'Données projet'!$E$12+1,1))-AVERAGE(OFFSET($H$3,0,0,'Données projet'!$E$12+1,1))</f>
        <v>797.57191672067393</v>
      </c>
      <c r="CE110" s="59">
        <f t="shared" si="94"/>
        <v>238.59056544987126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124.93116397020012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124.93116397020012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>
        <f>CT110*VLOOKUP('Données projet'!$B$13,Paramètres!$A$1:$I$89,3,0)*VLOOKUP('Données projet'!$B$13,Paramètres!$A$1:$I$89,5,0)</f>
        <v>0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188.98184340090461</v>
      </c>
      <c r="CZ110" s="59">
        <f t="shared" si="96"/>
        <v>450.74604661797798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16.140402071619814</v>
      </c>
      <c r="DH110" s="21">
        <f>EXP(-LN(2)/2)*DH109+(1-EXP(-LN(2)/2))/(LN(2)/2)*DB110*DE110*VLOOKUP('Données projet'!$B$13,Paramètres!$A$1:$I$89,3,0)*0.475*44/12</f>
        <v>1.1566203953464289E-13</v>
      </c>
      <c r="DI110" s="22">
        <f t="shared" si="69"/>
        <v>16.140402071619931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369.00000000000011</v>
      </c>
      <c r="DP110" s="17">
        <f>DO110*VLOOKUP('Données projet'!$B$14,Paramètres!$A$1:$I$89,3,0)*VLOOKUP('Données projet'!$B$14,Paramètres!$A$1:$I$89,5,0)</f>
        <v>333.87120000000004</v>
      </c>
      <c r="DQ110" s="13">
        <f t="shared" si="97"/>
        <v>78.232360111376309</v>
      </c>
      <c r="DR110" s="20">
        <f t="shared" si="70"/>
        <v>717.74703386064709</v>
      </c>
      <c r="DS110" s="59">
        <f t="shared" si="71"/>
        <v>1002.6247313297047</v>
      </c>
      <c r="DT110" s="59">
        <f ca="1">AVERAGE(OFFSET($DS$3,0,0,'Données projet'!$E$14+1,1))-AVERAGE(OFFSET($H$3,0,0,'Données projet'!$E$14+1,1))</f>
        <v>442.34161202733173</v>
      </c>
      <c r="DU110" s="59">
        <f t="shared" si="98"/>
        <v>622.90413492324399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2.3006887137090524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2.3006887137090524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8.2550000000000008</v>
      </c>
      <c r="EJ110" s="12">
        <f>IF('Données projet'!$A$192&gt;35,EJ109+EI110-ER109,IF(A110&lt;'Données projet'!$A$192,$EG$205^A110,IF(A110='Données projet'!$A$192,'Données projet'!$B$192,EJ109+EI110-ER109)))</f>
        <v>366.7750000000002</v>
      </c>
      <c r="EK110" s="17">
        <f>EJ110*VLOOKUP('Données projet'!$B$15,Paramètres!$A$1:$I$89,3,0)*VLOOKUP('Données projet'!$B$15,Paramètres!$A$1:$I$89,5,0)</f>
        <v>400.51830000000018</v>
      </c>
      <c r="EL110" s="13">
        <f t="shared" si="99"/>
        <v>91.881734671796437</v>
      </c>
      <c r="EM110" s="20">
        <f t="shared" si="73"/>
        <v>857.59672705337914</v>
      </c>
      <c r="EN110" s="59">
        <f t="shared" si="74"/>
        <v>1142.4744245224367</v>
      </c>
      <c r="EO110" s="59">
        <f ca="1">AVERAGE(OFFSET($EN$3,0,0,'Données projet'!$E$15+1,1))-AVERAGE(OFFSET($H$3,0,0,'Données projet'!$E$15+1,1))</f>
        <v>767.9449852393318</v>
      </c>
      <c r="EP110" s="59">
        <f t="shared" si="100"/>
        <v>230.95605490295961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119.79700654676721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119.79700654676721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67.693917491561137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3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11</v>
      </c>
      <c r="H111" s="66">
        <f t="shared" si="56"/>
        <v>212.66666666666666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188.98184340090461</v>
      </c>
      <c r="T111" s="59">
        <f t="shared" si="88"/>
        <v>450.74604661797798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10.060000000000002</v>
      </c>
      <c r="AI111" s="13">
        <f>IF('Données projet'!$A$62&gt;35,AI110+AH111-AQ110,IF(A111&lt;'Données projet'!$A$62,$AF$205^A111,IF(A111='Données projet'!$A$62,'Données projet'!$B$62,AI110+AH111-AQ110)))</f>
        <v>510.91999999999956</v>
      </c>
      <c r="AJ111" s="13">
        <f>AI111*VLOOKUP('Données projet'!$B$10,Paramètres!$A$1:$I$89,3,0)*VLOOKUP('Données projet'!$B$10,Paramètres!$A$1:$I$89,5,0)</f>
        <v>462.28041599999955</v>
      </c>
      <c r="AK111" s="13">
        <f t="shared" si="89"/>
        <v>104.29477718656059</v>
      </c>
      <c r="AL111" s="20">
        <f t="shared" si="58"/>
        <v>986.7851281332587</v>
      </c>
      <c r="AM111" s="59">
        <f t="shared" si="59"/>
        <v>1271.8095119805917</v>
      </c>
      <c r="AN111" s="59">
        <f ca="1">AVERAGE(OFFSET($AM$3,0,0,'Données projet'!$E$10+1,1))-AVERAGE(OFFSET($H$3,0,0,'Données projet'!$E$10+1,1))</f>
        <v>725.60981534362895</v>
      </c>
      <c r="AO111" s="59">
        <f t="shared" si="90"/>
        <v>265.16078167969272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121.9343096999755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121.9343096999755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1.65</v>
      </c>
      <c r="BD111" s="12">
        <f>IF('Données projet'!$A$88&gt;35,BD110+BC111-BL110,IF(A111&lt;'Données projet'!$A$88,$BA$205^A111,IF(A111='Données projet'!$A$88,'Données projet'!$B$88,BD110+BC111-BL110)))</f>
        <v>144.20000000000002</v>
      </c>
      <c r="BE111" s="13">
        <f>BD111*VLOOKUP('Données projet'!$B$11,Paramètres!$A$1:$I$89,3,0)*VLOOKUP('Données projet'!$B$11,Paramètres!$A$1:$I$89,5,0)</f>
        <v>166.11840000000001</v>
      </c>
      <c r="BF111" s="13">
        <f t="shared" si="91"/>
        <v>42.219509114421207</v>
      </c>
      <c r="BG111" s="20">
        <f t="shared" si="61"/>
        <v>362.855191707617</v>
      </c>
      <c r="BH111" s="59">
        <f t="shared" si="62"/>
        <v>647.87957555494995</v>
      </c>
      <c r="BI111" s="59">
        <f ca="1">AVERAGE(OFFSET($BH$3,0,0,'Données projet'!$E$11+1,1))-AVERAGE(OFFSET($H$3,0,0,'Données projet'!$E$11+1,1))</f>
        <v>332.93090933713466</v>
      </c>
      <c r="BJ111" s="59">
        <f t="shared" si="92"/>
        <v>251.83579649532973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20.364207706849591</v>
      </c>
      <c r="BQ111" s="21">
        <f>EXP(-LN(2)/25)*BQ110+(1-EXP(-LN(2)/25))/(LN(2)/25)*Calculateur!BL111*Calculateur!BN111*VLOOKUP('Données projet'!$B$11,Paramètres!$A$1:$I$89,3,0)*0.475*44/12</f>
        <v>0.79998628278354489</v>
      </c>
      <c r="BR111" s="21">
        <f>EXP(-LN(2)/2)*BR110+(1-EXP(-LN(2)/2))/(LN(2)/2)*BL111*BO111*VLOOKUP('Données projet'!$B$11,Paramètres!$A$1:$I$89,3,0)*0.475*44/12</f>
        <v>4.8945745576752641E-15</v>
      </c>
      <c r="BS111" s="22">
        <f t="shared" si="63"/>
        <v>21.164193989633141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8.2550000000000008</v>
      </c>
      <c r="BY111" s="12">
        <f>IF('Données projet'!$A$114&gt;35,BY110+BX111-CG110,IF(A111&lt;'Données projet'!$A$114,$BV$205^A111,IF(A111='Données projet'!$A$114,'Données projet'!$B$114,BY110+BX111-CG110)))</f>
        <v>375.0300000000002</v>
      </c>
      <c r="BZ111" s="13">
        <f>BY111*VLOOKUP('Données projet'!$B$12,Paramètres!$A$1:$I$89,3,0)*VLOOKUP('Données projet'!$B$12,Paramètres!$A$1:$I$89,5,0)</f>
        <v>427.08416400000021</v>
      </c>
      <c r="CA111" s="13">
        <f t="shared" si="93"/>
        <v>97.246452068442565</v>
      </c>
      <c r="CB111" s="20">
        <f t="shared" si="64"/>
        <v>913.20915631920434</v>
      </c>
      <c r="CC111" s="59">
        <f t="shared" si="65"/>
        <v>1198.2335401665373</v>
      </c>
      <c r="CD111" s="59">
        <f ca="1">AVERAGE(OFFSET($CC$3,0,0,'Données projet'!$E$12+1,1))-AVERAGE(OFFSET($H$3,0,0,'Données projet'!$E$12+1,1))</f>
        <v>797.57191672067393</v>
      </c>
      <c r="CE111" s="59">
        <f t="shared" si="94"/>
        <v>238.59056544987126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122.48134004523034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122.48134004523034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>
        <f>CT111*VLOOKUP('Données projet'!$B$13,Paramètres!$A$1:$I$89,3,0)*VLOOKUP('Données projet'!$B$13,Paramètres!$A$1:$I$89,5,0)</f>
        <v>0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188.98184340090461</v>
      </c>
      <c r="CZ111" s="59">
        <f t="shared" si="96"/>
        <v>450.74604661797798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15.699041928184515</v>
      </c>
      <c r="DH111" s="21">
        <f>EXP(-LN(2)/2)*DH110+(1-EXP(-LN(2)/2))/(LN(2)/2)*DB111*DE111*VLOOKUP('Données projet'!$B$13,Paramètres!$A$1:$I$89,3,0)*0.475*44/12</f>
        <v>8.1785412480812543E-14</v>
      </c>
      <c r="DI111" s="22">
        <f t="shared" si="69"/>
        <v>15.699041928184597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369.00000000000011</v>
      </c>
      <c r="DP111" s="17">
        <f>DO111*VLOOKUP('Données projet'!$B$14,Paramètres!$A$1:$I$89,3,0)*VLOOKUP('Données projet'!$B$14,Paramètres!$A$1:$I$89,5,0)</f>
        <v>333.87120000000004</v>
      </c>
      <c r="DQ111" s="13">
        <f t="shared" si="97"/>
        <v>78.232360111376309</v>
      </c>
      <c r="DR111" s="20">
        <f t="shared" si="70"/>
        <v>717.74703386064709</v>
      </c>
      <c r="DS111" s="59">
        <f t="shared" si="71"/>
        <v>1002.77141770798</v>
      </c>
      <c r="DT111" s="59">
        <f ca="1">AVERAGE(OFFSET($DS$3,0,0,'Données projet'!$E$14+1,1))-AVERAGE(OFFSET($H$3,0,0,'Données projet'!$E$14+1,1))</f>
        <v>442.34161202733173</v>
      </c>
      <c r="DU111" s="59">
        <f t="shared" si="98"/>
        <v>622.90413492324399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2.2555736113147709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2.2555736113147709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8.2550000000000008</v>
      </c>
      <c r="EJ111" s="12">
        <f>IF('Données projet'!$A$192&gt;35,EJ110+EI111-ER110,IF(A111&lt;'Données projet'!$A$192,$EG$205^A111,IF(A111='Données projet'!$A$192,'Données projet'!$B$192,EJ110+EI111-ER110)))</f>
        <v>375.0300000000002</v>
      </c>
      <c r="EK111" s="17">
        <f>EJ111*VLOOKUP('Données projet'!$B$15,Paramètres!$A$1:$I$89,3,0)*VLOOKUP('Données projet'!$B$15,Paramètres!$A$1:$I$89,5,0)</f>
        <v>409.53276000000022</v>
      </c>
      <c r="EL111" s="13">
        <f t="shared" si="99"/>
        <v>93.706628917108375</v>
      </c>
      <c r="EM111" s="20">
        <f t="shared" si="73"/>
        <v>876.47526903063078</v>
      </c>
      <c r="EN111" s="59">
        <f t="shared" si="74"/>
        <v>1161.4996528779639</v>
      </c>
      <c r="EO111" s="59">
        <f ca="1">AVERAGE(OFFSET($EN$3,0,0,'Données projet'!$E$15+1,1))-AVERAGE(OFFSET($H$3,0,0,'Données projet'!$E$15+1,1))</f>
        <v>767.9449852393318</v>
      </c>
      <c r="EP111" s="59">
        <f t="shared" si="100"/>
        <v>230.95605490295961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117.44786031734414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117.44786031734414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67.733922867454439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3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11</v>
      </c>
      <c r="H112" s="66">
        <f t="shared" si="56"/>
        <v>212.66666666666666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188.98184340090461</v>
      </c>
      <c r="T112" s="59">
        <f t="shared" si="88"/>
        <v>450.74604661797798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10.060000000000002</v>
      </c>
      <c r="AI112" s="13">
        <f>IF('Données projet'!$A$62&gt;35,AI111+AH112-AQ111,IF(A112&lt;'Données projet'!$A$62,$AF$205^A112,IF(A112='Données projet'!$A$62,'Données projet'!$B$62,AI111+AH112-AQ111)))</f>
        <v>520.97999999999956</v>
      </c>
      <c r="AJ112" s="13">
        <f>AI112*VLOOKUP('Données projet'!$B$10,Paramètres!$A$1:$I$89,3,0)*VLOOKUP('Données projet'!$B$10,Paramètres!$A$1:$I$89,5,0)</f>
        <v>471.38270399999959</v>
      </c>
      <c r="AK112" s="13">
        <f t="shared" si="89"/>
        <v>106.10723952242445</v>
      </c>
      <c r="AL112" s="20">
        <f t="shared" si="58"/>
        <v>1005.7949849682217</v>
      </c>
      <c r="AM112" s="59">
        <f t="shared" si="59"/>
        <v>1290.9635105131085</v>
      </c>
      <c r="AN112" s="59">
        <f ca="1">AVERAGE(OFFSET($AM$3,0,0,'Données projet'!$E$10+1,1))-AVERAGE(OFFSET($H$3,0,0,'Données projet'!$E$10+1,1))</f>
        <v>725.60981534362895</v>
      </c>
      <c r="AO112" s="59">
        <f t="shared" si="90"/>
        <v>265.16078167969272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119.54325225934421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119.54325225934421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1.65</v>
      </c>
      <c r="BD112" s="12">
        <f>IF('Données projet'!$A$88&gt;35,BD111+BC112-BL111,IF(A112&lt;'Données projet'!$A$88,$BA$205^A112,IF(A112='Données projet'!$A$88,'Données projet'!$B$88,BD111+BC112-BL111)))</f>
        <v>145.85000000000002</v>
      </c>
      <c r="BE112" s="13">
        <f>BD112*VLOOKUP('Données projet'!$B$11,Paramètres!$A$1:$I$89,3,0)*VLOOKUP('Données projet'!$B$11,Paramètres!$A$1:$I$89,5,0)</f>
        <v>168.01920000000001</v>
      </c>
      <c r="BF112" s="13">
        <f t="shared" si="91"/>
        <v>42.646088123095062</v>
      </c>
      <c r="BG112" s="20">
        <f t="shared" si="61"/>
        <v>366.90871014772392</v>
      </c>
      <c r="BH112" s="59">
        <f t="shared" si="62"/>
        <v>652.07723569261088</v>
      </c>
      <c r="BI112" s="59">
        <f ca="1">AVERAGE(OFFSET($BH$3,0,0,'Données projet'!$E$11+1,1))-AVERAGE(OFFSET($H$3,0,0,'Données projet'!$E$11+1,1))</f>
        <v>332.93090933713466</v>
      </c>
      <c r="BJ112" s="59">
        <f t="shared" si="92"/>
        <v>251.83579649532973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19.964878014658506</v>
      </c>
      <c r="BQ112" s="21">
        <f>EXP(-LN(2)/25)*BQ111+(1-EXP(-LN(2)/25))/(LN(2)/25)*Calculateur!BL112*Calculateur!BN112*VLOOKUP('Données projet'!$B$11,Paramètres!$A$1:$I$89,3,0)*0.475*44/12</f>
        <v>0.77811061581137864</v>
      </c>
      <c r="BR112" s="21">
        <f>EXP(-LN(2)/2)*BR111+(1-EXP(-LN(2)/2))/(LN(2)/2)*BL112*BO112*VLOOKUP('Données projet'!$B$11,Paramètres!$A$1:$I$89,3,0)*0.475*44/12</f>
        <v>3.4609868607553257E-15</v>
      </c>
      <c r="BS112" s="22">
        <f t="shared" si="63"/>
        <v>20.742988630469888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8.2550000000000008</v>
      </c>
      <c r="BY112" s="12">
        <f>IF('Données projet'!$A$114&gt;35,BY111+BX112-CG111,IF(A112&lt;'Données projet'!$A$114,$BV$205^A112,IF(A112='Données projet'!$A$114,'Données projet'!$B$114,BY111+BX112-CG111)))</f>
        <v>383.2850000000002</v>
      </c>
      <c r="BZ112" s="13">
        <f>BY112*VLOOKUP('Données projet'!$B$12,Paramètres!$A$1:$I$89,3,0)*VLOOKUP('Données projet'!$B$12,Paramètres!$A$1:$I$89,5,0)</f>
        <v>436.48495800000029</v>
      </c>
      <c r="CA112" s="13">
        <f t="shared" si="93"/>
        <v>99.135436294176316</v>
      </c>
      <c r="CB112" s="20">
        <f t="shared" si="64"/>
        <v>932.87218672902407</v>
      </c>
      <c r="CC112" s="59">
        <f t="shared" si="65"/>
        <v>1218.0407122739109</v>
      </c>
      <c r="CD112" s="59">
        <f ca="1">AVERAGE(OFFSET($CC$3,0,0,'Données projet'!$E$12+1,1))-AVERAGE(OFFSET($H$3,0,0,'Données projet'!$E$12+1,1))</f>
        <v>797.57191672067393</v>
      </c>
      <c r="CE112" s="59">
        <f t="shared" si="94"/>
        <v>238.59056544987126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120.07955567318417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120.07955567318417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>
        <f>CT112*VLOOKUP('Données projet'!$B$13,Paramètres!$A$1:$I$89,3,0)*VLOOKUP('Données projet'!$B$13,Paramètres!$A$1:$I$89,5,0)</f>
        <v>0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188.98184340090461</v>
      </c>
      <c r="CZ112" s="59">
        <f t="shared" si="96"/>
        <v>450.74604661797798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15.269750801081575</v>
      </c>
      <c r="DH112" s="21">
        <f>EXP(-LN(2)/2)*DH111+(1-EXP(-LN(2)/2))/(LN(2)/2)*DB112*DE112*VLOOKUP('Données projet'!$B$13,Paramètres!$A$1:$I$89,3,0)*0.475*44/12</f>
        <v>5.7831019767321447E-14</v>
      </c>
      <c r="DI112" s="22">
        <f t="shared" si="69"/>
        <v>15.269750801081633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369.00000000000011</v>
      </c>
      <c r="DP112" s="17">
        <f>DO112*VLOOKUP('Données projet'!$B$14,Paramètres!$A$1:$I$89,3,0)*VLOOKUP('Données projet'!$B$14,Paramètres!$A$1:$I$89,5,0)</f>
        <v>333.87120000000004</v>
      </c>
      <c r="DQ112" s="13">
        <f t="shared" si="97"/>
        <v>78.232360111376309</v>
      </c>
      <c r="DR112" s="20">
        <f t="shared" si="70"/>
        <v>717.74703386064709</v>
      </c>
      <c r="DS112" s="59">
        <f t="shared" si="71"/>
        <v>1002.9155594055339</v>
      </c>
      <c r="DT112" s="59">
        <f ca="1">AVERAGE(OFFSET($DS$3,0,0,'Données projet'!$E$14+1,1))-AVERAGE(OFFSET($H$3,0,0,'Données projet'!$E$14+1,1))</f>
        <v>442.34161202733173</v>
      </c>
      <c r="DU112" s="59">
        <f t="shared" si="98"/>
        <v>622.90413492324399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2.2113431885609458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2.2113431885609458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8.2550000000000008</v>
      </c>
      <c r="EJ112" s="12">
        <f>IF('Données projet'!$A$192&gt;35,EJ111+EI112-ER111,IF(A112&lt;'Données projet'!$A$192,$EG$205^A112,IF(A112='Données projet'!$A$192,'Données projet'!$B$192,EJ111+EI112-ER111)))</f>
        <v>383.2850000000002</v>
      </c>
      <c r="EK112" s="17">
        <f>EJ112*VLOOKUP('Données projet'!$B$15,Paramètres!$A$1:$I$89,3,0)*VLOOKUP('Données projet'!$B$15,Paramètres!$A$1:$I$89,5,0)</f>
        <v>418.54722000000021</v>
      </c>
      <c r="EL112" s="13">
        <f t="shared" si="99"/>
        <v>95.5268531011899</v>
      </c>
      <c r="EM112" s="20">
        <f t="shared" si="73"/>
        <v>895.34567731790605</v>
      </c>
      <c r="EN112" s="59">
        <f t="shared" si="74"/>
        <v>1180.5142028627929</v>
      </c>
      <c r="EO112" s="59">
        <f ca="1">AVERAGE(OFFSET($EN$3,0,0,'Données projet'!$E$15+1,1))-AVERAGE(OFFSET($H$3,0,0,'Données projet'!$E$15+1,1))</f>
        <v>767.9449852393318</v>
      </c>
      <c r="EP112" s="59">
        <f t="shared" si="100"/>
        <v>230.95605490295961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115.14477941264234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115.14477941264234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67.773234239514608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3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11</v>
      </c>
      <c r="H113" s="66">
        <f t="shared" si="56"/>
        <v>212.66666666666666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188.98184340090461</v>
      </c>
      <c r="T113" s="59">
        <f t="shared" si="88"/>
        <v>450.74604661797798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531.04</v>
      </c>
      <c r="AG113" s="12">
        <f>VLOOKUP(A113,'Données projet'!$A$61:$I$81,9,0)</f>
        <v>10.060000000000002</v>
      </c>
      <c r="AH113" s="12">
        <f t="array" ref="AH113">INDEX(AG:AG,MIN(IF(ISNUMBER(AG113:AG309),ROW(AG113:AG309),"")))</f>
        <v>10.060000000000002</v>
      </c>
      <c r="AI113" s="13">
        <f>IF('Données projet'!$A$62&gt;35,AI112+AH113-AQ112,IF(A113&lt;'Données projet'!$A$62,$AF$205^A113,IF(A113='Données projet'!$A$62,'Données projet'!$B$62,AI112+AH113-AQ112)))</f>
        <v>531.03999999999951</v>
      </c>
      <c r="AJ113" s="13">
        <f>AI113*VLOOKUP('Données projet'!$B$10,Paramètres!$A$1:$I$89,3,0)*VLOOKUP('Données projet'!$B$10,Paramètres!$A$1:$I$89,5,0)</f>
        <v>480.48499199999958</v>
      </c>
      <c r="AK113" s="13">
        <f t="shared" si="89"/>
        <v>107.91563237330452</v>
      </c>
      <c r="AL113" s="20">
        <f t="shared" si="58"/>
        <v>1024.797754116838</v>
      </c>
      <c r="AM113" s="59">
        <f t="shared" si="59"/>
        <v>1310.1079208230788</v>
      </c>
      <c r="AN113" s="59">
        <f ca="1">AVERAGE(OFFSET($AM$3,0,0,'Données projet'!$E$10+1,1))-AVERAGE(OFFSET($H$3,0,0,'Données projet'!$E$10+1,1))</f>
        <v>725.60981534362895</v>
      </c>
      <c r="AO113" s="59">
        <f t="shared" si="90"/>
        <v>265.16078167969272</v>
      </c>
      <c r="AP113" s="15">
        <f>IF(ISNA(VLOOKUP(A113,'Données projet'!$A$61:$I$81,3,0)),0,VLOOKUP(A113,'Données projet'!$A$61:$I$81,3,0))</f>
        <v>10</v>
      </c>
      <c r="AQ113" s="15">
        <f>IF(ISNA(VLOOKUP(A113,'Données projet'!$A$61:$I$81,4,0)),0,VLOOKUP(A113,'Données projet'!$A$61:$I$81,4,0))</f>
        <v>67.22</v>
      </c>
      <c r="AR113" s="16">
        <f>IF(ISNA(VLOOKUP(A113,'Données projet'!$A$61:$I$81,5,0)),0%,VLOOKUP(A113,'Données projet'!$A$61:$I$81,5,0)*VLOOKUP('Données projet'!$B$10,Paramètres!$A$1:$I$89,7,0))</f>
        <v>0.43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146.11031847558075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146.11031847558075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147.5</v>
      </c>
      <c r="BB113" s="12">
        <f>VLOOKUP(A113,'Données projet'!$A$87:$I$107,9,0)</f>
        <v>1.65</v>
      </c>
      <c r="BC113" s="12">
        <f t="array" ref="BC113">INDEX(BB:BB,MIN(IF(ISNUMBER(BB113:BB309),ROW(BB113:BB309),"")))</f>
        <v>1.65</v>
      </c>
      <c r="BD113" s="12">
        <f>IF('Données projet'!$A$88&gt;35,BD112+BC113-BL112,IF(A113&lt;'Données projet'!$A$88,$BA$205^A113,IF(A113='Données projet'!$A$88,'Données projet'!$B$88,BD112+BC113-BL112)))</f>
        <v>147.50000000000003</v>
      </c>
      <c r="BE113" s="13">
        <f>BD113*VLOOKUP('Données projet'!$B$11,Paramètres!$A$1:$I$89,3,0)*VLOOKUP('Données projet'!$B$11,Paramètres!$A$1:$I$89,5,0)</f>
        <v>169.92000000000002</v>
      </c>
      <c r="BF113" s="13">
        <f t="shared" si="91"/>
        <v>43.072105755753654</v>
      </c>
      <c r="BG113" s="20">
        <f t="shared" si="61"/>
        <v>370.96125085793761</v>
      </c>
      <c r="BH113" s="59">
        <f t="shared" si="62"/>
        <v>656.27141756417848</v>
      </c>
      <c r="BI113" s="59">
        <f ca="1">AVERAGE(OFFSET($BH$3,0,0,'Données projet'!$E$11+1,1))-AVERAGE(OFFSET($H$3,0,0,'Données projet'!$E$11+1,1))</f>
        <v>332.93090933713466</v>
      </c>
      <c r="BJ113" s="59">
        <f t="shared" si="92"/>
        <v>251.83579649532973</v>
      </c>
      <c r="BK113" s="15">
        <f>IF(ISNA(VLOOKUP(A113,'Données projet'!$A$87:$I$107,3,0)),0,VLOOKUP(A113,'Données projet'!$A$87:$I$107,3,0))</f>
        <v>11</v>
      </c>
      <c r="BL113" s="15">
        <f>IF(ISNA(VLOOKUP(A113,'Données projet'!$A$87:$I$107,4,0)),0,VLOOKUP(A113,'Données projet'!$A$87:$I$107,4,0))</f>
        <v>13.9</v>
      </c>
      <c r="BM113" s="16">
        <f>IF(ISNA(VLOOKUP(A113,'Données projet'!$A$87:$I$107,5,0)),0%,VLOOKUP(A113,'Données projet'!$A$87:$I$107,5,0)*VLOOKUP('Données projet'!$B$11,Paramètres!$A$1:$I$89,7,0))</f>
        <v>0.45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24.751119191479404</v>
      </c>
      <c r="BQ113" s="21">
        <f>EXP(-LN(2)/25)*BQ112+(1-EXP(-LN(2)/25))/(LN(2)/25)*Calculateur!BL113*Calculateur!BN113*VLOOKUP('Données projet'!$B$11,Paramètres!$A$1:$I$89,3,0)*0.475*44/12</f>
        <v>0.75683314010295755</v>
      </c>
      <c r="BR113" s="21">
        <f>EXP(-LN(2)/2)*BR112+(1-EXP(-LN(2)/2))/(LN(2)/2)*BL113*BO113*VLOOKUP('Données projet'!$B$11,Paramètres!$A$1:$I$89,3,0)*0.475*44/12</f>
        <v>2.4472872788376325E-15</v>
      </c>
      <c r="BS113" s="22">
        <f t="shared" si="63"/>
        <v>25.507952331582366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8.2550000000000008</v>
      </c>
      <c r="BY113" s="12">
        <f>IF('Données projet'!$A$114&gt;35,BY112+BX113-CG112,IF(A113&lt;'Données projet'!$A$114,$BV$205^A113,IF(A113='Données projet'!$A$114,'Données projet'!$B$114,BY112+BX113-CG112)))</f>
        <v>391.54000000000019</v>
      </c>
      <c r="BZ113" s="13">
        <f>BY113*VLOOKUP('Données projet'!$B$12,Paramètres!$A$1:$I$89,3,0)*VLOOKUP('Données projet'!$B$12,Paramètres!$A$1:$I$89,5,0)</f>
        <v>445.8857520000002</v>
      </c>
      <c r="CA113" s="13">
        <f t="shared" si="93"/>
        <v>101.0196904474937</v>
      </c>
      <c r="CB113" s="20">
        <f t="shared" si="64"/>
        <v>952.52697892938522</v>
      </c>
      <c r="CC113" s="59">
        <f t="shared" si="65"/>
        <v>1237.837145635626</v>
      </c>
      <c r="CD113" s="59">
        <f ca="1">AVERAGE(OFFSET($CC$3,0,0,'Données projet'!$E$12+1,1))-AVERAGE(OFFSET($H$3,0,0,'Données projet'!$E$12+1,1))</f>
        <v>797.57191672067393</v>
      </c>
      <c r="CE113" s="59">
        <f t="shared" si="94"/>
        <v>238.59056544987126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117.72486882773002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117.72486882773002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>
        <f>CT113*VLOOKUP('Données projet'!$B$13,Paramètres!$A$1:$I$89,3,0)*VLOOKUP('Données projet'!$B$13,Paramètres!$A$1:$I$89,5,0)</f>
        <v>0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188.98184340090461</v>
      </c>
      <c r="CZ113" s="59">
        <f t="shared" si="96"/>
        <v>450.74604661797798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14.852198662424703</v>
      </c>
      <c r="DH113" s="21">
        <f>EXP(-LN(2)/2)*DH112+(1-EXP(-LN(2)/2))/(LN(2)/2)*DB113*DE113*VLOOKUP('Données projet'!$B$13,Paramètres!$A$1:$I$89,3,0)*0.475*44/12</f>
        <v>4.0892706240406271E-14</v>
      </c>
      <c r="DI113" s="22">
        <f t="shared" si="69"/>
        <v>14.852198662424744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369.00000000000011</v>
      </c>
      <c r="DP113" s="17">
        <f>DO113*VLOOKUP('Données projet'!$B$14,Paramètres!$A$1:$I$89,3,0)*VLOOKUP('Données projet'!$B$14,Paramètres!$A$1:$I$89,5,0)</f>
        <v>333.87120000000004</v>
      </c>
      <c r="DQ113" s="13">
        <f t="shared" si="97"/>
        <v>78.232360111376309</v>
      </c>
      <c r="DR113" s="20">
        <f t="shared" si="70"/>
        <v>717.74703386064709</v>
      </c>
      <c r="DS113" s="59">
        <f t="shared" si="71"/>
        <v>1003.057200566888</v>
      </c>
      <c r="DT113" s="59">
        <f ca="1">AVERAGE(OFFSET($DS$3,0,0,'Données projet'!$E$14+1,1))-AVERAGE(OFFSET($H$3,0,0,'Données projet'!$E$14+1,1))</f>
        <v>442.34161202733173</v>
      </c>
      <c r="DU113" s="59">
        <f t="shared" si="98"/>
        <v>622.90413492324399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2.167980097419429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2.167980097419429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8.2550000000000008</v>
      </c>
      <c r="EJ113" s="12">
        <f>IF('Données projet'!$A$192&gt;35,EJ112+EI113-ER112,IF(A113&lt;'Données projet'!$A$192,$EG$205^A113,IF(A113='Données projet'!$A$192,'Données projet'!$B$192,EJ112+EI113-ER112)))</f>
        <v>391.54000000000019</v>
      </c>
      <c r="EK113" s="17">
        <f>EJ113*VLOOKUP('Données projet'!$B$15,Paramètres!$A$1:$I$89,3,0)*VLOOKUP('Données projet'!$B$15,Paramètres!$A$1:$I$89,5,0)</f>
        <v>427.56168000000014</v>
      </c>
      <c r="EL113" s="13">
        <f t="shared" si="99"/>
        <v>97.342519390034767</v>
      </c>
      <c r="EM113" s="20">
        <f t="shared" si="73"/>
        <v>914.20814727097741</v>
      </c>
      <c r="EN113" s="59">
        <f t="shared" si="74"/>
        <v>1199.5183139772182</v>
      </c>
      <c r="EO113" s="59">
        <f ca="1">AVERAGE(OFFSET($EN$3,0,0,'Données projet'!$E$15+1,1))-AVERAGE(OFFSET($H$3,0,0,'Données projet'!$E$15+1,1))</f>
        <v>767.9449852393318</v>
      </c>
      <c r="EP113" s="59">
        <f t="shared" si="100"/>
        <v>230.95605490295961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112.88686051974109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112.88686051974109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67.811863647156599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3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11</v>
      </c>
      <c r="H114" s="66">
        <f t="shared" si="56"/>
        <v>212.66666666666666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188.98184340090461</v>
      </c>
      <c r="T114" s="59">
        <f t="shared" si="88"/>
        <v>450.74604661797798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10.118000000000006</v>
      </c>
      <c r="AI114" s="13">
        <f>IF('Données projet'!$A$62&gt;35,AI113+AH114-AQ113,IF(A114&lt;'Données projet'!$A$62,$AF$205^A114,IF(A114='Données projet'!$A$62,'Données projet'!$B$62,AI113+AH114-AQ113)))</f>
        <v>473.93799999999953</v>
      </c>
      <c r="AJ114" s="13">
        <f>AI114*VLOOKUP('Données projet'!$B$10,Paramètres!$A$1:$I$89,3,0)*VLOOKUP('Données projet'!$B$10,Paramètres!$A$1:$I$89,5,0)</f>
        <v>428.81910239999951</v>
      </c>
      <c r="AK114" s="13">
        <f t="shared" si="89"/>
        <v>97.59542964993237</v>
      </c>
      <c r="AL114" s="20">
        <f t="shared" si="58"/>
        <v>916.83864332029782</v>
      </c>
      <c r="AM114" s="59">
        <f t="shared" si="59"/>
        <v>1202.2879940304053</v>
      </c>
      <c r="AN114" s="59">
        <f ca="1">AVERAGE(OFFSET($AM$3,0,0,'Données projet'!$E$10+1,1))-AVERAGE(OFFSET($H$3,0,0,'Données projet'!$E$10+1,1))</f>
        <v>725.60981534362895</v>
      </c>
      <c r="AO114" s="59">
        <f t="shared" si="90"/>
        <v>265.16078167969272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143.24518424876916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143.24518424876916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1.5200000000000018</v>
      </c>
      <c r="BD114" s="12">
        <f>IF('Données projet'!$A$88&gt;35,BD113+BC114-BL113,IF(A114&lt;'Données projet'!$A$88,$BA$205^A114,IF(A114='Données projet'!$A$88,'Données projet'!$B$88,BD113+BC114-BL113)))</f>
        <v>135.12000000000003</v>
      </c>
      <c r="BE114" s="13">
        <f>BD114*VLOOKUP('Données projet'!$B$11,Paramètres!$A$1:$I$89,3,0)*VLOOKUP('Données projet'!$B$11,Paramètres!$A$1:$I$89,5,0)</f>
        <v>155.65824000000003</v>
      </c>
      <c r="BF114" s="13">
        <f t="shared" si="91"/>
        <v>39.861656856030883</v>
      </c>
      <c r="BG114" s="20">
        <f t="shared" si="61"/>
        <v>340.53048702425383</v>
      </c>
      <c r="BH114" s="59">
        <f t="shared" si="62"/>
        <v>625.97983773436135</v>
      </c>
      <c r="BI114" s="59">
        <f ca="1">AVERAGE(OFFSET($BH$3,0,0,'Données projet'!$E$11+1,1))-AVERAGE(OFFSET($H$3,0,0,'Données projet'!$E$11+1,1))</f>
        <v>332.93090933713466</v>
      </c>
      <c r="BJ114" s="59">
        <f t="shared" si="92"/>
        <v>251.83579649532973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24.265764840826524</v>
      </c>
      <c r="BQ114" s="21">
        <f>EXP(-LN(2)/25)*BQ113+(1-EXP(-LN(2)/25))/(LN(2)/25)*Calculateur!BL114*Calculateur!BN114*VLOOKUP('Données projet'!$B$11,Paramètres!$A$1:$I$89,3,0)*0.475*44/12</f>
        <v>0.73613749808671713</v>
      </c>
      <c r="BR114" s="21">
        <f>EXP(-LN(2)/2)*BR113+(1-EXP(-LN(2)/2))/(LN(2)/2)*BL114*BO114*VLOOKUP('Données projet'!$B$11,Paramètres!$A$1:$I$89,3,0)*0.475*44/12</f>
        <v>1.7304934303776632E-15</v>
      </c>
      <c r="BS114" s="22">
        <f t="shared" si="63"/>
        <v>25.00190233891324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8.2550000000000008</v>
      </c>
      <c r="BY114" s="12">
        <f>IF('Données projet'!$A$114&gt;35,BY113+BX114-CG113,IF(A114&lt;'Données projet'!$A$114,$BV$205^A114,IF(A114='Données projet'!$A$114,'Données projet'!$B$114,BY113+BX114-CG113)))</f>
        <v>399.79500000000019</v>
      </c>
      <c r="BZ114" s="13">
        <f>BY114*VLOOKUP('Données projet'!$B$12,Paramètres!$A$1:$I$89,3,0)*VLOOKUP('Données projet'!$B$12,Paramètres!$A$1:$I$89,5,0)</f>
        <v>455.28654600000016</v>
      </c>
      <c r="CA114" s="13">
        <f t="shared" si="93"/>
        <v>102.89932574272208</v>
      </c>
      <c r="CB114" s="20">
        <f t="shared" si="64"/>
        <v>972.17372661857451</v>
      </c>
      <c r="CC114" s="59">
        <f t="shared" si="65"/>
        <v>1257.623077328682</v>
      </c>
      <c r="CD114" s="59">
        <f ca="1">AVERAGE(OFFSET($CC$3,0,0,'Données projet'!$E$12+1,1))-AVERAGE(OFFSET($H$3,0,0,'Données projet'!$E$12+1,1))</f>
        <v>797.57191672067393</v>
      </c>
      <c r="CE114" s="59">
        <f t="shared" si="94"/>
        <v>238.59056544987126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115.41635595509806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115.41635595509806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>
        <f>CT114*VLOOKUP('Données projet'!$B$13,Paramètres!$A$1:$I$89,3,0)*VLOOKUP('Données projet'!$B$13,Paramètres!$A$1:$I$89,5,0)</f>
        <v>0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188.98184340090461</v>
      </c>
      <c r="CZ114" s="59">
        <f t="shared" si="96"/>
        <v>450.74604661797798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14.446064508957518</v>
      </c>
      <c r="DH114" s="21">
        <f>EXP(-LN(2)/2)*DH113+(1-EXP(-LN(2)/2))/(LN(2)/2)*DB114*DE114*VLOOKUP('Données projet'!$B$13,Paramètres!$A$1:$I$89,3,0)*0.475*44/12</f>
        <v>2.8915509883660724E-14</v>
      </c>
      <c r="DI114" s="22">
        <f t="shared" si="69"/>
        <v>14.446064508957546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369.00000000000011</v>
      </c>
      <c r="DP114" s="17">
        <f>DO114*VLOOKUP('Données projet'!$B$14,Paramètres!$A$1:$I$89,3,0)*VLOOKUP('Données projet'!$B$14,Paramètres!$A$1:$I$89,5,0)</f>
        <v>333.87120000000004</v>
      </c>
      <c r="DQ114" s="13">
        <f t="shared" si="97"/>
        <v>78.232360111376309</v>
      </c>
      <c r="DR114" s="20">
        <f t="shared" si="70"/>
        <v>717.74703386064709</v>
      </c>
      <c r="DS114" s="59">
        <f t="shared" si="71"/>
        <v>1003.1963845707546</v>
      </c>
      <c r="DT114" s="59">
        <f ca="1">AVERAGE(OFFSET($DS$3,0,0,'Données projet'!$E$14+1,1))-AVERAGE(OFFSET($H$3,0,0,'Données projet'!$E$14+1,1))</f>
        <v>442.34161202733173</v>
      </c>
      <c r="DU114" s="59">
        <f t="shared" si="98"/>
        <v>622.90413492324399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2.1254673300463236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2.1254673300463236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8.2550000000000008</v>
      </c>
      <c r="EJ114" s="12">
        <f>IF('Données projet'!$A$192&gt;35,EJ113+EI114-ER113,IF(A114&lt;'Données projet'!$A$192,$EG$205^A114,IF(A114='Données projet'!$A$192,'Données projet'!$B$192,EJ113+EI114-ER113)))</f>
        <v>399.79500000000019</v>
      </c>
      <c r="EK114" s="17">
        <f>EJ114*VLOOKUP('Données projet'!$B$15,Paramètres!$A$1:$I$89,3,0)*VLOOKUP('Données projet'!$B$15,Paramètres!$A$1:$I$89,5,0)</f>
        <v>436.57614000000018</v>
      </c>
      <c r="EL114" s="13">
        <f t="shared" si="99"/>
        <v>99.153734949708877</v>
      </c>
      <c r="EM114" s="20">
        <f t="shared" si="73"/>
        <v>933.06286553740983</v>
      </c>
      <c r="EN114" s="59">
        <f t="shared" si="74"/>
        <v>1218.5122162475172</v>
      </c>
      <c r="EO114" s="59">
        <f ca="1">AVERAGE(OFFSET($EN$3,0,0,'Données projet'!$E$15+1,1))-AVERAGE(OFFSET($H$3,0,0,'Données projet'!$E$15+1,1))</f>
        <v>767.9449852393318</v>
      </c>
      <c r="EP114" s="59">
        <f t="shared" si="100"/>
        <v>230.95605490295961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110.67321803913509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110.67321803913509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67.849822920938408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3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11</v>
      </c>
      <c r="H115" s="66">
        <f t="shared" si="56"/>
        <v>212.66666666666666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188.98184340090461</v>
      </c>
      <c r="T115" s="59">
        <f t="shared" si="88"/>
        <v>450.74604661797798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10.118000000000006</v>
      </c>
      <c r="AI115" s="13">
        <f>IF('Données projet'!$A$62&gt;35,AI114+AH115-AQ114,IF(A115&lt;'Données projet'!$A$62,$AF$205^A115,IF(A115='Données projet'!$A$62,'Données projet'!$B$62,AI114+AH115-AQ114)))</f>
        <v>484.05599999999953</v>
      </c>
      <c r="AJ115" s="13">
        <f>AI115*VLOOKUP('Données projet'!$B$10,Paramètres!$A$1:$I$89,3,0)*VLOOKUP('Données projet'!$B$10,Paramètres!$A$1:$I$89,5,0)</f>
        <v>437.97386879999954</v>
      </c>
      <c r="AK115" s="13">
        <f t="shared" si="89"/>
        <v>99.434179411722852</v>
      </c>
      <c r="AL115" s="20">
        <f t="shared" si="58"/>
        <v>935.98568396874987</v>
      </c>
      <c r="AM115" s="59">
        <f t="shared" si="59"/>
        <v>1221.5718041514258</v>
      </c>
      <c r="AN115" s="59">
        <f ca="1">AVERAGE(OFFSET($AM$3,0,0,'Données projet'!$E$10+1,1))-AVERAGE(OFFSET($H$3,0,0,'Données projet'!$E$10+1,1))</f>
        <v>725.60981534362895</v>
      </c>
      <c r="AO115" s="59">
        <f t="shared" si="90"/>
        <v>265.16078167969272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140.43623355658602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140.43623355658602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1.5200000000000018</v>
      </c>
      <c r="BD115" s="12">
        <f>IF('Données projet'!$A$88&gt;35,BD114+BC115-BL114,IF(A115&lt;'Données projet'!$A$88,$BA$205^A115,IF(A115='Données projet'!$A$88,'Données projet'!$B$88,BD114+BC115-BL114)))</f>
        <v>136.64000000000004</v>
      </c>
      <c r="BE115" s="13">
        <f>BD115*VLOOKUP('Données projet'!$B$11,Paramètres!$A$1:$I$89,3,0)*VLOOKUP('Données projet'!$B$11,Paramètres!$A$1:$I$89,5,0)</f>
        <v>157.40928000000005</v>
      </c>
      <c r="BF115" s="13">
        <f t="shared" si="91"/>
        <v>40.257617261355293</v>
      </c>
      <c r="BG115" s="20">
        <f t="shared" si="61"/>
        <v>344.26984606352721</v>
      </c>
      <c r="BH115" s="59">
        <f t="shared" si="62"/>
        <v>629.85596624620302</v>
      </c>
      <c r="BI115" s="59">
        <f ca="1">AVERAGE(OFFSET($BH$3,0,0,'Données projet'!$E$11+1,1))-AVERAGE(OFFSET($H$3,0,0,'Données projet'!$E$11+1,1))</f>
        <v>332.93090933713466</v>
      </c>
      <c r="BJ115" s="59">
        <f t="shared" si="92"/>
        <v>251.83579649532973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23.789927992953025</v>
      </c>
      <c r="BQ115" s="21">
        <f>EXP(-LN(2)/25)*BQ114+(1-EXP(-LN(2)/25))/(LN(2)/25)*Calculateur!BL115*Calculateur!BN115*VLOOKUP('Données projet'!$B$11,Paramètres!$A$1:$I$89,3,0)*0.475*44/12</f>
        <v>0.71600777948974725</v>
      </c>
      <c r="BR115" s="21">
        <f>EXP(-LN(2)/2)*BR114+(1-EXP(-LN(2)/2))/(LN(2)/2)*BL115*BO115*VLOOKUP('Données projet'!$B$11,Paramètres!$A$1:$I$89,3,0)*0.475*44/12</f>
        <v>1.2236436394188164E-15</v>
      </c>
      <c r="BS115" s="22">
        <f t="shared" si="63"/>
        <v>24.505935772442772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8.2550000000000008</v>
      </c>
      <c r="BY115" s="12">
        <f>IF('Données projet'!$A$114&gt;35,BY114+BX115-CG114,IF(A115&lt;'Données projet'!$A$114,$BV$205^A115,IF(A115='Données projet'!$A$114,'Données projet'!$B$114,BY114+BX115-CG114)))</f>
        <v>408.05000000000018</v>
      </c>
      <c r="BZ115" s="13">
        <f>BY115*VLOOKUP('Données projet'!$B$12,Paramètres!$A$1:$I$89,3,0)*VLOOKUP('Données projet'!$B$12,Paramètres!$A$1:$I$89,5,0)</f>
        <v>464.68734000000023</v>
      </c>
      <c r="CA115" s="13">
        <f t="shared" si="93"/>
        <v>104.77444853896704</v>
      </c>
      <c r="CB115" s="20">
        <f t="shared" si="64"/>
        <v>991.81261503870144</v>
      </c>
      <c r="CC115" s="59">
        <f t="shared" si="65"/>
        <v>1277.3987352213774</v>
      </c>
      <c r="CD115" s="59">
        <f ca="1">AVERAGE(OFFSET($CC$3,0,0,'Données projet'!$E$12+1,1))-AVERAGE(OFFSET($H$3,0,0,'Données projet'!$E$12+1,1))</f>
        <v>797.57191672067393</v>
      </c>
      <c r="CE115" s="59">
        <f t="shared" si="94"/>
        <v>238.59056544987126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113.15311161184458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113.15311161184458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>
        <f>CT115*VLOOKUP('Données projet'!$B$13,Paramètres!$A$1:$I$89,3,0)*VLOOKUP('Données projet'!$B$13,Paramètres!$A$1:$I$89,5,0)</f>
        <v>0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188.98184340090461</v>
      </c>
      <c r="CZ115" s="59">
        <f t="shared" si="96"/>
        <v>450.74604661797798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14.05103611527456</v>
      </c>
      <c r="DH115" s="21">
        <f>EXP(-LN(2)/2)*DH114+(1-EXP(-LN(2)/2))/(LN(2)/2)*DB115*DE115*VLOOKUP('Données projet'!$B$13,Paramètres!$A$1:$I$89,3,0)*0.475*44/12</f>
        <v>2.0446353120203136E-14</v>
      </c>
      <c r="DI115" s="22">
        <f t="shared" si="69"/>
        <v>14.051036115274581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369.00000000000011</v>
      </c>
      <c r="DP115" s="17">
        <f>DO115*VLOOKUP('Données projet'!$B$14,Paramètres!$A$1:$I$89,3,0)*VLOOKUP('Données projet'!$B$14,Paramètres!$A$1:$I$89,5,0)</f>
        <v>333.87120000000004</v>
      </c>
      <c r="DQ115" s="13">
        <f t="shared" si="97"/>
        <v>78.232360111376309</v>
      </c>
      <c r="DR115" s="20">
        <f t="shared" si="70"/>
        <v>717.74703386064709</v>
      </c>
      <c r="DS115" s="59">
        <f t="shared" si="71"/>
        <v>1003.333154043323</v>
      </c>
      <c r="DT115" s="59">
        <f ca="1">AVERAGE(OFFSET($DS$3,0,0,'Données projet'!$E$14+1,1))-AVERAGE(OFFSET($H$3,0,0,'Données projet'!$E$14+1,1))</f>
        <v>442.34161202733173</v>
      </c>
      <c r="DU115" s="59">
        <f t="shared" si="98"/>
        <v>622.90413492324399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2.0837882121111768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2.0837882121111768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8.2550000000000008</v>
      </c>
      <c r="EJ115" s="12">
        <f>IF('Données projet'!$A$192&gt;35,EJ114+EI115-ER114,IF(A115&lt;'Données projet'!$A$192,$EG$205^A115,IF(A115='Données projet'!$A$192,'Données projet'!$B$192,EJ114+EI115-ER114)))</f>
        <v>408.05000000000018</v>
      </c>
      <c r="EK115" s="17">
        <f>EJ115*VLOOKUP('Données projet'!$B$15,Paramètres!$A$1:$I$89,3,0)*VLOOKUP('Données projet'!$B$15,Paramètres!$A$1:$I$89,5,0)</f>
        <v>445.59060000000017</v>
      </c>
      <c r="EL115" s="13">
        <f t="shared" si="99"/>
        <v>100.96060226778923</v>
      </c>
      <c r="EM115" s="20">
        <f t="shared" si="73"/>
        <v>951.91001061639997</v>
      </c>
      <c r="EN115" s="59">
        <f t="shared" si="74"/>
        <v>1237.4961307990759</v>
      </c>
      <c r="EO115" s="59">
        <f ca="1">AVERAGE(OFFSET($EN$3,0,0,'Données projet'!$E$15+1,1))-AVERAGE(OFFSET($H$3,0,0,'Données projet'!$E$15+1,1))</f>
        <v>767.9449852393318</v>
      </c>
      <c r="EP115" s="59">
        <f t="shared" si="100"/>
        <v>230.95605490295961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108.50298373738519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108.50298373738519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67.887123686184324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3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11</v>
      </c>
      <c r="H116" s="66">
        <f t="shared" si="56"/>
        <v>212.66666666666666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188.98184340090461</v>
      </c>
      <c r="T116" s="59">
        <f t="shared" si="88"/>
        <v>450.74604661797798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10.118000000000006</v>
      </c>
      <c r="AI116" s="13">
        <f>IF('Données projet'!$A$62&gt;35,AI115+AH116-AQ115,IF(A116&lt;'Données projet'!$A$62,$AF$205^A116,IF(A116='Données projet'!$A$62,'Données projet'!$B$62,AI115+AH116-AQ115)))</f>
        <v>494.17399999999952</v>
      </c>
      <c r="AJ116" s="13">
        <f>AI116*VLOOKUP('Données projet'!$B$10,Paramètres!$A$1:$I$89,3,0)*VLOOKUP('Données projet'!$B$10,Paramètres!$A$1:$I$89,5,0)</f>
        <v>447.12863519999956</v>
      </c>
      <c r="AK116" s="13">
        <f t="shared" si="89"/>
        <v>101.26846048706624</v>
      </c>
      <c r="AL116" s="20">
        <f t="shared" si="58"/>
        <v>955.12494165497276</v>
      </c>
      <c r="AM116" s="59">
        <f t="shared" si="59"/>
        <v>1240.8454586656387</v>
      </c>
      <c r="AN116" s="59">
        <f ca="1">AVERAGE(OFFSET($AM$3,0,0,'Données projet'!$E$10+1,1))-AVERAGE(OFFSET($H$3,0,0,'Données projet'!$E$10+1,1))</f>
        <v>725.60981534362895</v>
      </c>
      <c r="AO116" s="59">
        <f t="shared" si="90"/>
        <v>265.16078167969272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137.68236467418583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137.68236467418583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1.5200000000000018</v>
      </c>
      <c r="BD116" s="12">
        <f>IF('Données projet'!$A$88&gt;35,BD115+BC116-BL115,IF(A116&lt;'Données projet'!$A$88,$BA$205^A116,IF(A116='Données projet'!$A$88,'Données projet'!$B$88,BD115+BC116-BL115)))</f>
        <v>138.16000000000005</v>
      </c>
      <c r="BE116" s="13">
        <f>BD116*VLOOKUP('Données projet'!$B$11,Paramètres!$A$1:$I$89,3,0)*VLOOKUP('Données projet'!$B$11,Paramètres!$A$1:$I$89,5,0)</f>
        <v>159.16032000000007</v>
      </c>
      <c r="BF116" s="13">
        <f t="shared" si="91"/>
        <v>40.653065278850484</v>
      </c>
      <c r="BG116" s="20">
        <f t="shared" si="61"/>
        <v>348.00831269399799</v>
      </c>
      <c r="BH116" s="59">
        <f t="shared" si="62"/>
        <v>633.72882970466389</v>
      </c>
      <c r="BI116" s="59">
        <f ca="1">AVERAGE(OFFSET($BH$3,0,0,'Données projet'!$E$11+1,1))-AVERAGE(OFFSET($H$3,0,0,'Données projet'!$E$11+1,1))</f>
        <v>332.93090933713466</v>
      </c>
      <c r="BJ116" s="59">
        <f t="shared" si="92"/>
        <v>251.83579649532973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23.323422015434506</v>
      </c>
      <c r="BQ116" s="21">
        <f>EXP(-LN(2)/25)*BQ115+(1-EXP(-LN(2)/25))/(LN(2)/25)*Calculateur!BL116*Calculateur!BN116*VLOOKUP('Données projet'!$B$11,Paramètres!$A$1:$I$89,3,0)*0.475*44/12</f>
        <v>0.69642850910638743</v>
      </c>
      <c r="BR116" s="21">
        <f>EXP(-LN(2)/2)*BR115+(1-EXP(-LN(2)/2))/(LN(2)/2)*BL116*BO116*VLOOKUP('Données projet'!$B$11,Paramètres!$A$1:$I$89,3,0)*0.475*44/12</f>
        <v>8.6524671518883171E-16</v>
      </c>
      <c r="BS116" s="22">
        <f t="shared" si="63"/>
        <v>24.019850524540892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8.2550000000000008</v>
      </c>
      <c r="BY116" s="12">
        <f>IF('Données projet'!$A$114&gt;35,BY115+BX116-CG115,IF(A116&lt;'Données projet'!$A$114,$BV$205^A116,IF(A116='Données projet'!$A$114,'Données projet'!$B$114,BY115+BX116-CG115)))</f>
        <v>416.30500000000018</v>
      </c>
      <c r="BZ116" s="13">
        <f>BY116*VLOOKUP('Données projet'!$B$12,Paramètres!$A$1:$I$89,3,0)*VLOOKUP('Données projet'!$B$12,Paramètres!$A$1:$I$89,5,0)</f>
        <v>474.0881340000002</v>
      </c>
      <c r="CA116" s="13">
        <f t="shared" si="93"/>
        <v>106.64516064593805</v>
      </c>
      <c r="CB116" s="20">
        <f t="shared" si="64"/>
        <v>1011.4438215083425</v>
      </c>
      <c r="CC116" s="59">
        <f t="shared" si="65"/>
        <v>1297.1643385190084</v>
      </c>
      <c r="CD116" s="59">
        <f ca="1">AVERAGE(OFFSET($CC$3,0,0,'Données projet'!$E$12+1,1))-AVERAGE(OFFSET($H$3,0,0,'Données projet'!$E$12+1,1))</f>
        <v>797.57191672067393</v>
      </c>
      <c r="CE116" s="59">
        <f t="shared" si="94"/>
        <v>238.59056544987126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110.93424810971958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110.93424810971958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>
        <f>CT116*VLOOKUP('Données projet'!$B$13,Paramètres!$A$1:$I$89,3,0)*VLOOKUP('Données projet'!$B$13,Paramètres!$A$1:$I$89,5,0)</f>
        <v>0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188.98184340090461</v>
      </c>
      <c r="CZ116" s="59">
        <f t="shared" si="96"/>
        <v>450.74604661797798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13.666809793790501</v>
      </c>
      <c r="DH116" s="21">
        <f>EXP(-LN(2)/2)*DH115+(1-EXP(-LN(2)/2))/(LN(2)/2)*DB116*DE116*VLOOKUP('Données projet'!$B$13,Paramètres!$A$1:$I$89,3,0)*0.475*44/12</f>
        <v>1.4457754941830362E-14</v>
      </c>
      <c r="DI116" s="22">
        <f t="shared" si="69"/>
        <v>13.666809793790515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369.00000000000011</v>
      </c>
      <c r="DP116" s="17">
        <f>DO116*VLOOKUP('Données projet'!$B$14,Paramètres!$A$1:$I$89,3,0)*VLOOKUP('Données projet'!$B$14,Paramètres!$A$1:$I$89,5,0)</f>
        <v>333.87120000000004</v>
      </c>
      <c r="DQ116" s="13">
        <f t="shared" si="97"/>
        <v>78.232360111376309</v>
      </c>
      <c r="DR116" s="20">
        <f t="shared" si="70"/>
        <v>717.74703386064709</v>
      </c>
      <c r="DS116" s="59">
        <f t="shared" si="71"/>
        <v>1003.4675508713131</v>
      </c>
      <c r="DT116" s="59">
        <f ca="1">AVERAGE(OFFSET($DS$3,0,0,'Données projet'!$E$14+1,1))-AVERAGE(OFFSET($H$3,0,0,'Données projet'!$E$14+1,1))</f>
        <v>442.34161202733173</v>
      </c>
      <c r="DU116" s="59">
        <f t="shared" si="98"/>
        <v>622.90413492324399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2.0429263962569868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2.0429263962569868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8.2550000000000008</v>
      </c>
      <c r="EJ116" s="12">
        <f>IF('Données projet'!$A$192&gt;35,EJ115+EI116-ER115,IF(A116&lt;'Données projet'!$A$192,$EG$205^A116,IF(A116='Données projet'!$A$192,'Données projet'!$B$192,EJ115+EI116-ER115)))</f>
        <v>416.30500000000018</v>
      </c>
      <c r="EK116" s="17">
        <f>EJ116*VLOOKUP('Données projet'!$B$15,Paramètres!$A$1:$I$89,3,0)*VLOOKUP('Données projet'!$B$15,Paramètres!$A$1:$I$89,5,0)</f>
        <v>454.60506000000021</v>
      </c>
      <c r="EL116" s="13">
        <f t="shared" si="99"/>
        <v>102.76321944805714</v>
      </c>
      <c r="EM116" s="20">
        <f t="shared" si="73"/>
        <v>970.7497533720333</v>
      </c>
      <c r="EN116" s="59">
        <f t="shared" si="74"/>
        <v>1256.4702703826993</v>
      </c>
      <c r="EO116" s="59">
        <f ca="1">AVERAGE(OFFSET($EN$3,0,0,'Données projet'!$E$15+1,1))-AVERAGE(OFFSET($H$3,0,0,'Données projet'!$E$15+1,1))</f>
        <v>767.9449852393318</v>
      </c>
      <c r="EP116" s="59">
        <f t="shared" si="100"/>
        <v>230.95605490295961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106.37530640658039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106.37530640658039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67.923777366545238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3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11</v>
      </c>
      <c r="H117" s="66">
        <f t="shared" si="56"/>
        <v>212.66666666666666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188.98184340090461</v>
      </c>
      <c r="T117" s="59">
        <f t="shared" si="88"/>
        <v>450.74604661797798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10.118000000000006</v>
      </c>
      <c r="AI117" s="13">
        <f>IF('Données projet'!$A$62&gt;35,AI116+AH117-AQ116,IF(A117&lt;'Données projet'!$A$62,$AF$205^A117,IF(A117='Données projet'!$A$62,'Données projet'!$B$62,AI116+AH117-AQ116)))</f>
        <v>504.29199999999952</v>
      </c>
      <c r="AJ117" s="13">
        <f>AI117*VLOOKUP('Données projet'!$B$10,Paramètres!$A$1:$I$89,3,0)*VLOOKUP('Données projet'!$B$10,Paramètres!$A$1:$I$89,5,0)</f>
        <v>456.28340159999954</v>
      </c>
      <c r="AK117" s="13">
        <f t="shared" si="89"/>
        <v>103.09837491311735</v>
      </c>
      <c r="AL117" s="20">
        <f t="shared" si="58"/>
        <v>974.25659409367847</v>
      </c>
      <c r="AM117" s="59">
        <f t="shared" si="59"/>
        <v>1260.1091764478351</v>
      </c>
      <c r="AN117" s="59">
        <f ca="1">AVERAGE(OFFSET($AM$3,0,0,'Données projet'!$E$10+1,1))-AVERAGE(OFFSET($H$3,0,0,'Données projet'!$E$10+1,1))</f>
        <v>725.60981534362895</v>
      </c>
      <c r="AO117" s="59">
        <f t="shared" si="90"/>
        <v>265.16078167969272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134.98249748087537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134.98249748087537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1.5200000000000018</v>
      </c>
      <c r="BD117" s="12">
        <f>IF('Données projet'!$A$88&gt;35,BD116+BC117-BL116,IF(A117&lt;'Données projet'!$A$88,$BA$205^A117,IF(A117='Données projet'!$A$88,'Données projet'!$B$88,BD116+BC117-BL116)))</f>
        <v>139.68000000000006</v>
      </c>
      <c r="BE117" s="13">
        <f>BD117*VLOOKUP('Données projet'!$B$11,Paramètres!$A$1:$I$89,3,0)*VLOOKUP('Données projet'!$B$11,Paramètres!$A$1:$I$89,5,0)</f>
        <v>160.91136000000009</v>
      </c>
      <c r="BF117" s="13">
        <f t="shared" si="91"/>
        <v>41.048007198064738</v>
      </c>
      <c r="BG117" s="20">
        <f t="shared" si="61"/>
        <v>351.74589786996285</v>
      </c>
      <c r="BH117" s="59">
        <f t="shared" si="62"/>
        <v>637.59848022411938</v>
      </c>
      <c r="BI117" s="59">
        <f ca="1">AVERAGE(OFFSET($BH$3,0,0,'Données projet'!$E$11+1,1))-AVERAGE(OFFSET($H$3,0,0,'Données projet'!$E$11+1,1))</f>
        <v>332.93090933713466</v>
      </c>
      <c r="BJ117" s="59">
        <f t="shared" si="92"/>
        <v>251.83579649532973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22.866063935594575</v>
      </c>
      <c r="BQ117" s="21">
        <f>EXP(-LN(2)/25)*BQ116+(1-EXP(-LN(2)/25))/(LN(2)/25)*Calculateur!BL117*Calculateur!BN117*VLOOKUP('Données projet'!$B$11,Paramètres!$A$1:$I$89,3,0)*0.475*44/12</f>
        <v>0.67738463490128964</v>
      </c>
      <c r="BR117" s="21">
        <f>EXP(-LN(2)/2)*BR116+(1-EXP(-LN(2)/2))/(LN(2)/2)*BL117*BO117*VLOOKUP('Données projet'!$B$11,Paramètres!$A$1:$I$89,3,0)*0.475*44/12</f>
        <v>6.1182181970940831E-16</v>
      </c>
      <c r="BS117" s="22">
        <f t="shared" si="63"/>
        <v>23.543448570495865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>
        <f>VLOOKUP(A117,'Données projet'!$A$113:$I$133,2,0)</f>
        <v>424.56</v>
      </c>
      <c r="BW117" s="12">
        <f>VLOOKUP(A117,'Données projet'!$A$113:$I$133,9,0)</f>
        <v>8.2550000000000008</v>
      </c>
      <c r="BX117" s="12">
        <f t="array" ref="BX117">INDEX(BW:BW,MIN(IF(ISNUMBER(BW117:BW313),ROW(BW117:BW313),"")))</f>
        <v>8.2550000000000008</v>
      </c>
      <c r="BY117" s="12">
        <f>IF('Données projet'!$A$114&gt;35,BY116+BX117-CG116,IF(A117&lt;'Données projet'!$A$114,$BV$205^A117,IF(A117='Données projet'!$A$114,'Données projet'!$B$114,BY116+BX117-CG116)))</f>
        <v>424.56000000000017</v>
      </c>
      <c r="BZ117" s="13">
        <f>BY117*VLOOKUP('Données projet'!$B$12,Paramètres!$A$1:$I$89,3,0)*VLOOKUP('Données projet'!$B$12,Paramètres!$A$1:$I$89,5,0)</f>
        <v>483.48892800000021</v>
      </c>
      <c r="CA117" s="13">
        <f t="shared" si="93"/>
        <v>108.51155960483104</v>
      </c>
      <c r="CB117" s="20">
        <f t="shared" si="64"/>
        <v>1031.0675159117477</v>
      </c>
      <c r="CC117" s="59">
        <f t="shared" si="65"/>
        <v>1316.9200982659042</v>
      </c>
      <c r="CD117" s="59">
        <f ca="1">AVERAGE(OFFSET($CC$3,0,0,'Données projet'!$E$12+1,1))-AVERAGE(OFFSET($H$3,0,0,'Données projet'!$E$12+1,1))</f>
        <v>797.57191672067393</v>
      </c>
      <c r="CE117" s="59">
        <f t="shared" si="94"/>
        <v>238.59056544987126</v>
      </c>
      <c r="CF117" s="15">
        <f>IF(ISNA(VLOOKUP(A117,'Données projet'!$A$113:$I$133,3,0)),0,VLOOKUP(A117,'Données projet'!$A$113:$I$133,3,0))</f>
        <v>9</v>
      </c>
      <c r="CG117" s="15">
        <f>IF(ISNA(VLOOKUP(A117,'Données projet'!$A$113:$I$133,4,0)),0,VLOOKUP(A117,'Données projet'!$A$113:$I$133,4,0))</f>
        <v>56.07</v>
      </c>
      <c r="CH117" s="16">
        <f>IF(ISNA(VLOOKUP(A117,'Données projet'!$A$113:$I$133,5,0)),0%,VLOOKUP(A117,'Données projet'!$A$113:$I$133,5,0)*VLOOKUP('Données projet'!$B$12,Paramètres!$A$1:$I$89,7,0))</f>
        <v>0.43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139.11133315905926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139.11133315905926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>
        <f>CT117*VLOOKUP('Données projet'!$B$13,Paramètres!$A$1:$I$89,3,0)*VLOOKUP('Données projet'!$B$13,Paramètres!$A$1:$I$89,5,0)</f>
        <v>0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188.98184340090461</v>
      </c>
      <c r="CZ117" s="59">
        <f t="shared" si="96"/>
        <v>450.74604661797798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13.293090161273009</v>
      </c>
      <c r="DH117" s="21">
        <f>EXP(-LN(2)/2)*DH116+(1-EXP(-LN(2)/2))/(LN(2)/2)*DB117*DE117*VLOOKUP('Données projet'!$B$13,Paramètres!$A$1:$I$89,3,0)*0.475*44/12</f>
        <v>1.0223176560101568E-14</v>
      </c>
      <c r="DI117" s="22">
        <f t="shared" si="69"/>
        <v>13.293090161273019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369.00000000000011</v>
      </c>
      <c r="DP117" s="17">
        <f>DO117*VLOOKUP('Données projet'!$B$14,Paramètres!$A$1:$I$89,3,0)*VLOOKUP('Données projet'!$B$14,Paramètres!$A$1:$I$89,5,0)</f>
        <v>333.87120000000004</v>
      </c>
      <c r="DQ117" s="13">
        <f t="shared" si="97"/>
        <v>78.232360111376309</v>
      </c>
      <c r="DR117" s="20">
        <f t="shared" si="70"/>
        <v>717.74703386064709</v>
      </c>
      <c r="DS117" s="59">
        <f t="shared" si="71"/>
        <v>1003.5996162148037</v>
      </c>
      <c r="DT117" s="59">
        <f ca="1">AVERAGE(OFFSET($DS$3,0,0,'Données projet'!$E$14+1,1))-AVERAGE(OFFSET($H$3,0,0,'Données projet'!$E$14+1,1))</f>
        <v>442.34161202733173</v>
      </c>
      <c r="DU117" s="59">
        <f t="shared" si="98"/>
        <v>622.90413492324399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2.0028658556884507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2.0028658556884507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>
        <f>VLOOKUP(A117,'Données projet'!$A$191:$I$211,2,0)</f>
        <v>424.56</v>
      </c>
      <c r="EH117" s="12">
        <f>VLOOKUP(A117,'Données projet'!$A$191:$I$211,9,0)</f>
        <v>8.2550000000000008</v>
      </c>
      <c r="EI117" s="12">
        <f t="array" ref="EI117">INDEX(EH:EH,MIN(IF(ISNUMBER(EH117:EH313),ROW(EH117:EH313),"")))</f>
        <v>8.2550000000000008</v>
      </c>
      <c r="EJ117" s="12">
        <f>IF('Données projet'!$A$192&gt;35,EJ116+EI117-ER116,IF(A117&lt;'Données projet'!$A$192,$EG$205^A117,IF(A117='Données projet'!$A$192,'Données projet'!$B$192,EJ116+EI117-ER116)))</f>
        <v>424.56000000000017</v>
      </c>
      <c r="EK117" s="17">
        <f>EJ117*VLOOKUP('Données projet'!$B$15,Paramètres!$A$1:$I$89,3,0)*VLOOKUP('Données projet'!$B$15,Paramètres!$A$1:$I$89,5,0)</f>
        <v>463.61952000000019</v>
      </c>
      <c r="EL117" s="13">
        <f t="shared" si="99"/>
        <v>104.56168048115646</v>
      </c>
      <c r="EM117" s="20">
        <f t="shared" si="73"/>
        <v>989.58225750468102</v>
      </c>
      <c r="EN117" s="59">
        <f t="shared" si="74"/>
        <v>1275.4348398588377</v>
      </c>
      <c r="EO117" s="59">
        <f ca="1">AVERAGE(OFFSET($EN$3,0,0,'Données projet'!$E$15+1,1))-AVERAGE(OFFSET($H$3,0,0,'Données projet'!$E$15+1,1))</f>
        <v>767.9449852393318</v>
      </c>
      <c r="EP117" s="59">
        <f t="shared" si="100"/>
        <v>230.95605490295961</v>
      </c>
      <c r="EQ117" s="15">
        <f>IF(ISNA(VLOOKUP(A117,'Données projet'!$A$191:$I$211,3,0)),0,VLOOKUP(A117,'Données projet'!$A$191:$I$211,3,0))</f>
        <v>9</v>
      </c>
      <c r="ER117" s="15">
        <f>IF(ISNA(VLOOKUP(A117,'Données projet'!$A$191:$I$211,4,0)),0,VLOOKUP(A117,'Données projet'!$A$191:$I$211,4,0))</f>
        <v>56.07</v>
      </c>
      <c r="ES117" s="16">
        <f>IF(ISNA(VLOOKUP(A117,'Données projet'!$A$191:$I$211,5,0)),0%,VLOOKUP(A117,'Données projet'!$A$191:$I$211,5,0)*VLOOKUP('Données projet'!$B$15,Paramètres!$A$1:$I$89,7,0))</f>
        <v>0.43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133.39442905663213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133.39442905663213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67.959795187497264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3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11</v>
      </c>
      <c r="H118" s="66">
        <f t="shared" si="56"/>
        <v>212.66666666666666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188.98184340090461</v>
      </c>
      <c r="T118" s="59">
        <f t="shared" si="88"/>
        <v>450.74604661797798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10.118000000000006</v>
      </c>
      <c r="AI118" s="13">
        <f>IF('Données projet'!$A$62&gt;35,AI117+AH118-AQ117,IF(A118&lt;'Données projet'!$A$62,$AF$205^A118,IF(A118='Données projet'!$A$62,'Données projet'!$B$62,AI117+AH118-AQ117)))</f>
        <v>514.40999999999951</v>
      </c>
      <c r="AJ118" s="13">
        <f>AI118*VLOOKUP('Données projet'!$B$10,Paramètres!$A$1:$I$89,3,0)*VLOOKUP('Données projet'!$B$10,Paramètres!$A$1:$I$89,5,0)</f>
        <v>465.43816799999956</v>
      </c>
      <c r="AK118" s="13">
        <f t="shared" si="89"/>
        <v>104.92402039841517</v>
      </c>
      <c r="AL118" s="20">
        <f t="shared" si="58"/>
        <v>993.3808114605722</v>
      </c>
      <c r="AM118" s="59">
        <f t="shared" si="59"/>
        <v>1279.3631681197639</v>
      </c>
      <c r="AN118" s="59">
        <f ca="1">AVERAGE(OFFSET($AM$3,0,0,'Données projet'!$E$10+1,1))-AVERAGE(OFFSET($H$3,0,0,'Données projet'!$E$10+1,1))</f>
        <v>725.60981534362895</v>
      </c>
      <c r="AO118" s="59">
        <f t="shared" si="90"/>
        <v>265.16078167969272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132.33557303646933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132.33557303646933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1.5200000000000018</v>
      </c>
      <c r="BD118" s="12">
        <f>IF('Données projet'!$A$88&gt;35,BD117+BC118-BL117,IF(A118&lt;'Données projet'!$A$88,$BA$205^A118,IF(A118='Données projet'!$A$88,'Données projet'!$B$88,BD117+BC118-BL117)))</f>
        <v>141.20000000000007</v>
      </c>
      <c r="BE118" s="13">
        <f>BD118*VLOOKUP('Données projet'!$B$11,Paramètres!$A$1:$I$89,3,0)*VLOOKUP('Données projet'!$B$11,Paramètres!$A$1:$I$89,5,0)</f>
        <v>162.66240000000008</v>
      </c>
      <c r="BF118" s="13">
        <f t="shared" si="91"/>
        <v>41.442449163776914</v>
      </c>
      <c r="BG118" s="20">
        <f t="shared" si="61"/>
        <v>355.48261229357826</v>
      </c>
      <c r="BH118" s="59">
        <f t="shared" si="62"/>
        <v>641.46496895276994</v>
      </c>
      <c r="BI118" s="59">
        <f ca="1">AVERAGE(OFFSET($BH$3,0,0,'Données projet'!$E$11+1,1))-AVERAGE(OFFSET($H$3,0,0,'Données projet'!$E$11+1,1))</f>
        <v>332.93090933713466</v>
      </c>
      <c r="BJ118" s="59">
        <f t="shared" si="92"/>
        <v>251.83579649532973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22.417674368739423</v>
      </c>
      <c r="BQ118" s="21">
        <f>EXP(-LN(2)/25)*BQ117+(1-EXP(-LN(2)/25))/(LN(2)/25)*Calculateur!BL118*Calculateur!BN118*VLOOKUP('Données projet'!$B$11,Paramètres!$A$1:$I$89,3,0)*0.475*44/12</f>
        <v>0.65886151643780411</v>
      </c>
      <c r="BR118" s="21">
        <f>EXP(-LN(2)/2)*BR117+(1-EXP(-LN(2)/2))/(LN(2)/2)*BL118*BO118*VLOOKUP('Données projet'!$B$11,Paramètres!$A$1:$I$89,3,0)*0.475*44/12</f>
        <v>4.3262335759441596E-16</v>
      </c>
      <c r="BS118" s="22">
        <f t="shared" si="63"/>
        <v>23.076535885177226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8.3369999999999997</v>
      </c>
      <c r="BY118" s="12">
        <f>IF('Données projet'!$A$114&gt;35,BY117+BX118-CG117,IF(A118&lt;'Données projet'!$A$114,$BV$205^A118,IF(A118='Données projet'!$A$114,'Données projet'!$B$114,BY117+BX118-CG117)))</f>
        <v>376.82700000000017</v>
      </c>
      <c r="BZ118" s="13">
        <f>BY118*VLOOKUP('Données projet'!$B$12,Paramètres!$A$1:$I$89,3,0)*VLOOKUP('Données projet'!$B$12,Paramètres!$A$1:$I$89,5,0)</f>
        <v>429.13058760000018</v>
      </c>
      <c r="CA118" s="13">
        <f t="shared" si="93"/>
        <v>97.658066531096011</v>
      </c>
      <c r="CB118" s="20">
        <f t="shared" si="64"/>
        <v>917.49023927832593</v>
      </c>
      <c r="CC118" s="59">
        <f t="shared" si="65"/>
        <v>1203.4725959375176</v>
      </c>
      <c r="CD118" s="59">
        <f ca="1">AVERAGE(OFFSET($CC$3,0,0,'Données projet'!$E$12+1,1))-AVERAGE(OFFSET($H$3,0,0,'Données projet'!$E$12+1,1))</f>
        <v>797.57191672067393</v>
      </c>
      <c r="CE118" s="59">
        <f t="shared" si="94"/>
        <v>238.59056544987126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136.38344476534513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136.38344476534513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>
        <f>CT118*VLOOKUP('Données projet'!$B$13,Paramètres!$A$1:$I$89,3,0)*VLOOKUP('Données projet'!$B$13,Paramètres!$A$1:$I$89,5,0)</f>
        <v>0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188.98184340090461</v>
      </c>
      <c r="CZ118" s="59">
        <f t="shared" si="96"/>
        <v>450.74604661797798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12.929589911759768</v>
      </c>
      <c r="DH118" s="21">
        <f>EXP(-LN(2)/2)*DH117+(1-EXP(-LN(2)/2))/(LN(2)/2)*DB118*DE118*VLOOKUP('Données projet'!$B$13,Paramètres!$A$1:$I$89,3,0)*0.475*44/12</f>
        <v>7.2288774709151809E-15</v>
      </c>
      <c r="DI118" s="22">
        <f t="shared" si="69"/>
        <v>12.929589911759775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369.00000000000011</v>
      </c>
      <c r="DP118" s="17">
        <f>DO118*VLOOKUP('Données projet'!$B$14,Paramètres!$A$1:$I$89,3,0)*VLOOKUP('Données projet'!$B$14,Paramètres!$A$1:$I$89,5,0)</f>
        <v>333.87120000000004</v>
      </c>
      <c r="DQ118" s="13">
        <f t="shared" si="97"/>
        <v>78.232360111376309</v>
      </c>
      <c r="DR118" s="20">
        <f t="shared" si="70"/>
        <v>717.74703386064709</v>
      </c>
      <c r="DS118" s="59">
        <f t="shared" si="71"/>
        <v>1003.7293905198387</v>
      </c>
      <c r="DT118" s="59">
        <f ca="1">AVERAGE(OFFSET($DS$3,0,0,'Données projet'!$E$14+1,1))-AVERAGE(OFFSET($H$3,0,0,'Données projet'!$E$14+1,1))</f>
        <v>442.34161202733173</v>
      </c>
      <c r="DU118" s="59">
        <f t="shared" si="98"/>
        <v>622.90413492324399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1.9635908778859463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1.9635908778859463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8.3369999999999997</v>
      </c>
      <c r="EJ118" s="12">
        <f>IF('Données projet'!$A$192&gt;35,EJ117+EI118-ER117,IF(A118&lt;'Données projet'!$A$192,$EG$205^A118,IF(A118='Données projet'!$A$192,'Données projet'!$B$192,EJ117+EI118-ER117)))</f>
        <v>376.82700000000017</v>
      </c>
      <c r="EK118" s="17">
        <f>EJ118*VLOOKUP('Données projet'!$B$15,Paramètres!$A$1:$I$89,3,0)*VLOOKUP('Données projet'!$B$15,Paramètres!$A$1:$I$89,5,0)</f>
        <v>411.49508400000013</v>
      </c>
      <c r="EL118" s="13">
        <f t="shared" si="99"/>
        <v>94.103260391968092</v>
      </c>
      <c r="EM118" s="20">
        <f t="shared" si="73"/>
        <v>880.58378314934464</v>
      </c>
      <c r="EN118" s="59">
        <f t="shared" si="74"/>
        <v>1166.5661398085363</v>
      </c>
      <c r="EO118" s="59">
        <f ca="1">AVERAGE(OFFSET($EN$3,0,0,'Données projet'!$E$15+1,1))-AVERAGE(OFFSET($H$3,0,0,'Données projet'!$E$15+1,1))</f>
        <v>767.9449852393318</v>
      </c>
      <c r="EP118" s="59">
        <f t="shared" si="100"/>
        <v>230.95605490295961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130.77864566539941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130.77864566539941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67.995188179779547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3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11</v>
      </c>
      <c r="H119" s="66">
        <f t="shared" si="56"/>
        <v>212.66666666666666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188.98184340090461</v>
      </c>
      <c r="T119" s="59">
        <f t="shared" si="88"/>
        <v>450.74604661797798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10.118000000000006</v>
      </c>
      <c r="AI119" s="13">
        <f>IF('Données projet'!$A$62&gt;35,AI118+AH119-AQ118,IF(A119&lt;'Données projet'!$A$62,$AF$205^A119,IF(A119='Données projet'!$A$62,'Données projet'!$B$62,AI118+AH119-AQ118)))</f>
        <v>524.52799999999957</v>
      </c>
      <c r="AJ119" s="13">
        <f>AI119*VLOOKUP('Données projet'!$B$10,Paramètres!$A$1:$I$89,3,0)*VLOOKUP('Données projet'!$B$10,Paramètres!$A$1:$I$89,5,0)</f>
        <v>474.59293439999959</v>
      </c>
      <c r="AK119" s="13">
        <f t="shared" si="89"/>
        <v>106.74549058797768</v>
      </c>
      <c r="AL119" s="20">
        <f t="shared" si="58"/>
        <v>1012.4977568540604</v>
      </c>
      <c r="AM119" s="59">
        <f t="shared" si="59"/>
        <v>1298.6076365242266</v>
      </c>
      <c r="AN119" s="59">
        <f ca="1">AVERAGE(OFFSET($AM$3,0,0,'Données projet'!$E$10+1,1))-AVERAGE(OFFSET($H$3,0,0,'Données projet'!$E$10+1,1))</f>
        <v>725.60981534362895</v>
      </c>
      <c r="AO119" s="59">
        <f t="shared" si="90"/>
        <v>265.16078167969272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129.7405531659536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129.7405531659536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1.5200000000000018</v>
      </c>
      <c r="BD119" s="12">
        <f>IF('Données projet'!$A$88&gt;35,BD118+BC119-BL118,IF(A119&lt;'Données projet'!$A$88,$BA$205^A119,IF(A119='Données projet'!$A$88,'Données projet'!$B$88,BD118+BC119-BL118)))</f>
        <v>142.72000000000008</v>
      </c>
      <c r="BE119" s="13">
        <f>BD119*VLOOKUP('Données projet'!$B$11,Paramètres!$A$1:$I$89,3,0)*VLOOKUP('Données projet'!$B$11,Paramètres!$A$1:$I$89,5,0)</f>
        <v>164.41344000000009</v>
      </c>
      <c r="BF119" s="13">
        <f t="shared" si="91"/>
        <v>41.836397180850277</v>
      </c>
      <c r="BG119" s="20">
        <f t="shared" si="61"/>
        <v>359.21846642331434</v>
      </c>
      <c r="BH119" s="59">
        <f t="shared" si="62"/>
        <v>645.3283460934806</v>
      </c>
      <c r="BI119" s="59">
        <f ca="1">AVERAGE(OFFSET($BH$3,0,0,'Données projet'!$E$11+1,1))-AVERAGE(OFFSET($H$3,0,0,'Données projet'!$E$11+1,1))</f>
        <v>332.93090933713466</v>
      </c>
      <c r="BJ119" s="59">
        <f t="shared" si="92"/>
        <v>251.83579649532973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21.97807744779967</v>
      </c>
      <c r="BQ119" s="21">
        <f>EXP(-LN(2)/25)*BQ118+(1-EXP(-LN(2)/25))/(LN(2)/25)*Calculateur!BL119*Calculateur!BN119*VLOOKUP('Données projet'!$B$11,Paramètres!$A$1:$I$89,3,0)*0.475*44/12</f>
        <v>0.64084491362279106</v>
      </c>
      <c r="BR119" s="21">
        <f>EXP(-LN(2)/2)*BR118+(1-EXP(-LN(2)/2))/(LN(2)/2)*BL119*BO119*VLOOKUP('Données projet'!$B$11,Paramètres!$A$1:$I$89,3,0)*0.475*44/12</f>
        <v>3.0591090985470421E-16</v>
      </c>
      <c r="BS119" s="22">
        <f t="shared" si="63"/>
        <v>22.618922361422459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8.3369999999999997</v>
      </c>
      <c r="BY119" s="12">
        <f>IF('Données projet'!$A$114&gt;35,BY118+BX119-CG118,IF(A119&lt;'Données projet'!$A$114,$BV$205^A119,IF(A119='Données projet'!$A$114,'Données projet'!$B$114,BY118+BX119-CG118)))</f>
        <v>385.16400000000016</v>
      </c>
      <c r="BZ119" s="13">
        <f>BY119*VLOOKUP('Données projet'!$B$12,Paramètres!$A$1:$I$89,3,0)*VLOOKUP('Données projet'!$B$12,Paramètres!$A$1:$I$89,5,0)</f>
        <v>438.62476320000019</v>
      </c>
      <c r="CA119" s="13">
        <f t="shared" si="93"/>
        <v>99.564741230711235</v>
      </c>
      <c r="CB119" s="20">
        <f t="shared" si="64"/>
        <v>937.34672021682229</v>
      </c>
      <c r="CC119" s="59">
        <f t="shared" si="65"/>
        <v>1223.4565998869884</v>
      </c>
      <c r="CD119" s="59">
        <f ca="1">AVERAGE(OFFSET($CC$3,0,0,'Données projet'!$E$12+1,1))-AVERAGE(OFFSET($H$3,0,0,'Données projet'!$E$12+1,1))</f>
        <v>797.57191672067393</v>
      </c>
      <c r="CE119" s="59">
        <f t="shared" si="94"/>
        <v>238.59056544987126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133.70904859918411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133.70904859918411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>
        <f>CT119*VLOOKUP('Données projet'!$B$13,Paramètres!$A$1:$I$89,3,0)*VLOOKUP('Données projet'!$B$13,Paramètres!$A$1:$I$89,5,0)</f>
        <v>0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188.98184340090461</v>
      </c>
      <c r="CZ119" s="59">
        <f t="shared" si="96"/>
        <v>450.74604661797798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12.576029595685116</v>
      </c>
      <c r="DH119" s="21">
        <f>EXP(-LN(2)/2)*DH118+(1-EXP(-LN(2)/2))/(LN(2)/2)*DB119*DE119*VLOOKUP('Données projet'!$B$13,Paramètres!$A$1:$I$89,3,0)*0.475*44/12</f>
        <v>5.1115882800507839E-15</v>
      </c>
      <c r="DI119" s="22">
        <f t="shared" si="69"/>
        <v>12.576029595685121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369.00000000000011</v>
      </c>
      <c r="DP119" s="17">
        <f>DO119*VLOOKUP('Données projet'!$B$14,Paramètres!$A$1:$I$89,3,0)*VLOOKUP('Données projet'!$B$14,Paramètres!$A$1:$I$89,5,0)</f>
        <v>333.87120000000004</v>
      </c>
      <c r="DQ119" s="13">
        <f t="shared" si="97"/>
        <v>78.232360111376309</v>
      </c>
      <c r="DR119" s="20">
        <f t="shared" si="70"/>
        <v>717.74703386064709</v>
      </c>
      <c r="DS119" s="59">
        <f t="shared" si="71"/>
        <v>1003.8569135308132</v>
      </c>
      <c r="DT119" s="59">
        <f ca="1">AVERAGE(OFFSET($DS$3,0,0,'Données projet'!$E$14+1,1))-AVERAGE(OFFSET($H$3,0,0,'Données projet'!$E$14+1,1))</f>
        <v>442.34161202733173</v>
      </c>
      <c r="DU119" s="59">
        <f t="shared" si="98"/>
        <v>622.90413492324399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1.925086058442778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1.925086058442778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8.3369999999999997</v>
      </c>
      <c r="EJ119" s="12">
        <f>IF('Données projet'!$A$192&gt;35,EJ118+EI119-ER118,IF(A119&lt;'Données projet'!$A$192,$EG$205^A119,IF(A119='Données projet'!$A$192,'Données projet'!$B$192,EJ118+EI119-ER118)))</f>
        <v>385.16400000000016</v>
      </c>
      <c r="EK119" s="17">
        <f>EJ119*VLOOKUP('Données projet'!$B$15,Paramètres!$A$1:$I$89,3,0)*VLOOKUP('Données projet'!$B$15,Paramètres!$A$1:$I$89,5,0)</f>
        <v>420.59908800000022</v>
      </c>
      <c r="EL119" s="13">
        <f t="shared" si="99"/>
        <v>95.940531107168511</v>
      </c>
      <c r="EM119" s="20">
        <f t="shared" si="73"/>
        <v>899.63983661165219</v>
      </c>
      <c r="EN119" s="59">
        <f t="shared" si="74"/>
        <v>1185.7497162818183</v>
      </c>
      <c r="EO119" s="59">
        <f ca="1">AVERAGE(OFFSET($EN$3,0,0,'Données projet'!$E$15+1,1))-AVERAGE(OFFSET($H$3,0,0,'Données projet'!$E$15+1,1))</f>
        <v>767.9449852393318</v>
      </c>
      <c r="EP119" s="59">
        <f t="shared" si="100"/>
        <v>230.95605490295961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128.21415619099844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128.21415619099844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68.029967182772594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3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11</v>
      </c>
      <c r="H120" s="66">
        <f t="shared" si="56"/>
        <v>212.66666666666666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188.98184340090461</v>
      </c>
      <c r="T120" s="59">
        <f t="shared" si="88"/>
        <v>450.74604661797798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10.118000000000006</v>
      </c>
      <c r="AI120" s="13">
        <f>IF('Données projet'!$A$62&gt;35,AI119+AH120-AQ119,IF(A120&lt;'Données projet'!$A$62,$AF$205^A120,IF(A120='Données projet'!$A$62,'Données projet'!$B$62,AI119+AH120-AQ119)))</f>
        <v>534.64599999999962</v>
      </c>
      <c r="AJ120" s="13">
        <f>AI120*VLOOKUP('Données projet'!$B$10,Paramètres!$A$1:$I$89,3,0)*VLOOKUP('Données projet'!$B$10,Paramètres!$A$1:$I$89,5,0)</f>
        <v>483.74770079999962</v>
      </c>
      <c r="AK120" s="13">
        <f t="shared" si="89"/>
        <v>108.56287530736564</v>
      </c>
      <c r="AL120" s="20">
        <f t="shared" si="58"/>
        <v>1031.6075867203278</v>
      </c>
      <c r="AM120" s="59">
        <f t="shared" si="59"/>
        <v>1317.8427771623269</v>
      </c>
      <c r="AN120" s="59">
        <f ca="1">AVERAGE(OFFSET($AM$3,0,0,'Données projet'!$E$10+1,1))-AVERAGE(OFFSET($H$3,0,0,'Données projet'!$E$10+1,1))</f>
        <v>725.60981534362895</v>
      </c>
      <c r="AO120" s="59">
        <f t="shared" si="90"/>
        <v>265.16078167969272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127.19642005229285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127.19642005229285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1.5200000000000018</v>
      </c>
      <c r="BD120" s="12">
        <f>IF('Données projet'!$A$88&gt;35,BD119+BC120-BL119,IF(A120&lt;'Données projet'!$A$88,$BA$205^A120,IF(A120='Données projet'!$A$88,'Données projet'!$B$88,BD119+BC120-BL119)))</f>
        <v>144.24000000000009</v>
      </c>
      <c r="BE120" s="13">
        <f>BD120*VLOOKUP('Données projet'!$B$11,Paramètres!$A$1:$I$89,3,0)*VLOOKUP('Données projet'!$B$11,Paramètres!$A$1:$I$89,5,0)</f>
        <v>166.16448000000011</v>
      </c>
      <c r="BF120" s="13">
        <f t="shared" si="91"/>
        <v>42.229857118873966</v>
      </c>
      <c r="BG120" s="20">
        <f t="shared" si="61"/>
        <v>362.95347048203899</v>
      </c>
      <c r="BH120" s="59">
        <f t="shared" si="62"/>
        <v>649.18866092403812</v>
      </c>
      <c r="BI120" s="59">
        <f ca="1">AVERAGE(OFFSET($BH$3,0,0,'Données projet'!$E$11+1,1))-AVERAGE(OFFSET($H$3,0,0,'Données projet'!$E$11+1,1))</f>
        <v>332.93090933713466</v>
      </c>
      <c r="BJ120" s="59">
        <f t="shared" si="92"/>
        <v>251.83579649532973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21.547100754351899</v>
      </c>
      <c r="BQ120" s="21">
        <f>EXP(-LN(2)/25)*BQ119+(1-EXP(-LN(2)/25))/(LN(2)/25)*Calculateur!BL120*Calculateur!BN120*VLOOKUP('Données projet'!$B$11,Paramètres!$A$1:$I$89,3,0)*0.475*44/12</f>
        <v>0.62332097575920653</v>
      </c>
      <c r="BR120" s="21">
        <f>EXP(-LN(2)/2)*BR119+(1-EXP(-LN(2)/2))/(LN(2)/2)*BL120*BO120*VLOOKUP('Données projet'!$B$11,Paramètres!$A$1:$I$89,3,0)*0.475*44/12</f>
        <v>2.16311678797208E-16</v>
      </c>
      <c r="BS120" s="22">
        <f t="shared" si="63"/>
        <v>22.170421730111105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8.3369999999999997</v>
      </c>
      <c r="BY120" s="12">
        <f>IF('Données projet'!$A$114&gt;35,BY119+BX120-CG119,IF(A120&lt;'Données projet'!$A$114,$BV$205^A120,IF(A120='Données projet'!$A$114,'Données projet'!$B$114,BY119+BX120-CG119)))</f>
        <v>393.50100000000015</v>
      </c>
      <c r="BZ120" s="13">
        <f>BY120*VLOOKUP('Données projet'!$B$12,Paramètres!$A$1:$I$89,3,0)*VLOOKUP('Données projet'!$B$12,Paramètres!$A$1:$I$89,5,0)</f>
        <v>448.11893880000014</v>
      </c>
      <c r="CA120" s="13">
        <f t="shared" si="93"/>
        <v>101.46661768385107</v>
      </c>
      <c r="CB120" s="20">
        <f t="shared" si="64"/>
        <v>957.19484420937408</v>
      </c>
      <c r="CC120" s="59">
        <f t="shared" si="65"/>
        <v>1243.4300346513733</v>
      </c>
      <c r="CD120" s="59">
        <f ca="1">AVERAGE(OFFSET($CC$3,0,0,'Données projet'!$E$12+1,1))-AVERAGE(OFFSET($H$3,0,0,'Données projet'!$E$12+1,1))</f>
        <v>797.57191672067393</v>
      </c>
      <c r="CE120" s="59">
        <f t="shared" si="94"/>
        <v>238.59056544987126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131.08709571062093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131.08709571062093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>
        <f>CT120*VLOOKUP('Données projet'!$B$13,Paramètres!$A$1:$I$89,3,0)*VLOOKUP('Données projet'!$B$13,Paramètres!$A$1:$I$89,5,0)</f>
        <v>0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188.98184340090461</v>
      </c>
      <c r="CZ120" s="59">
        <f t="shared" si="96"/>
        <v>450.74604661797798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12.232137405046453</v>
      </c>
      <c r="DH120" s="21">
        <f>EXP(-LN(2)/2)*DH119+(1-EXP(-LN(2)/2))/(LN(2)/2)*DB120*DE120*VLOOKUP('Données projet'!$B$13,Paramètres!$A$1:$I$89,3,0)*0.475*44/12</f>
        <v>3.6144387354575905E-15</v>
      </c>
      <c r="DI120" s="22">
        <f t="shared" si="69"/>
        <v>12.232137405046457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369.00000000000011</v>
      </c>
      <c r="DP120" s="17">
        <f>DO120*VLOOKUP('Données projet'!$B$14,Paramètres!$A$1:$I$89,3,0)*VLOOKUP('Données projet'!$B$14,Paramètres!$A$1:$I$89,5,0)</f>
        <v>333.87120000000004</v>
      </c>
      <c r="DQ120" s="13">
        <f t="shared" si="97"/>
        <v>78.232360111376309</v>
      </c>
      <c r="DR120" s="20">
        <f t="shared" si="70"/>
        <v>717.74703386064709</v>
      </c>
      <c r="DS120" s="59">
        <f t="shared" si="71"/>
        <v>1003.9822243026463</v>
      </c>
      <c r="DT120" s="59">
        <f ca="1">AVERAGE(OFFSET($DS$3,0,0,'Données projet'!$E$14+1,1))-AVERAGE(OFFSET($H$3,0,0,'Données projet'!$E$14+1,1))</f>
        <v>442.34161202733173</v>
      </c>
      <c r="DU120" s="59">
        <f t="shared" si="98"/>
        <v>622.90413492324399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1.8873362950232695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1.8873362950232695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8.3369999999999997</v>
      </c>
      <c r="EJ120" s="12">
        <f>IF('Données projet'!$A$192&gt;35,EJ119+EI120-ER119,IF(A120&lt;'Données projet'!$A$192,$EG$205^A120,IF(A120='Données projet'!$A$192,'Données projet'!$B$192,EJ119+EI120-ER119)))</f>
        <v>393.50100000000015</v>
      </c>
      <c r="EK120" s="17">
        <f>EJ120*VLOOKUP('Données projet'!$B$15,Paramètres!$A$1:$I$89,3,0)*VLOOKUP('Données projet'!$B$15,Paramètres!$A$1:$I$89,5,0)</f>
        <v>429.70309200000014</v>
      </c>
      <c r="EL120" s="13">
        <f t="shared" si="99"/>
        <v>97.773178234645513</v>
      </c>
      <c r="EM120" s="20">
        <f t="shared" si="73"/>
        <v>918.68783732534121</v>
      </c>
      <c r="EN120" s="59">
        <f t="shared" si="74"/>
        <v>1204.9230277673403</v>
      </c>
      <c r="EO120" s="59">
        <f ca="1">AVERAGE(OFFSET($EN$3,0,0,'Données projet'!$E$15+1,1))-AVERAGE(OFFSET($H$3,0,0,'Données projet'!$E$15+1,1))</f>
        <v>767.9449852393318</v>
      </c>
      <c r="EP120" s="59">
        <f t="shared" si="100"/>
        <v>230.95605490295961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125.69995479100633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125.69995479100633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68.064142847817948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3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11</v>
      </c>
      <c r="H121" s="66">
        <f t="shared" si="56"/>
        <v>212.66666666666666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188.98184340090461</v>
      </c>
      <c r="T121" s="59">
        <f t="shared" si="88"/>
        <v>450.74604661797798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10.118000000000006</v>
      </c>
      <c r="AI121" s="13">
        <f>IF('Données projet'!$A$62&gt;35,AI120+AH121-AQ120,IF(A121&lt;'Données projet'!$A$62,$AF$205^A121,IF(A121='Données projet'!$A$62,'Données projet'!$B$62,AI120+AH121-AQ120)))</f>
        <v>544.76399999999967</v>
      </c>
      <c r="AJ121" s="13">
        <f>AI121*VLOOKUP('Données projet'!$B$10,Paramètres!$A$1:$I$89,3,0)*VLOOKUP('Données projet'!$B$10,Paramètres!$A$1:$I$89,5,0)</f>
        <v>492.90246719999965</v>
      </c>
      <c r="AK121" s="13">
        <f t="shared" si="89"/>
        <v>110.37626078774746</v>
      </c>
      <c r="AL121" s="20">
        <f t="shared" si="58"/>
        <v>1050.7104512453261</v>
      </c>
      <c r="AM121" s="59">
        <f t="shared" si="59"/>
        <v>1337.0687785974196</v>
      </c>
      <c r="AN121" s="59">
        <f ca="1">AVERAGE(OFFSET($AM$3,0,0,'Données projet'!$E$10+1,1))-AVERAGE(OFFSET($H$3,0,0,'Données projet'!$E$10+1,1))</f>
        <v>725.60981534362895</v>
      </c>
      <c r="AO121" s="59">
        <f t="shared" si="90"/>
        <v>265.16078167969272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124.70217583722302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124.70217583722302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1.5200000000000018</v>
      </c>
      <c r="BD121" s="12">
        <f>IF('Données projet'!$A$88&gt;35,BD120+BC121-BL120,IF(A121&lt;'Données projet'!$A$88,$BA$205^A121,IF(A121='Données projet'!$A$88,'Données projet'!$B$88,BD120+BC121-BL120)))</f>
        <v>145.7600000000001</v>
      </c>
      <c r="BE121" s="13">
        <f>BD121*VLOOKUP('Données projet'!$B$11,Paramètres!$A$1:$I$89,3,0)*VLOOKUP('Données projet'!$B$11,Paramètres!$A$1:$I$89,5,0)</f>
        <v>167.91552000000013</v>
      </c>
      <c r="BF121" s="13">
        <f t="shared" si="91"/>
        <v>42.622834716603151</v>
      </c>
      <c r="BG121" s="20">
        <f t="shared" si="61"/>
        <v>366.68763446475072</v>
      </c>
      <c r="BH121" s="59">
        <f t="shared" si="62"/>
        <v>653.04596181684428</v>
      </c>
      <c r="BI121" s="59">
        <f ca="1">AVERAGE(OFFSET($BH$3,0,0,'Données projet'!$E$11+1,1))-AVERAGE(OFFSET($H$3,0,0,'Données projet'!$E$11+1,1))</f>
        <v>332.93090933713466</v>
      </c>
      <c r="BJ121" s="59">
        <f t="shared" si="92"/>
        <v>251.83579649532973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21.124575250992809</v>
      </c>
      <c r="BQ121" s="21">
        <f>EXP(-LN(2)/25)*BQ120+(1-EXP(-LN(2)/25))/(LN(2)/25)*Calculateur!BL121*Calculateur!BN121*VLOOKUP('Données projet'!$B$11,Paramètres!$A$1:$I$89,3,0)*0.475*44/12</f>
        <v>0.6062762308980455</v>
      </c>
      <c r="BR121" s="21">
        <f>EXP(-LN(2)/2)*BR120+(1-EXP(-LN(2)/2))/(LN(2)/2)*BL121*BO121*VLOOKUP('Données projet'!$B$11,Paramètres!$A$1:$I$89,3,0)*0.475*44/12</f>
        <v>1.5295545492735213E-16</v>
      </c>
      <c r="BS121" s="22">
        <f t="shared" si="63"/>
        <v>21.730851481890856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8.3369999999999997</v>
      </c>
      <c r="BY121" s="12">
        <f>IF('Données projet'!$A$114&gt;35,BY120+BX121-CG120,IF(A121&lt;'Données projet'!$A$114,$BV$205^A121,IF(A121='Données projet'!$A$114,'Données projet'!$B$114,BY120+BX121-CG120)))</f>
        <v>401.83800000000014</v>
      </c>
      <c r="BZ121" s="13">
        <f>BY121*VLOOKUP('Données projet'!$B$12,Paramètres!$A$1:$I$89,3,0)*VLOOKUP('Données projet'!$B$12,Paramètres!$A$1:$I$89,5,0)</f>
        <v>457.61311440000014</v>
      </c>
      <c r="CA121" s="13">
        <f t="shared" si="93"/>
        <v>103.3638092600997</v>
      </c>
      <c r="CB121" s="20">
        <f t="shared" si="64"/>
        <v>977.03480870800706</v>
      </c>
      <c r="CC121" s="59">
        <f t="shared" si="65"/>
        <v>1263.3931360601007</v>
      </c>
      <c r="CD121" s="59">
        <f ca="1">AVERAGE(OFFSET($CC$3,0,0,'Données projet'!$E$12+1,1))-AVERAGE(OFFSET($H$3,0,0,'Données projet'!$E$12+1,1))</f>
        <v>797.57191672067393</v>
      </c>
      <c r="CE121" s="59">
        <f t="shared" si="94"/>
        <v>238.59056544987126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128.51655771896912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128.51655771896912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>
        <f>CT121*VLOOKUP('Données projet'!$B$13,Paramètres!$A$1:$I$89,3,0)*VLOOKUP('Données projet'!$B$13,Paramètres!$A$1:$I$89,5,0)</f>
        <v>0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188.98184340090461</v>
      </c>
      <c r="CZ121" s="59">
        <f t="shared" si="96"/>
        <v>450.74604661797798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11.897648964445308</v>
      </c>
      <c r="DH121" s="21">
        <f>EXP(-LN(2)/2)*DH120+(1-EXP(-LN(2)/2))/(LN(2)/2)*DB121*DE121*VLOOKUP('Données projet'!$B$13,Paramètres!$A$1:$I$89,3,0)*0.475*44/12</f>
        <v>2.555794140025392E-15</v>
      </c>
      <c r="DI121" s="22">
        <f t="shared" si="69"/>
        <v>11.89764896444531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369.00000000000011</v>
      </c>
      <c r="DP121" s="17">
        <f>DO121*VLOOKUP('Données projet'!$B$14,Paramètres!$A$1:$I$89,3,0)*VLOOKUP('Données projet'!$B$14,Paramètres!$A$1:$I$89,5,0)</f>
        <v>333.87120000000004</v>
      </c>
      <c r="DQ121" s="13">
        <f t="shared" si="97"/>
        <v>78.232360111376309</v>
      </c>
      <c r="DR121" s="20">
        <f t="shared" si="70"/>
        <v>717.74703386064709</v>
      </c>
      <c r="DS121" s="59">
        <f t="shared" si="71"/>
        <v>1004.1053612127407</v>
      </c>
      <c r="DT121" s="59">
        <f ca="1">AVERAGE(OFFSET($DS$3,0,0,'Données projet'!$E$14+1,1))-AVERAGE(OFFSET($H$3,0,0,'Données projet'!$E$14+1,1))</f>
        <v>442.34161202733173</v>
      </c>
      <c r="DU121" s="59">
        <f t="shared" si="98"/>
        <v>622.90413492324399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1.8503267814393354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1.8503267814393354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8.3369999999999997</v>
      </c>
      <c r="EJ121" s="12">
        <f>IF('Données projet'!$A$192&gt;35,EJ120+EI121-ER120,IF(A121&lt;'Données projet'!$A$192,$EG$205^A121,IF(A121='Données projet'!$A$192,'Données projet'!$B$192,EJ120+EI121-ER120)))</f>
        <v>401.83800000000014</v>
      </c>
      <c r="EK121" s="17">
        <f>EJ121*VLOOKUP('Données projet'!$B$15,Paramètres!$A$1:$I$89,3,0)*VLOOKUP('Données projet'!$B$15,Paramètres!$A$1:$I$89,5,0)</f>
        <v>438.80709600000012</v>
      </c>
      <c r="EL121" s="13">
        <f t="shared" si="99"/>
        <v>99.601311017269438</v>
      </c>
      <c r="EM121" s="20">
        <f t="shared" si="73"/>
        <v>937.72797555507793</v>
      </c>
      <c r="EN121" s="59">
        <f t="shared" si="74"/>
        <v>1224.0863029071716</v>
      </c>
      <c r="EO121" s="59">
        <f ca="1">AVERAGE(OFFSET($EN$3,0,0,'Données projet'!$E$15+1,1))-AVERAGE(OFFSET($H$3,0,0,'Données projet'!$E$15+1,1))</f>
        <v>767.9449852393318</v>
      </c>
      <c r="EP121" s="59">
        <f t="shared" si="100"/>
        <v>230.95605490295961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123.23505534695664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123.23505534695664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68.097725641480068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3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11</v>
      </c>
      <c r="H122" s="66">
        <f t="shared" si="56"/>
        <v>212.66666666666666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188.98184340090461</v>
      </c>
      <c r="T122" s="59">
        <f t="shared" si="88"/>
        <v>450.74604661797798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10.118000000000006</v>
      </c>
      <c r="AI122" s="13">
        <f>IF('Données projet'!$A$62&gt;35,AI121+AH122-AQ121,IF(A122&lt;'Données projet'!$A$62,$AF$205^A122,IF(A122='Données projet'!$A$62,'Données projet'!$B$62,AI121+AH122-AQ121)))</f>
        <v>554.88199999999972</v>
      </c>
      <c r="AJ122" s="13">
        <f>AI122*VLOOKUP('Données projet'!$B$10,Paramètres!$A$1:$I$89,3,0)*VLOOKUP('Données projet'!$B$10,Paramètres!$A$1:$I$89,5,0)</f>
        <v>502.05723359999968</v>
      </c>
      <c r="AK122" s="13">
        <f t="shared" si="89"/>
        <v>112.18572987377097</v>
      </c>
      <c r="AL122" s="20">
        <f t="shared" si="58"/>
        <v>1069.806494716817</v>
      </c>
      <c r="AM122" s="59">
        <f t="shared" si="59"/>
        <v>1356.2858228289078</v>
      </c>
      <c r="AN122" s="59">
        <f ca="1">AVERAGE(OFFSET($AM$3,0,0,'Données projet'!$E$10+1,1))-AVERAGE(OFFSET($H$3,0,0,'Données projet'!$E$10+1,1))</f>
        <v>725.60981534362895</v>
      </c>
      <c r="AO122" s="59">
        <f t="shared" si="90"/>
        <v>265.16078167969272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122.25684222987196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122.25684222987196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1.5200000000000018</v>
      </c>
      <c r="BD122" s="12">
        <f>IF('Données projet'!$A$88&gt;35,BD121+BC122-BL121,IF(A122&lt;'Données projet'!$A$88,$BA$205^A122,IF(A122='Données projet'!$A$88,'Données projet'!$B$88,BD121+BC122-BL121)))</f>
        <v>147.28000000000011</v>
      </c>
      <c r="BE122" s="13">
        <f>BD122*VLOOKUP('Données projet'!$B$11,Paramètres!$A$1:$I$89,3,0)*VLOOKUP('Données projet'!$B$11,Paramètres!$A$1:$I$89,5,0)</f>
        <v>169.66656000000015</v>
      </c>
      <c r="BF122" s="13">
        <f t="shared" si="91"/>
        <v>43.015335586208373</v>
      </c>
      <c r="BG122" s="20">
        <f t="shared" si="61"/>
        <v>370.42096814597988</v>
      </c>
      <c r="BH122" s="59">
        <f t="shared" si="62"/>
        <v>656.90029625807074</v>
      </c>
      <c r="BI122" s="59">
        <f ca="1">AVERAGE(OFFSET($BH$3,0,0,'Données projet'!$E$11+1,1))-AVERAGE(OFFSET($H$3,0,0,'Données projet'!$E$11+1,1))</f>
        <v>332.93090933713466</v>
      </c>
      <c r="BJ122" s="59">
        <f t="shared" si="92"/>
        <v>251.83579649532973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20.710335215039482</v>
      </c>
      <c r="BQ122" s="21">
        <f>EXP(-LN(2)/25)*BQ121+(1-EXP(-LN(2)/25))/(LN(2)/25)*Calculateur!BL122*Calculateur!BN122*VLOOKUP('Données projet'!$B$11,Paramètres!$A$1:$I$89,3,0)*0.475*44/12</f>
        <v>0.58969757548145707</v>
      </c>
      <c r="BR122" s="21">
        <f>EXP(-LN(2)/2)*BR121+(1-EXP(-LN(2)/2))/(LN(2)/2)*BL122*BO122*VLOOKUP('Données projet'!$B$11,Paramètres!$A$1:$I$89,3,0)*0.475*44/12</f>
        <v>1.0815583939860403E-16</v>
      </c>
      <c r="BS122" s="22">
        <f t="shared" si="63"/>
        <v>21.300032790520937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8.3369999999999997</v>
      </c>
      <c r="BY122" s="12">
        <f>IF('Données projet'!$A$114&gt;35,BY121+BX122-CG121,IF(A122&lt;'Données projet'!$A$114,$BV$205^A122,IF(A122='Données projet'!$A$114,'Données projet'!$B$114,BY121+BX122-CG121)))</f>
        <v>410.17500000000013</v>
      </c>
      <c r="BZ122" s="13">
        <f>BY122*VLOOKUP('Données projet'!$B$12,Paramètres!$A$1:$I$89,3,0)*VLOOKUP('Données projet'!$B$12,Paramètres!$A$1:$I$89,5,0)</f>
        <v>467.10729000000009</v>
      </c>
      <c r="CA122" s="13">
        <f t="shared" si="93"/>
        <v>105.2564243559966</v>
      </c>
      <c r="CB122" s="20">
        <f t="shared" si="64"/>
        <v>996.86680250336076</v>
      </c>
      <c r="CC122" s="59">
        <f t="shared" si="65"/>
        <v>1283.3461306154516</v>
      </c>
      <c r="CD122" s="59">
        <f ca="1">AVERAGE(OFFSET($CC$3,0,0,'Données projet'!$E$12+1,1))-AVERAGE(OFFSET($H$3,0,0,'Données projet'!$E$12+1,1))</f>
        <v>797.57191672067393</v>
      </c>
      <c r="CE122" s="59">
        <f t="shared" si="94"/>
        <v>238.59056544987126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125.99642640946024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125.99642640946024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>
        <f>CT122*VLOOKUP('Données projet'!$B$13,Paramètres!$A$1:$I$89,3,0)*VLOOKUP('Données projet'!$B$13,Paramètres!$A$1:$I$89,5,0)</f>
        <v>0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188.98184340090461</v>
      </c>
      <c r="CZ122" s="59">
        <f t="shared" si="96"/>
        <v>450.74604661797798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11.572307127842384</v>
      </c>
      <c r="DH122" s="21">
        <f>EXP(-LN(2)/2)*DH121+(1-EXP(-LN(2)/2))/(LN(2)/2)*DB122*DE122*VLOOKUP('Données projet'!$B$13,Paramètres!$A$1:$I$89,3,0)*0.475*44/12</f>
        <v>1.8072193677287952E-15</v>
      </c>
      <c r="DI122" s="22">
        <f t="shared" si="69"/>
        <v>11.572307127842386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369.00000000000011</v>
      </c>
      <c r="DP122" s="17">
        <f>DO122*VLOOKUP('Données projet'!$B$14,Paramètres!$A$1:$I$89,3,0)*VLOOKUP('Données projet'!$B$14,Paramètres!$A$1:$I$89,5,0)</f>
        <v>333.87120000000004</v>
      </c>
      <c r="DQ122" s="13">
        <f t="shared" si="97"/>
        <v>78.232360111376309</v>
      </c>
      <c r="DR122" s="20">
        <f t="shared" si="70"/>
        <v>717.74703386064709</v>
      </c>
      <c r="DS122" s="59">
        <f t="shared" si="71"/>
        <v>1004.2263619727379</v>
      </c>
      <c r="DT122" s="59">
        <f ca="1">AVERAGE(OFFSET($DS$3,0,0,'Données projet'!$E$14+1,1))-AVERAGE(OFFSET($H$3,0,0,'Données projet'!$E$14+1,1))</f>
        <v>442.34161202733173</v>
      </c>
      <c r="DU122" s="59">
        <f t="shared" si="98"/>
        <v>622.90413492324399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1.8140430018432079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1.8140430018432079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8.3369999999999997</v>
      </c>
      <c r="EJ122" s="12">
        <f>IF('Données projet'!$A$192&gt;35,EJ121+EI122-ER121,IF(A122&lt;'Données projet'!$A$192,$EG$205^A122,IF(A122='Données projet'!$A$192,'Données projet'!$B$192,EJ121+EI122-ER121)))</f>
        <v>410.17500000000013</v>
      </c>
      <c r="EK122" s="17">
        <f>EJ122*VLOOKUP('Données projet'!$B$15,Paramètres!$A$1:$I$89,3,0)*VLOOKUP('Données projet'!$B$15,Paramètres!$A$1:$I$89,5,0)</f>
        <v>447.91110000000009</v>
      </c>
      <c r="EL122" s="13">
        <f t="shared" si="99"/>
        <v>101.42503390588769</v>
      </c>
      <c r="EM122" s="20">
        <f t="shared" si="73"/>
        <v>956.76043321942109</v>
      </c>
      <c r="EN122" s="59">
        <f t="shared" si="74"/>
        <v>1243.239761331512</v>
      </c>
      <c r="EO122" s="59">
        <f ca="1">AVERAGE(OFFSET($EN$3,0,0,'Données projet'!$E$15+1,1))-AVERAGE(OFFSET($H$3,0,0,'Données projet'!$E$15+1,1))</f>
        <v>767.9449852393318</v>
      </c>
      <c r="EP122" s="59">
        <f t="shared" si="100"/>
        <v>230.95605490295961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120.81849107756456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120.81849107756456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68.130725848752036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3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11</v>
      </c>
      <c r="H123" s="66">
        <f t="shared" si="56"/>
        <v>212.66666666666666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188.98184340090461</v>
      </c>
      <c r="T123" s="59">
        <f t="shared" si="88"/>
        <v>450.74604661797798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565</v>
      </c>
      <c r="AG123" s="12">
        <f>VLOOKUP(A123,'Données projet'!$A$61:$I$81,9,0)</f>
        <v>10.118000000000006</v>
      </c>
      <c r="AH123" s="12">
        <f t="array" ref="AH123">INDEX(AG:AG,MIN(IF(ISNUMBER(AG123:AG319),ROW(AG123:AG319),"")))</f>
        <v>10.118000000000006</v>
      </c>
      <c r="AI123" s="13">
        <f>IF('Données projet'!$A$62&gt;35,AI122+AH123-AQ122,IF(A123&lt;'Données projet'!$A$62,$AF$205^A123,IF(A123='Données projet'!$A$62,'Données projet'!$B$62,AI122+AH123-AQ122)))</f>
        <v>564.99999999999977</v>
      </c>
      <c r="AJ123" s="13">
        <f>AI123*VLOOKUP('Données projet'!$B$10,Paramètres!$A$1:$I$89,3,0)*VLOOKUP('Données projet'!$B$10,Paramètres!$A$1:$I$89,5,0)</f>
        <v>511.21199999999976</v>
      </c>
      <c r="AK123" s="13">
        <f t="shared" si="89"/>
        <v>113.99136221584421</v>
      </c>
      <c r="AL123" s="20">
        <f t="shared" si="58"/>
        <v>1088.8958558592615</v>
      </c>
      <c r="AM123" s="59">
        <f t="shared" si="59"/>
        <v>1375.4940856386809</v>
      </c>
      <c r="AN123" s="59">
        <f ca="1">AVERAGE(OFFSET($AM$3,0,0,'Données projet'!$E$10+1,1))-AVERAGE(OFFSET($H$3,0,0,'Données projet'!$E$10+1,1))</f>
        <v>725.60981534362895</v>
      </c>
      <c r="AO123" s="59">
        <f t="shared" si="90"/>
        <v>265.16078167969272</v>
      </c>
      <c r="AP123" s="15">
        <f>IF(ISNA(VLOOKUP(A123,'Données projet'!$A$61:$I$81,3,0)),0,VLOOKUP(A123,'Données projet'!$A$61:$I$81,3,0))</f>
        <v>11</v>
      </c>
      <c r="AQ123" s="15">
        <f>IF(ISNA(VLOOKUP(A123,'Données projet'!$A$61:$I$81,4,0)),0,VLOOKUP(A123,'Données projet'!$A$61:$I$81,4,0))</f>
        <v>60.46</v>
      </c>
      <c r="AR123" s="16">
        <f>IF(ISNA(VLOOKUP(A123,'Données projet'!$A$61:$I$81,5,0)),0%,VLOOKUP(A123,'Données projet'!$A$61:$I$81,5,0)*VLOOKUP('Données projet'!$B$10,Paramètres!$A$1:$I$89,7,0))</f>
        <v>0.43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145.86322920237291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145.86322920237291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148.80000000000001</v>
      </c>
      <c r="BB123" s="12">
        <f>VLOOKUP(A123,'Données projet'!$A$87:$I$107,9,0)</f>
        <v>1.5200000000000018</v>
      </c>
      <c r="BC123" s="12">
        <f t="array" ref="BC123">INDEX(BB:BB,MIN(IF(ISNUMBER(BB123:BB319),ROW(BB123:BB319),"")))</f>
        <v>1.5200000000000018</v>
      </c>
      <c r="BD123" s="12">
        <f>IF('Données projet'!$A$88&gt;35,BD122+BC123-BL122,IF(A123&lt;'Données projet'!$A$88,$BA$205^A123,IF(A123='Données projet'!$A$88,'Données projet'!$B$88,BD122+BC123-BL122)))</f>
        <v>148.80000000000013</v>
      </c>
      <c r="BE123" s="13">
        <f>BD123*VLOOKUP('Données projet'!$B$11,Paramètres!$A$1:$I$89,3,0)*VLOOKUP('Données projet'!$B$11,Paramètres!$A$1:$I$89,5,0)</f>
        <v>171.41760000000014</v>
      </c>
      <c r="BF123" s="13">
        <f t="shared" si="91"/>
        <v>43.407365217344868</v>
      </c>
      <c r="BG123" s="20">
        <f t="shared" si="61"/>
        <v>374.1534810868759</v>
      </c>
      <c r="BH123" s="59">
        <f t="shared" si="62"/>
        <v>660.7517108662953</v>
      </c>
      <c r="BI123" s="59">
        <f ca="1">AVERAGE(OFFSET($BH$3,0,0,'Données projet'!$E$11+1,1))-AVERAGE(OFFSET($H$3,0,0,'Données projet'!$E$11+1,1))</f>
        <v>332.93090933713466</v>
      </c>
      <c r="BJ123" s="59">
        <f t="shared" si="92"/>
        <v>251.83579649532973</v>
      </c>
      <c r="BK123" s="15">
        <f>IF(ISNA(VLOOKUP(A123,'Données projet'!$A$87:$I$107,3,0)),0,VLOOKUP(A123,'Données projet'!$A$87:$I$107,3,0))</f>
        <v>12</v>
      </c>
      <c r="BL123" s="15">
        <f>IF(ISNA(VLOOKUP(A123,'Données projet'!$A$87:$I$107,4,0)),0,VLOOKUP(A123,'Données projet'!$A$87:$I$107,4,0))</f>
        <v>13.2</v>
      </c>
      <c r="BM123" s="16">
        <f>IF(ISNA(VLOOKUP(A123,'Données projet'!$A$87:$I$107,5,0)),0%,VLOOKUP(A123,'Données projet'!$A$87:$I$107,5,0)*VLOOKUP('Données projet'!$B$11,Paramètres!$A$1:$I$89,7,0))</f>
        <v>0.45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25.221208921483708</v>
      </c>
      <c r="BQ123" s="21">
        <f>EXP(-LN(2)/25)*BQ122+(1-EXP(-LN(2)/25))/(LN(2)/25)*Calculateur!BL123*Calculateur!BN123*VLOOKUP('Données projet'!$B$11,Paramètres!$A$1:$I$89,3,0)*0.475*44/12</f>
        <v>0.57357226426906893</v>
      </c>
      <c r="BR123" s="21">
        <f>EXP(-LN(2)/2)*BR122+(1-EXP(-LN(2)/2))/(LN(2)/2)*BL123*BO123*VLOOKUP('Données projet'!$B$11,Paramètres!$A$1:$I$89,3,0)*0.475*44/12</f>
        <v>7.6477727463676076E-17</v>
      </c>
      <c r="BS123" s="22">
        <f t="shared" si="63"/>
        <v>25.794781185752775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8.3369999999999997</v>
      </c>
      <c r="BY123" s="12">
        <f>IF('Données projet'!$A$114&gt;35,BY122+BX123-CG122,IF(A123&lt;'Données projet'!$A$114,$BV$205^A123,IF(A123='Données projet'!$A$114,'Données projet'!$B$114,BY122+BX123-CG122)))</f>
        <v>418.51200000000011</v>
      </c>
      <c r="BZ123" s="13">
        <f>BY123*VLOOKUP('Données projet'!$B$12,Paramètres!$A$1:$I$89,3,0)*VLOOKUP('Données projet'!$B$12,Paramètres!$A$1:$I$89,5,0)</f>
        <v>476.6014656000001</v>
      </c>
      <c r="CA123" s="13">
        <f t="shared" si="93"/>
        <v>107.14456670975576</v>
      </c>
      <c r="CB123" s="20">
        <f t="shared" si="64"/>
        <v>1016.6910062728247</v>
      </c>
      <c r="CC123" s="59">
        <f t="shared" si="65"/>
        <v>1303.289236052244</v>
      </c>
      <c r="CD123" s="59">
        <f ca="1">AVERAGE(OFFSET($CC$3,0,0,'Données projet'!$E$12+1,1))-AVERAGE(OFFSET($H$3,0,0,'Données projet'!$E$12+1,1))</f>
        <v>797.57191672067393</v>
      </c>
      <c r="CE123" s="59">
        <f t="shared" si="94"/>
        <v>238.59056544987126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123.5257133378025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123.5257133378025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>
        <f>CT123*VLOOKUP('Données projet'!$B$13,Paramètres!$A$1:$I$89,3,0)*VLOOKUP('Données projet'!$B$13,Paramètres!$A$1:$I$89,5,0)</f>
        <v>0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188.98184340090461</v>
      </c>
      <c r="CZ123" s="59">
        <f t="shared" si="96"/>
        <v>450.74604661797798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11.255861780870351</v>
      </c>
      <c r="DH123" s="21">
        <f>EXP(-LN(2)/2)*DH122+(1-EXP(-LN(2)/2))/(LN(2)/2)*DB123*DE123*VLOOKUP('Données projet'!$B$13,Paramètres!$A$1:$I$89,3,0)*0.475*44/12</f>
        <v>1.277897070012696E-15</v>
      </c>
      <c r="DI123" s="22">
        <f t="shared" si="69"/>
        <v>11.255861780870353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369.00000000000011</v>
      </c>
      <c r="DP123" s="17">
        <f>DO123*VLOOKUP('Données projet'!$B$14,Paramètres!$A$1:$I$89,3,0)*VLOOKUP('Données projet'!$B$14,Paramètres!$A$1:$I$89,5,0)</f>
        <v>333.87120000000004</v>
      </c>
      <c r="DQ123" s="13">
        <f t="shared" si="97"/>
        <v>78.232360111376309</v>
      </c>
      <c r="DR123" s="20">
        <f t="shared" si="70"/>
        <v>717.74703386064709</v>
      </c>
      <c r="DS123" s="59">
        <f t="shared" si="71"/>
        <v>1004.3452636400664</v>
      </c>
      <c r="DT123" s="59">
        <f ca="1">AVERAGE(OFFSET($DS$3,0,0,'Données projet'!$E$14+1,1))-AVERAGE(OFFSET($H$3,0,0,'Données projet'!$E$14+1,1))</f>
        <v>442.34161202733173</v>
      </c>
      <c r="DU123" s="59">
        <f t="shared" si="98"/>
        <v>622.90413492324399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1.7784707250340401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1.7784707250340401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8.3369999999999997</v>
      </c>
      <c r="EJ123" s="12">
        <f>IF('Données projet'!$A$192&gt;35,EJ122+EI123-ER122,IF(A123&lt;'Données projet'!$A$192,$EG$205^A123,IF(A123='Données projet'!$A$192,'Données projet'!$B$192,EJ122+EI123-ER122)))</f>
        <v>418.51200000000011</v>
      </c>
      <c r="EK123" s="17">
        <f>EJ123*VLOOKUP('Données projet'!$B$15,Paramètres!$A$1:$I$89,3,0)*VLOOKUP('Données projet'!$B$15,Paramètres!$A$1:$I$89,5,0)</f>
        <v>457.01510400000006</v>
      </c>
      <c r="EL123" s="13">
        <f t="shared" si="99"/>
        <v>103.24444686258714</v>
      </c>
      <c r="EM123" s="20">
        <f t="shared" si="73"/>
        <v>975.78538441900582</v>
      </c>
      <c r="EN123" s="59">
        <f t="shared" si="74"/>
        <v>1262.3836141984252</v>
      </c>
      <c r="EO123" s="59">
        <f ca="1">AVERAGE(OFFSET($EN$3,0,0,'Données projet'!$E$15+1,1))-AVERAGE(OFFSET($H$3,0,0,'Données projet'!$E$15+1,1))</f>
        <v>767.9449852393318</v>
      </c>
      <c r="EP123" s="59">
        <f t="shared" si="100"/>
        <v>230.95605490295961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118.4493141595366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118.4493141595366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68.163153576205275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3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11</v>
      </c>
      <c r="H124" s="66">
        <f t="shared" si="56"/>
        <v>212.66666666666666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188.98184340090461</v>
      </c>
      <c r="T124" s="59">
        <f t="shared" si="88"/>
        <v>450.74604661797798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10.186999999999994</v>
      </c>
      <c r="AI124" s="13">
        <f>IF('Données projet'!$A$62&gt;35,AI123+AH124-AQ123,IF(A124&lt;'Données projet'!$A$62,$AF$205^A124,IF(A124='Données projet'!$A$62,'Données projet'!$B$62,AI123+AH124-AQ123)))</f>
        <v>514.72699999999975</v>
      </c>
      <c r="AJ124" s="13">
        <f>AI124*VLOOKUP('Données projet'!$B$10,Paramètres!$A$1:$I$89,3,0)*VLOOKUP('Données projet'!$B$10,Paramètres!$A$1:$I$89,5,0)</f>
        <v>465.72498959999973</v>
      </c>
      <c r="AK124" s="13">
        <f t="shared" si="89"/>
        <v>104.9811504896077</v>
      </c>
      <c r="AL124" s="20">
        <f t="shared" si="58"/>
        <v>993.97986065606619</v>
      </c>
      <c r="AM124" s="59">
        <f t="shared" si="59"/>
        <v>1280.6949294247102</v>
      </c>
      <c r="AN124" s="59">
        <f ca="1">AVERAGE(OFFSET($AM$3,0,0,'Données projet'!$E$10+1,1))-AVERAGE(OFFSET($H$3,0,0,'Données projet'!$E$10+1,1))</f>
        <v>725.60981534362895</v>
      </c>
      <c r="AO124" s="59">
        <f t="shared" si="90"/>
        <v>265.16078167969272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143.00294024549936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143.00294024549936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1.3899999999999977</v>
      </c>
      <c r="BD124" s="12">
        <f>IF('Données projet'!$A$88&gt;35,BD123+BC124-BL123,IF(A124&lt;'Données projet'!$A$88,$BA$205^A124,IF(A124='Données projet'!$A$88,'Données projet'!$B$88,BD123+BC124-BL123)))</f>
        <v>136.99000000000012</v>
      </c>
      <c r="BE124" s="13">
        <f>BD124*VLOOKUP('Données projet'!$B$11,Paramètres!$A$1:$I$89,3,0)*VLOOKUP('Données projet'!$B$11,Paramètres!$A$1:$I$89,5,0)</f>
        <v>157.81248000000014</v>
      </c>
      <c r="BF124" s="13">
        <f t="shared" si="91"/>
        <v>40.348719548028548</v>
      </c>
      <c r="BG124" s="20">
        <f t="shared" si="61"/>
        <v>345.13075587948327</v>
      </c>
      <c r="BH124" s="59">
        <f t="shared" si="62"/>
        <v>631.84582464812729</v>
      </c>
      <c r="BI124" s="59">
        <f ca="1">AVERAGE(OFFSET($BH$3,0,0,'Données projet'!$E$11+1,1))-AVERAGE(OFFSET($H$3,0,0,'Données projet'!$E$11+1,1))</f>
        <v>332.93090933713466</v>
      </c>
      <c r="BJ124" s="59">
        <f t="shared" si="92"/>
        <v>251.83579649532973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24.726636397951868</v>
      </c>
      <c r="BQ124" s="21">
        <f>EXP(-LN(2)/25)*BQ123+(1-EXP(-LN(2)/25))/(LN(2)/25)*Calculateur!BL124*Calculateur!BN124*VLOOKUP('Données projet'!$B$11,Paramètres!$A$1:$I$89,3,0)*0.475*44/12</f>
        <v>0.55788790053977677</v>
      </c>
      <c r="BR124" s="21">
        <f>EXP(-LN(2)/2)*BR123+(1-EXP(-LN(2)/2))/(LN(2)/2)*BL124*BO124*VLOOKUP('Données projet'!$B$11,Paramètres!$A$1:$I$89,3,0)*0.475*44/12</f>
        <v>5.4077919699302019E-17</v>
      </c>
      <c r="BS124" s="22">
        <f t="shared" si="63"/>
        <v>25.284524298491643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8.3369999999999997</v>
      </c>
      <c r="BY124" s="12">
        <f>IF('Données projet'!$A$114&gt;35,BY123+BX124-CG123,IF(A124&lt;'Données projet'!$A$114,$BV$205^A124,IF(A124='Données projet'!$A$114,'Données projet'!$B$114,BY123+BX124-CG123)))</f>
        <v>426.8490000000001</v>
      </c>
      <c r="BZ124" s="13">
        <f>BY124*VLOOKUP('Données projet'!$B$12,Paramètres!$A$1:$I$89,3,0)*VLOOKUP('Données projet'!$B$12,Paramètres!$A$1:$I$89,5,0)</f>
        <v>486.09564120000016</v>
      </c>
      <c r="CA124" s="13">
        <f t="shared" si="93"/>
        <v>109.02833569019732</v>
      </c>
      <c r="CB124" s="20">
        <f t="shared" si="64"/>
        <v>1036.5075930837606</v>
      </c>
      <c r="CC124" s="59">
        <f t="shared" si="65"/>
        <v>1323.2226618524046</v>
      </c>
      <c r="CD124" s="59">
        <f ca="1">AVERAGE(OFFSET($CC$3,0,0,'Données projet'!$E$12+1,1))-AVERAGE(OFFSET($H$3,0,0,'Données projet'!$E$12+1,1))</f>
        <v>797.57191672067393</v>
      </c>
      <c r="CE124" s="59">
        <f t="shared" si="94"/>
        <v>238.59056544987126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121.1034494424938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121.1034494424938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>
        <f>CT124*VLOOKUP('Données projet'!$B$13,Paramètres!$A$1:$I$89,3,0)*VLOOKUP('Données projet'!$B$13,Paramètres!$A$1:$I$89,5,0)</f>
        <v>0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188.98184340090461</v>
      </c>
      <c r="CZ124" s="59">
        <f t="shared" si="96"/>
        <v>450.74604661797798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10.948069648552405</v>
      </c>
      <c r="DH124" s="21">
        <f>EXP(-LN(2)/2)*DH123+(1-EXP(-LN(2)/2))/(LN(2)/2)*DB124*DE124*VLOOKUP('Données projet'!$B$13,Paramètres!$A$1:$I$89,3,0)*0.475*44/12</f>
        <v>9.0360968386439761E-16</v>
      </c>
      <c r="DI124" s="22">
        <f t="shared" si="69"/>
        <v>10.948069648552407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369.00000000000011</v>
      </c>
      <c r="DP124" s="17">
        <f>DO124*VLOOKUP('Données projet'!$B$14,Paramètres!$A$1:$I$89,3,0)*VLOOKUP('Données projet'!$B$14,Paramètres!$A$1:$I$89,5,0)</f>
        <v>333.87120000000004</v>
      </c>
      <c r="DQ124" s="13">
        <f t="shared" si="97"/>
        <v>78.232360111376309</v>
      </c>
      <c r="DR124" s="20">
        <f t="shared" si="70"/>
        <v>717.74703386064709</v>
      </c>
      <c r="DS124" s="59">
        <f t="shared" si="71"/>
        <v>1004.4621026292911</v>
      </c>
      <c r="DT124" s="59">
        <f ca="1">AVERAGE(OFFSET($DS$3,0,0,'Données projet'!$E$14+1,1))-AVERAGE(OFFSET($H$3,0,0,'Données projet'!$E$14+1,1))</f>
        <v>442.34161202733173</v>
      </c>
      <c r="DU124" s="59">
        <f t="shared" si="98"/>
        <v>622.90413492324399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1.7435959988761538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1.7435959988761538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8.3369999999999997</v>
      </c>
      <c r="EJ124" s="12">
        <f>IF('Données projet'!$A$192&gt;35,EJ123+EI124-ER123,IF(A124&lt;'Données projet'!$A$192,$EG$205^A124,IF(A124='Données projet'!$A$192,'Données projet'!$B$192,EJ123+EI124-ER123)))</f>
        <v>426.8490000000001</v>
      </c>
      <c r="EK124" s="17">
        <f>EJ124*VLOOKUP('Données projet'!$B$15,Paramètres!$A$1:$I$89,3,0)*VLOOKUP('Données projet'!$B$15,Paramètres!$A$1:$I$89,5,0)</f>
        <v>466.11910800000015</v>
      </c>
      <c r="EL124" s="13">
        <f t="shared" si="99"/>
        <v>105.0596456391098</v>
      </c>
      <c r="EM124" s="20">
        <f t="shared" si="73"/>
        <v>994.80299592144968</v>
      </c>
      <c r="EN124" s="59">
        <f t="shared" si="74"/>
        <v>1281.5180646900935</v>
      </c>
      <c r="EO124" s="59">
        <f ca="1">AVERAGE(OFFSET($EN$3,0,0,'Données projet'!$E$15+1,1))-AVERAGE(OFFSET($H$3,0,0,'Données projet'!$E$15+1,1))</f>
        <v>767.9449852393318</v>
      </c>
      <c r="EP124" s="59">
        <f t="shared" si="100"/>
        <v>230.95605490295961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116.12659535581592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116.12659535581592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68.195018755084718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3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11</v>
      </c>
      <c r="H125" s="66">
        <f t="shared" si="56"/>
        <v>212.66666666666666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188.98184340090461</v>
      </c>
      <c r="T125" s="59">
        <f t="shared" si="88"/>
        <v>450.74604661797798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10.186999999999994</v>
      </c>
      <c r="AI125" s="13">
        <f>IF('Données projet'!$A$62&gt;35,AI124+AH125-AQ124,IF(A125&lt;'Données projet'!$A$62,$AF$205^A125,IF(A125='Données projet'!$A$62,'Données projet'!$B$62,AI124+AH125-AQ124)))</f>
        <v>524.91399999999976</v>
      </c>
      <c r="AJ125" s="13">
        <f>AI125*VLOOKUP('Données projet'!$B$10,Paramètres!$A$1:$I$89,3,0)*VLOOKUP('Données projet'!$B$10,Paramètres!$A$1:$I$89,5,0)</f>
        <v>474.94218719999981</v>
      </c>
      <c r="AK125" s="13">
        <f t="shared" si="89"/>
        <v>106.81489790824931</v>
      </c>
      <c r="AL125" s="20">
        <f t="shared" si="58"/>
        <v>1013.2269232302006</v>
      </c>
      <c r="AM125" s="59">
        <f t="shared" si="59"/>
        <v>1300.056804092819</v>
      </c>
      <c r="AN125" s="59">
        <f ca="1">AVERAGE(OFFSET($AM$3,0,0,'Données projet'!$E$10+1,1))-AVERAGE(OFFSET($H$3,0,0,'Données projet'!$E$10+1,1))</f>
        <v>725.60981534362895</v>
      </c>
      <c r="AO125" s="59">
        <f t="shared" si="90"/>
        <v>265.16078167969272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140.19873981046609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140.19873981046609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1.3899999999999977</v>
      </c>
      <c r="BD125" s="12">
        <f>IF('Données projet'!$A$88&gt;35,BD124+BC125-BL124,IF(A125&lt;'Données projet'!$A$88,$BA$205^A125,IF(A125='Données projet'!$A$88,'Données projet'!$B$88,BD124+BC125-BL124)))</f>
        <v>138.38000000000011</v>
      </c>
      <c r="BE125" s="13">
        <f>BD125*VLOOKUP('Données projet'!$B$11,Paramètres!$A$1:$I$89,3,0)*VLOOKUP('Données projet'!$B$11,Paramètres!$A$1:$I$89,5,0)</f>
        <v>159.41376000000011</v>
      </c>
      <c r="BF125" s="13">
        <f t="shared" si="91"/>
        <v>40.710259102835373</v>
      </c>
      <c r="BG125" s="20">
        <f t="shared" si="61"/>
        <v>348.5493332707718</v>
      </c>
      <c r="BH125" s="59">
        <f t="shared" si="62"/>
        <v>635.37921413339018</v>
      </c>
      <c r="BI125" s="59">
        <f ca="1">AVERAGE(OFFSET($BH$3,0,0,'Données projet'!$E$11+1,1))-AVERAGE(OFFSET($H$3,0,0,'Données projet'!$E$11+1,1))</f>
        <v>332.93090933713466</v>
      </c>
      <c r="BJ125" s="59">
        <f t="shared" si="92"/>
        <v>251.83579649532973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24.241762139947035</v>
      </c>
      <c r="BQ125" s="21">
        <f>EXP(-LN(2)/25)*BQ124+(1-EXP(-LN(2)/25))/(LN(2)/25)*Calculateur!BL125*Calculateur!BN125*VLOOKUP('Données projet'!$B$11,Paramètres!$A$1:$I$89,3,0)*0.475*44/12</f>
        <v>0.54263242656146693</v>
      </c>
      <c r="BR125" s="21">
        <f>EXP(-LN(2)/2)*BR124+(1-EXP(-LN(2)/2))/(LN(2)/2)*BL125*BO125*VLOOKUP('Données projet'!$B$11,Paramètres!$A$1:$I$89,3,0)*0.475*44/12</f>
        <v>3.8238863731838044E-17</v>
      </c>
      <c r="BS125" s="22">
        <f t="shared" si="63"/>
        <v>24.784394566508503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8.3369999999999997</v>
      </c>
      <c r="BY125" s="12">
        <f>IF('Données projet'!$A$114&gt;35,BY124+BX125-CG124,IF(A125&lt;'Données projet'!$A$114,$BV$205^A125,IF(A125='Données projet'!$A$114,'Données projet'!$B$114,BY124+BX125-CG124)))</f>
        <v>435.18600000000009</v>
      </c>
      <c r="BZ125" s="13">
        <f>BY125*VLOOKUP('Données projet'!$B$12,Paramètres!$A$1:$I$89,3,0)*VLOOKUP('Données projet'!$B$12,Paramètres!$A$1:$I$89,5,0)</f>
        <v>495.58981680000016</v>
      </c>
      <c r="CA125" s="13">
        <f t="shared" si="93"/>
        <v>110.90782656246975</v>
      </c>
      <c r="CB125" s="20">
        <f t="shared" si="64"/>
        <v>1056.3167288563018</v>
      </c>
      <c r="CC125" s="59">
        <f t="shared" si="65"/>
        <v>1343.1466097189202</v>
      </c>
      <c r="CD125" s="59">
        <f ca="1">AVERAGE(OFFSET($CC$3,0,0,'Données projet'!$E$12+1,1))-AVERAGE(OFFSET($H$3,0,0,'Données projet'!$E$12+1,1))</f>
        <v>797.57191672067393</v>
      </c>
      <c r="CE125" s="59">
        <f t="shared" si="94"/>
        <v>238.59056544987126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118.72868466473702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118.72868466473702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>
        <f>CT125*VLOOKUP('Données projet'!$B$13,Paramètres!$A$1:$I$89,3,0)*VLOOKUP('Données projet'!$B$13,Paramètres!$A$1:$I$89,5,0)</f>
        <v>0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188.98184340090461</v>
      </c>
      <c r="CZ125" s="59">
        <f t="shared" si="96"/>
        <v>450.74604661797798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10.648694108278779</v>
      </c>
      <c r="DH125" s="21">
        <f>EXP(-LN(2)/2)*DH124+(1-EXP(-LN(2)/2))/(LN(2)/2)*DB125*DE125*VLOOKUP('Données projet'!$B$13,Paramètres!$A$1:$I$89,3,0)*0.475*44/12</f>
        <v>6.3894853500634799E-16</v>
      </c>
      <c r="DI125" s="22">
        <f t="shared" si="69"/>
        <v>10.648694108278779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369.00000000000011</v>
      </c>
      <c r="DP125" s="17">
        <f>DO125*VLOOKUP('Données projet'!$B$14,Paramètres!$A$1:$I$89,3,0)*VLOOKUP('Données projet'!$B$14,Paramètres!$A$1:$I$89,5,0)</f>
        <v>333.87120000000004</v>
      </c>
      <c r="DQ125" s="13">
        <f t="shared" si="97"/>
        <v>78.232360111376309</v>
      </c>
      <c r="DR125" s="20">
        <f t="shared" si="70"/>
        <v>717.74703386064709</v>
      </c>
      <c r="DS125" s="59">
        <f t="shared" si="71"/>
        <v>1004.5769147232654</v>
      </c>
      <c r="DT125" s="59">
        <f ca="1">AVERAGE(OFFSET($DS$3,0,0,'Données projet'!$E$14+1,1))-AVERAGE(OFFSET($H$3,0,0,'Données projet'!$E$14+1,1))</f>
        <v>442.34161202733173</v>
      </c>
      <c r="DU125" s="59">
        <f t="shared" si="98"/>
        <v>622.90413492324399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1.7094051448267409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1.7094051448267409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8.3369999999999997</v>
      </c>
      <c r="EJ125" s="12">
        <f>IF('Données projet'!$A$192&gt;35,EJ124+EI125-ER124,IF(A125&lt;'Données projet'!$A$192,$EG$205^A125,IF(A125='Données projet'!$A$192,'Données projet'!$B$192,EJ124+EI125-ER124)))</f>
        <v>435.18600000000009</v>
      </c>
      <c r="EK125" s="17">
        <f>EJ125*VLOOKUP('Données projet'!$B$15,Paramètres!$A$1:$I$89,3,0)*VLOOKUP('Données projet'!$B$15,Paramètres!$A$1:$I$89,5,0)</f>
        <v>475.22311200000013</v>
      </c>
      <c r="EL125" s="13">
        <f t="shared" si="99"/>
        <v>106.87072203290131</v>
      </c>
      <c r="EM125" s="20">
        <f t="shared" si="73"/>
        <v>1013.8134276073032</v>
      </c>
      <c r="EN125" s="59">
        <f t="shared" si="74"/>
        <v>1300.6433084699215</v>
      </c>
      <c r="EO125" s="59">
        <f ca="1">AVERAGE(OFFSET($EN$3,0,0,'Données projet'!$E$15+1,1))-AVERAGE(OFFSET($H$3,0,0,'Données projet'!$E$15+1,1))</f>
        <v>767.9449852393318</v>
      </c>
      <c r="EP125" s="59">
        <f t="shared" si="100"/>
        <v>230.95605490295961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113.84942365111763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113.84942365111763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68.226331144350468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3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11</v>
      </c>
      <c r="H126" s="66">
        <f t="shared" si="56"/>
        <v>212.66666666666666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188.98184340090461</v>
      </c>
      <c r="T126" s="59">
        <f t="shared" si="88"/>
        <v>450.74604661797798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10.186999999999994</v>
      </c>
      <c r="AI126" s="13">
        <f>IF('Données projet'!$A$62&gt;35,AI125+AH126-AQ125,IF(A126&lt;'Données projet'!$A$62,$AF$205^A126,IF(A126='Données projet'!$A$62,'Données projet'!$B$62,AI125+AH126-AQ125)))</f>
        <v>535.10099999999977</v>
      </c>
      <c r="AJ126" s="13">
        <f>AI126*VLOOKUP('Données projet'!$B$10,Paramètres!$A$1:$I$89,3,0)*VLOOKUP('Données projet'!$B$10,Paramètres!$A$1:$I$89,5,0)</f>
        <v>484.15938479999977</v>
      </c>
      <c r="AK126" s="13">
        <f t="shared" si="89"/>
        <v>108.64450734079013</v>
      </c>
      <c r="AL126" s="20">
        <f t="shared" si="58"/>
        <v>1032.4667788118757</v>
      </c>
      <c r="AM126" s="59">
        <f t="shared" si="59"/>
        <v>1319.4094800353193</v>
      </c>
      <c r="AN126" s="59">
        <f ca="1">AVERAGE(OFFSET($AM$3,0,0,'Données projet'!$E$10+1,1))-AVERAGE(OFFSET($H$3,0,0,'Données projet'!$E$10+1,1))</f>
        <v>725.60981534362895</v>
      </c>
      <c r="AO126" s="59">
        <f t="shared" si="90"/>
        <v>265.16078167969272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137.44952803557044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137.44952803557044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1.3899999999999977</v>
      </c>
      <c r="BD126" s="12">
        <f>IF('Données projet'!$A$88&gt;35,BD125+BC126-BL125,IF(A126&lt;'Données projet'!$A$88,$BA$205^A126,IF(A126='Données projet'!$A$88,'Données projet'!$B$88,BD125+BC126-BL125)))</f>
        <v>139.7700000000001</v>
      </c>
      <c r="BE126" s="13">
        <f>BD126*VLOOKUP('Données projet'!$B$11,Paramètres!$A$1:$I$89,3,0)*VLOOKUP('Données projet'!$B$11,Paramètres!$A$1:$I$89,5,0)</f>
        <v>161.01504000000011</v>
      </c>
      <c r="BF126" s="13">
        <f t="shared" si="91"/>
        <v>41.07137617961147</v>
      </c>
      <c r="BG126" s="20">
        <f t="shared" si="61"/>
        <v>351.96717484615675</v>
      </c>
      <c r="BH126" s="59">
        <f t="shared" si="62"/>
        <v>638.9098760696005</v>
      </c>
      <c r="BI126" s="59">
        <f ca="1">AVERAGE(OFFSET($BH$3,0,0,'Données projet'!$E$11+1,1))-AVERAGE(OFFSET($H$3,0,0,'Données projet'!$E$11+1,1))</f>
        <v>332.93090933713466</v>
      </c>
      <c r="BJ126" s="59">
        <f t="shared" si="92"/>
        <v>251.83579649532973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23.766395970397582</v>
      </c>
      <c r="BQ126" s="21">
        <f>EXP(-LN(2)/25)*BQ125+(1-EXP(-LN(2)/25))/(LN(2)/25)*Calculateur!BL126*Calculateur!BN126*VLOOKUP('Données projet'!$B$11,Paramètres!$A$1:$I$89,3,0)*0.475*44/12</f>
        <v>0.52779411432134449</v>
      </c>
      <c r="BR126" s="21">
        <f>EXP(-LN(2)/2)*BR125+(1-EXP(-LN(2)/2))/(LN(2)/2)*BL126*BO126*VLOOKUP('Données projet'!$B$11,Paramètres!$A$1:$I$89,3,0)*0.475*44/12</f>
        <v>2.7038959849651013E-17</v>
      </c>
      <c r="BS126" s="22">
        <f t="shared" si="63"/>
        <v>24.294190084718927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8.3369999999999997</v>
      </c>
      <c r="BY126" s="12">
        <f>IF('Données projet'!$A$114&gt;35,BY125+BX126-CG125,IF(A126&lt;'Données projet'!$A$114,$BV$205^A126,IF(A126='Données projet'!$A$114,'Données projet'!$B$114,BY125+BX126-CG125)))</f>
        <v>443.52300000000008</v>
      </c>
      <c r="BZ126" s="13">
        <f>BY126*VLOOKUP('Données projet'!$B$12,Paramètres!$A$1:$I$89,3,0)*VLOOKUP('Données projet'!$B$12,Paramètres!$A$1:$I$89,5,0)</f>
        <v>505.08399240000011</v>
      </c>
      <c r="CA126" s="13">
        <f t="shared" si="93"/>
        <v>112.78313073283364</v>
      </c>
      <c r="CB126" s="20">
        <f t="shared" si="64"/>
        <v>1076.1185727896852</v>
      </c>
      <c r="CC126" s="59">
        <f t="shared" si="65"/>
        <v>1363.0612740131289</v>
      </c>
      <c r="CD126" s="59">
        <f ca="1">AVERAGE(OFFSET($CC$3,0,0,'Données projet'!$E$12+1,1))-AVERAGE(OFFSET($H$3,0,0,'Données projet'!$E$12+1,1))</f>
        <v>797.57191672067393</v>
      </c>
      <c r="CE126" s="59">
        <f t="shared" si="94"/>
        <v>238.59056544987126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116.40048757580855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116.40048757580855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>
        <f>CT126*VLOOKUP('Données projet'!$B$13,Paramètres!$A$1:$I$89,3,0)*VLOOKUP('Données projet'!$B$13,Paramètres!$A$1:$I$89,5,0)</f>
        <v>0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188.98184340090461</v>
      </c>
      <c r="CZ126" s="59">
        <f t="shared" si="96"/>
        <v>450.74604661797798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10.35750500789741</v>
      </c>
      <c r="DH126" s="21">
        <f>EXP(-LN(2)/2)*DH125+(1-EXP(-LN(2)/2))/(LN(2)/2)*DB126*DE126*VLOOKUP('Données projet'!$B$13,Paramètres!$A$1:$I$89,3,0)*0.475*44/12</f>
        <v>4.5180484193219881E-16</v>
      </c>
      <c r="DI126" s="22">
        <f t="shared" si="69"/>
        <v>10.35750500789741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369.00000000000011</v>
      </c>
      <c r="DP126" s="17">
        <f>DO126*VLOOKUP('Données projet'!$B$14,Paramètres!$A$1:$I$89,3,0)*VLOOKUP('Données projet'!$B$14,Paramètres!$A$1:$I$89,5,0)</f>
        <v>333.87120000000004</v>
      </c>
      <c r="DQ126" s="13">
        <f t="shared" si="97"/>
        <v>78.232360111376309</v>
      </c>
      <c r="DR126" s="20">
        <f t="shared" si="70"/>
        <v>717.74703386064709</v>
      </c>
      <c r="DS126" s="59">
        <f t="shared" si="71"/>
        <v>1004.6897350840909</v>
      </c>
      <c r="DT126" s="59">
        <f ca="1">AVERAGE(OFFSET($DS$3,0,0,'Données projet'!$E$14+1,1))-AVERAGE(OFFSET($H$3,0,0,'Données projet'!$E$14+1,1))</f>
        <v>442.34161202733173</v>
      </c>
      <c r="DU126" s="59">
        <f t="shared" si="98"/>
        <v>622.90413492324399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1.6758847525708753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1.6758847525708753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8.3369999999999997</v>
      </c>
      <c r="EJ126" s="12">
        <f>IF('Données projet'!$A$192&gt;35,EJ125+EI126-ER125,IF(A126&lt;'Données projet'!$A$192,$EG$205^A126,IF(A126='Données projet'!$A$192,'Données projet'!$B$192,EJ125+EI126-ER125)))</f>
        <v>443.52300000000008</v>
      </c>
      <c r="EK126" s="17">
        <f>EJ126*VLOOKUP('Données projet'!$B$15,Paramètres!$A$1:$I$89,3,0)*VLOOKUP('Données projet'!$B$15,Paramètres!$A$1:$I$89,5,0)</f>
        <v>484.3271160000001</v>
      </c>
      <c r="EL126" s="13">
        <f t="shared" si="99"/>
        <v>108.67776412298504</v>
      </c>
      <c r="EM126" s="20">
        <f t="shared" si="73"/>
        <v>1032.8168328808658</v>
      </c>
      <c r="EN126" s="59">
        <f t="shared" si="74"/>
        <v>1319.7595341043095</v>
      </c>
      <c r="EO126" s="59">
        <f ca="1">AVERAGE(OFFSET($EN$3,0,0,'Données projet'!$E$15+1,1))-AVERAGE(OFFSET($H$3,0,0,'Données projet'!$E$15+1,1))</f>
        <v>767.9449852393318</v>
      </c>
      <c r="EP126" s="59">
        <f t="shared" si="100"/>
        <v>230.95605490295961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111.61690589461088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111.61690589461088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68.257100333666472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3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11</v>
      </c>
      <c r="H127" s="66">
        <f t="shared" si="56"/>
        <v>212.66666666666666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188.98184340090461</v>
      </c>
      <c r="T127" s="59">
        <f t="shared" si="88"/>
        <v>450.74604661797798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10.186999999999994</v>
      </c>
      <c r="AI127" s="13">
        <f>IF('Données projet'!$A$62&gt;35,AI126+AH127-AQ126,IF(A127&lt;'Données projet'!$A$62,$AF$205^A127,IF(A127='Données projet'!$A$62,'Données projet'!$B$62,AI126+AH127-AQ126)))</f>
        <v>545.28799999999978</v>
      </c>
      <c r="AJ127" s="13">
        <f>AI127*VLOOKUP('Données projet'!$B$10,Paramètres!$A$1:$I$89,3,0)*VLOOKUP('Données projet'!$B$10,Paramètres!$A$1:$I$89,5,0)</f>
        <v>493.37658239999979</v>
      </c>
      <c r="AK127" s="13">
        <f t="shared" si="89"/>
        <v>110.47006664723473</v>
      </c>
      <c r="AL127" s="20">
        <f t="shared" si="58"/>
        <v>1051.6995804239334</v>
      </c>
      <c r="AM127" s="59">
        <f t="shared" si="59"/>
        <v>1338.7531448271707</v>
      </c>
      <c r="AN127" s="59">
        <f ca="1">AVERAGE(OFFSET($AM$3,0,0,'Données projet'!$E$10+1,1))-AVERAGE(OFFSET($H$3,0,0,'Données projet'!$E$10+1,1))</f>
        <v>725.60981534362895</v>
      </c>
      <c r="AO127" s="59">
        <f t="shared" si="90"/>
        <v>265.16078167969272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134.7542266267269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134.7542266267269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1.3899999999999977</v>
      </c>
      <c r="BD127" s="12">
        <f>IF('Données projet'!$A$88&gt;35,BD126+BC127-BL126,IF(A127&lt;'Données projet'!$A$88,$BA$205^A127,IF(A127='Données projet'!$A$88,'Données projet'!$B$88,BD126+BC127-BL126)))</f>
        <v>141.16000000000008</v>
      </c>
      <c r="BE127" s="13">
        <f>BD127*VLOOKUP('Données projet'!$B$11,Paramètres!$A$1:$I$89,3,0)*VLOOKUP('Données projet'!$B$11,Paramètres!$A$1:$I$89,5,0)</f>
        <v>162.61632000000009</v>
      </c>
      <c r="BF127" s="13">
        <f t="shared" si="91"/>
        <v>41.432075466359329</v>
      </c>
      <c r="BG127" s="20">
        <f t="shared" si="61"/>
        <v>355.38428877057595</v>
      </c>
      <c r="BH127" s="59">
        <f t="shared" si="62"/>
        <v>642.43785317381321</v>
      </c>
      <c r="BI127" s="59">
        <f ca="1">AVERAGE(OFFSET($BH$3,0,0,'Données projet'!$E$11+1,1))-AVERAGE(OFFSET($H$3,0,0,'Données projet'!$E$11+1,1))</f>
        <v>332.93090933713466</v>
      </c>
      <c r="BJ127" s="59">
        <f t="shared" si="92"/>
        <v>251.83579649532973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23.30035144148826</v>
      </c>
      <c r="BQ127" s="21">
        <f>EXP(-LN(2)/25)*BQ126+(1-EXP(-LN(2)/25))/(LN(2)/25)*Calculateur!BL127*Calculateur!BN127*VLOOKUP('Données projet'!$B$11,Paramètres!$A$1:$I$89,3,0)*0.475*44/12</f>
        <v>0.51336155650974113</v>
      </c>
      <c r="BR127" s="21">
        <f>EXP(-LN(2)/2)*BR126+(1-EXP(-LN(2)/2))/(LN(2)/2)*BL127*BO127*VLOOKUP('Données projet'!$B$11,Paramètres!$A$1:$I$89,3,0)*0.475*44/12</f>
        <v>1.9119431865919025E-17</v>
      </c>
      <c r="BS127" s="22">
        <f t="shared" si="63"/>
        <v>23.813712997998003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>
        <f>VLOOKUP(A127,'Données projet'!$A$113:$I$133,2,0)</f>
        <v>451.86</v>
      </c>
      <c r="BW127" s="12">
        <f>VLOOKUP(A127,'Données projet'!$A$113:$I$133,9,0)</f>
        <v>8.3369999999999997</v>
      </c>
      <c r="BX127" s="12">
        <f t="array" ref="BX127">INDEX(BW:BW,MIN(IF(ISNUMBER(BW127:BW323),ROW(BW127:BW323),"")))</f>
        <v>8.3369999999999997</v>
      </c>
      <c r="BY127" s="12">
        <f>IF('Données projet'!$A$114&gt;35,BY126+BX127-CG126,IF(A127&lt;'Données projet'!$A$114,$BV$205^A127,IF(A127='Données projet'!$A$114,'Données projet'!$B$114,BY126+BX127-CG126)))</f>
        <v>451.86000000000007</v>
      </c>
      <c r="BZ127" s="13">
        <f>BY127*VLOOKUP('Données projet'!$B$12,Paramètres!$A$1:$I$89,3,0)*VLOOKUP('Données projet'!$B$12,Paramètres!$A$1:$I$89,5,0)</f>
        <v>514.57816800000012</v>
      </c>
      <c r="CA127" s="13">
        <f t="shared" si="93"/>
        <v>114.65433597451953</v>
      </c>
      <c r="CB127" s="20">
        <f t="shared" si="64"/>
        <v>1095.9132777556217</v>
      </c>
      <c r="CC127" s="59">
        <f t="shared" si="65"/>
        <v>1382.966842158859</v>
      </c>
      <c r="CD127" s="59">
        <f ca="1">AVERAGE(OFFSET($CC$3,0,0,'Données projet'!$E$12+1,1))-AVERAGE(OFFSET($H$3,0,0,'Données projet'!$E$12+1,1))</f>
        <v>797.57191672067393</v>
      </c>
      <c r="CE127" s="59">
        <f t="shared" si="94"/>
        <v>238.59056544987126</v>
      </c>
      <c r="CF127" s="15">
        <f>IF(ISNA(VLOOKUP(A127,'Données projet'!$A$113:$I$133,3,0)),0,VLOOKUP(A127,'Données projet'!$A$113:$I$133,3,0))</f>
        <v>10</v>
      </c>
      <c r="CG127" s="15">
        <f>IF(ISNA(VLOOKUP(A127,'Données projet'!$A$113:$I$133,4,0)),0,VLOOKUP(A127,'Données projet'!$A$113:$I$133,4,0))</f>
        <v>52.53</v>
      </c>
      <c r="CH127" s="16">
        <f>IF(ISNA(VLOOKUP(A127,'Données projet'!$A$113:$I$133,5,0)),0%,VLOOKUP(A127,'Données projet'!$A$113:$I$133,5,0)*VLOOKUP('Données projet'!$B$12,Paramètres!$A$1:$I$89,7,0))</f>
        <v>0.43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142.5540707063426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142.5540707063426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>
        <f>CT127*VLOOKUP('Données projet'!$B$13,Paramètres!$A$1:$I$89,3,0)*VLOOKUP('Données projet'!$B$13,Paramètres!$A$1:$I$89,5,0)</f>
        <v>0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188.98184340090461</v>
      </c>
      <c r="CZ127" s="59">
        <f t="shared" si="96"/>
        <v>450.74604661797798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10.07427848877894</v>
      </c>
      <c r="DH127" s="21">
        <f>EXP(-LN(2)/2)*DH126+(1-EXP(-LN(2)/2))/(LN(2)/2)*DB127*DE127*VLOOKUP('Données projet'!$B$13,Paramètres!$A$1:$I$89,3,0)*0.475*44/12</f>
        <v>3.1947426750317399E-16</v>
      </c>
      <c r="DI127" s="22">
        <f t="shared" si="69"/>
        <v>10.07427848877894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369.00000000000011</v>
      </c>
      <c r="DP127" s="17">
        <f>DO127*VLOOKUP('Données projet'!$B$14,Paramètres!$A$1:$I$89,3,0)*VLOOKUP('Données projet'!$B$14,Paramètres!$A$1:$I$89,5,0)</f>
        <v>333.87120000000004</v>
      </c>
      <c r="DQ127" s="13">
        <f t="shared" si="97"/>
        <v>78.232360111376309</v>
      </c>
      <c r="DR127" s="20">
        <f t="shared" si="70"/>
        <v>717.74703386064709</v>
      </c>
      <c r="DS127" s="59">
        <f t="shared" si="71"/>
        <v>1004.8005982638845</v>
      </c>
      <c r="DT127" s="59">
        <f ca="1">AVERAGE(OFFSET($DS$3,0,0,'Données projet'!$E$14+1,1))-AVERAGE(OFFSET($H$3,0,0,'Données projet'!$E$14+1,1))</f>
        <v>442.34161202733173</v>
      </c>
      <c r="DU127" s="59">
        <f t="shared" si="98"/>
        <v>622.90413492324399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1.6430216747617268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1.6430216747617268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>
        <f>VLOOKUP(A127,'Données projet'!$A$191:$I$211,2,0)</f>
        <v>451.86</v>
      </c>
      <c r="EH127" s="12">
        <f>VLOOKUP(A127,'Données projet'!$A$191:$I$211,9,0)</f>
        <v>8.3369999999999997</v>
      </c>
      <c r="EI127" s="12">
        <f t="array" ref="EI127">INDEX(EH:EH,MIN(IF(ISNUMBER(EH127:EH323),ROW(EH127:EH323),"")))</f>
        <v>8.3369999999999997</v>
      </c>
      <c r="EJ127" s="12">
        <f>IF('Données projet'!$A$192&gt;35,EJ126+EI127-ER126,IF(A127&lt;'Données projet'!$A$192,$EG$205^A127,IF(A127='Données projet'!$A$192,'Données projet'!$B$192,EJ126+EI127-ER126)))</f>
        <v>451.86000000000007</v>
      </c>
      <c r="EK127" s="17">
        <f>EJ127*VLOOKUP('Données projet'!$B$15,Paramètres!$A$1:$I$89,3,0)*VLOOKUP('Données projet'!$B$15,Paramètres!$A$1:$I$89,5,0)</f>
        <v>493.43112000000002</v>
      </c>
      <c r="EL127" s="13">
        <f t="shared" si="99"/>
        <v>110.48085648759901</v>
      </c>
      <c r="EM127" s="20">
        <f t="shared" si="73"/>
        <v>1051.813359049235</v>
      </c>
      <c r="EN127" s="59">
        <f t="shared" si="74"/>
        <v>1338.8669234524723</v>
      </c>
      <c r="EO127" s="59">
        <f ca="1">AVERAGE(OFFSET($EN$3,0,0,'Données projet'!$E$15+1,1))-AVERAGE(OFFSET($H$3,0,0,'Données projet'!$E$15+1,1))</f>
        <v>767.9449852393318</v>
      </c>
      <c r="EP127" s="59">
        <f t="shared" si="100"/>
        <v>230.95605490295961</v>
      </c>
      <c r="EQ127" s="15">
        <f>IF(ISNA(VLOOKUP(A127,'Données projet'!$A$191:$I$211,3,0)),0,VLOOKUP(A127,'Données projet'!$A$191:$I$211,3,0))</f>
        <v>10</v>
      </c>
      <c r="ER127" s="15">
        <f>IF(ISNA(VLOOKUP(A127,'Données projet'!$A$191:$I$211,4,0)),0,VLOOKUP(A127,'Données projet'!$A$191:$I$211,4,0))</f>
        <v>52.53</v>
      </c>
      <c r="ES127" s="16">
        <f>IF(ISNA(VLOOKUP(A127,'Données projet'!$A$191:$I$211,5,0)),0%,VLOOKUP(A127,'Données projet'!$A$191:$I$211,5,0)*VLOOKUP('Données projet'!$B$15,Paramètres!$A$1:$I$89,7,0))</f>
        <v>0.43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136.69568423895859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136.69568423895859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68.287335746337448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3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</v>
      </c>
      <c r="H128" s="66">
        <f t="shared" si="56"/>
        <v>212.66666666666666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188.98184340090461</v>
      </c>
      <c r="T128" s="59">
        <f t="shared" si="88"/>
        <v>450.74604661797798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10.186999999999994</v>
      </c>
      <c r="AI128" s="13">
        <f>IF('Données projet'!$A$62&gt;35,AI127+AH128-AQ127,IF(A128&lt;'Données projet'!$A$62,$AF$205^A128,IF(A128='Données projet'!$A$62,'Données projet'!$B$62,AI127+AH128-AQ127)))</f>
        <v>555.4749999999998</v>
      </c>
      <c r="AJ128" s="13">
        <f>AI128*VLOOKUP('Données projet'!$B$10,Paramètres!$A$1:$I$89,3,0)*VLOOKUP('Données projet'!$B$10,Paramètres!$A$1:$I$89,5,0)</f>
        <v>502.59377999999987</v>
      </c>
      <c r="AK128" s="13">
        <f t="shared" si="89"/>
        <v>112.29166021692112</v>
      </c>
      <c r="AL128" s="20">
        <f t="shared" si="58"/>
        <v>1070.9254750444707</v>
      </c>
      <c r="AM128" s="59">
        <f t="shared" si="59"/>
        <v>1358.0879793991851</v>
      </c>
      <c r="AN128" s="59">
        <f ca="1">AVERAGE(OFFSET($AM$3,0,0,'Données projet'!$E$10+1,1))-AVERAGE(OFFSET($H$3,0,0,'Données projet'!$E$10+1,1))</f>
        <v>725.60981534362895</v>
      </c>
      <c r="AO128" s="59">
        <f t="shared" si="90"/>
        <v>265.16078167969272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132.11177843453925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132.11177843453925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1.3899999999999977</v>
      </c>
      <c r="BD128" s="12">
        <f>IF('Données projet'!$A$88&gt;35,BD127+BC128-BL127,IF(A128&lt;'Données projet'!$A$88,$BA$205^A128,IF(A128='Données projet'!$A$88,'Données projet'!$B$88,BD127+BC128-BL127)))</f>
        <v>142.55000000000007</v>
      </c>
      <c r="BE128" s="13">
        <f>BD128*VLOOKUP('Données projet'!$B$11,Paramètres!$A$1:$I$89,3,0)*VLOOKUP('Données projet'!$B$11,Paramètres!$A$1:$I$89,5,0)</f>
        <v>164.21760000000009</v>
      </c>
      <c r="BF128" s="13">
        <f t="shared" si="91"/>
        <v>41.79236155343402</v>
      </c>
      <c r="BG128" s="20">
        <f t="shared" si="61"/>
        <v>358.80068303889772</v>
      </c>
      <c r="BH128" s="59">
        <f t="shared" si="62"/>
        <v>645.96318739361209</v>
      </c>
      <c r="BI128" s="59">
        <f ca="1">AVERAGE(OFFSET($BH$3,0,0,'Données projet'!$E$11+1,1))-AVERAGE(OFFSET($H$3,0,0,'Données projet'!$E$11+1,1))</f>
        <v>332.93090933713466</v>
      </c>
      <c r="BJ128" s="59">
        <f t="shared" si="92"/>
        <v>251.83579649532973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22.843445761531754</v>
      </c>
      <c r="BQ128" s="21">
        <f>EXP(-LN(2)/25)*BQ127+(1-EXP(-LN(2)/25))/(LN(2)/25)*Calculateur!BL128*Calculateur!BN128*VLOOKUP('Données projet'!$B$11,Paramètres!$A$1:$I$89,3,0)*0.475*44/12</f>
        <v>0.49932365775047133</v>
      </c>
      <c r="BR128" s="21">
        <f>EXP(-LN(2)/2)*BR127+(1-EXP(-LN(2)/2))/(LN(2)/2)*BL128*BO128*VLOOKUP('Données projet'!$B$11,Paramètres!$A$1:$I$89,3,0)*0.475*44/12</f>
        <v>1.3519479924825509E-17</v>
      </c>
      <c r="BS128" s="22">
        <f t="shared" si="63"/>
        <v>23.342769419282224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8.4949999999999939</v>
      </c>
      <c r="BY128" s="12">
        <f>IF('Données projet'!$A$114&gt;35,BY127+BX128-CG127,IF(A128&lt;'Données projet'!$A$114,$BV$205^A128,IF(A128='Données projet'!$A$114,'Données projet'!$B$114,BY127+BX128-CG127)))</f>
        <v>407.82500000000005</v>
      </c>
      <c r="BZ128" s="13">
        <f>BY128*VLOOKUP('Données projet'!$B$12,Paramètres!$A$1:$I$89,3,0)*VLOOKUP('Données projet'!$B$12,Paramètres!$A$1:$I$89,5,0)</f>
        <v>464.4311100000001</v>
      </c>
      <c r="CA128" s="13">
        <f t="shared" si="93"/>
        <v>104.72339872466219</v>
      </c>
      <c r="CB128" s="20">
        <f t="shared" si="64"/>
        <v>991.27743602878684</v>
      </c>
      <c r="CC128" s="59">
        <f t="shared" si="65"/>
        <v>1278.4399403835014</v>
      </c>
      <c r="CD128" s="59">
        <f ca="1">AVERAGE(OFFSET($CC$3,0,0,'Données projet'!$E$12+1,1))-AVERAGE(OFFSET($H$3,0,0,'Données projet'!$E$12+1,1))</f>
        <v>797.57191672067393</v>
      </c>
      <c r="CE128" s="59">
        <f t="shared" si="94"/>
        <v>238.59056544987126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139.75867232918881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139.75867232918881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>
        <f>CT128*VLOOKUP('Données projet'!$B$13,Paramètres!$A$1:$I$89,3,0)*VLOOKUP('Données projet'!$B$13,Paramètres!$A$1:$I$89,5,0)</f>
        <v>0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188.98184340090461</v>
      </c>
      <c r="CZ128" s="59">
        <f t="shared" si="96"/>
        <v>450.74604661797798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9.7987968137199992</v>
      </c>
      <c r="DH128" s="21">
        <f>EXP(-LN(2)/2)*DH127+(1-EXP(-LN(2)/2))/(LN(2)/2)*DB128*DE128*VLOOKUP('Données projet'!$B$13,Paramètres!$A$1:$I$89,3,0)*0.475*44/12</f>
        <v>2.259024209660994E-16</v>
      </c>
      <c r="DI128" s="22">
        <f t="shared" si="69"/>
        <v>9.7987968137199992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369.00000000000011</v>
      </c>
      <c r="DP128" s="17">
        <f>DO128*VLOOKUP('Données projet'!$B$14,Paramètres!$A$1:$I$89,3,0)*VLOOKUP('Données projet'!$B$14,Paramètres!$A$1:$I$89,5,0)</f>
        <v>333.87120000000004</v>
      </c>
      <c r="DQ128" s="13">
        <f t="shared" si="97"/>
        <v>78.232360111376309</v>
      </c>
      <c r="DR128" s="20">
        <f t="shared" si="70"/>
        <v>717.74703386064709</v>
      </c>
      <c r="DS128" s="59">
        <f t="shared" si="71"/>
        <v>1004.9095382153615</v>
      </c>
      <c r="DT128" s="59">
        <f ca="1">AVERAGE(OFFSET($DS$3,0,0,'Données projet'!$E$14+1,1))-AVERAGE(OFFSET($H$3,0,0,'Données projet'!$E$14+1,1))</f>
        <v>442.34161202733173</v>
      </c>
      <c r="DU128" s="59">
        <f t="shared" si="98"/>
        <v>622.90413492324399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1.6108030218639173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1.6108030218639173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8.4949999999999939</v>
      </c>
      <c r="EJ128" s="12">
        <f>IF('Données projet'!$A$192&gt;35,EJ127+EI128-ER127,IF(A128&lt;'Données projet'!$A$192,$EG$205^A128,IF(A128='Données projet'!$A$192,'Données projet'!$B$192,EJ127+EI128-ER127)))</f>
        <v>407.82500000000005</v>
      </c>
      <c r="EK128" s="17">
        <f>EJ128*VLOOKUP('Données projet'!$B$15,Paramètres!$A$1:$I$89,3,0)*VLOOKUP('Données projet'!$B$15,Paramètres!$A$1:$I$89,5,0)</f>
        <v>445.34490000000005</v>
      </c>
      <c r="EL128" s="13">
        <f t="shared" si="99"/>
        <v>100.91141069417796</v>
      </c>
      <c r="EM128" s="20">
        <f t="shared" si="73"/>
        <v>951.39640779236004</v>
      </c>
      <c r="EN128" s="59">
        <f t="shared" si="74"/>
        <v>1238.5589121470744</v>
      </c>
      <c r="EO128" s="59">
        <f ca="1">AVERAGE(OFFSET($EN$3,0,0,'Données projet'!$E$15+1,1))-AVERAGE(OFFSET($H$3,0,0,'Données projet'!$E$15+1,1))</f>
        <v>767.9449852393318</v>
      </c>
      <c r="EP128" s="59">
        <f t="shared" si="100"/>
        <v>230.95605490295961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134.01516524716729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134.01516524716729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68.317046642194839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3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</v>
      </c>
      <c r="H129" s="66">
        <f t="shared" si="56"/>
        <v>212.66666666666666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188.98184340090461</v>
      </c>
      <c r="T129" s="59">
        <f t="shared" si="88"/>
        <v>450.74604661797798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10.186999999999994</v>
      </c>
      <c r="AI129" s="13">
        <f>IF('Données projet'!$A$62&gt;35,AI128+AH129-AQ128,IF(A129&lt;'Données projet'!$A$62,$AF$205^A129,IF(A129='Données projet'!$A$62,'Données projet'!$B$62,AI128+AH129-AQ128)))</f>
        <v>565.66199999999981</v>
      </c>
      <c r="AJ129" s="13">
        <f>AI129*VLOOKUP('Données projet'!$B$10,Paramètres!$A$1:$I$89,3,0)*VLOOKUP('Données projet'!$B$10,Paramètres!$A$1:$I$89,5,0)</f>
        <v>511.81097759999983</v>
      </c>
      <c r="AK129" s="13">
        <f t="shared" si="89"/>
        <v>114.10936916671025</v>
      </c>
      <c r="AL129" s="20">
        <f t="shared" si="58"/>
        <v>1090.1446039520199</v>
      </c>
      <c r="AM129" s="59">
        <f t="shared" si="59"/>
        <v>1377.4141583936066</v>
      </c>
      <c r="AN129" s="59">
        <f ca="1">AVERAGE(OFFSET($AM$3,0,0,'Données projet'!$E$10+1,1))-AVERAGE(OFFSET($H$3,0,0,'Données projet'!$E$10+1,1))</f>
        <v>725.60981534362895</v>
      </c>
      <c r="AO129" s="59">
        <f t="shared" si="90"/>
        <v>265.16078167969272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129.52114703966615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129.52114703966615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1.3899999999999977</v>
      </c>
      <c r="BD129" s="12">
        <f>IF('Données projet'!$A$88&gt;35,BD128+BC129-BL128,IF(A129&lt;'Données projet'!$A$88,$BA$205^A129,IF(A129='Données projet'!$A$88,'Données projet'!$B$88,BD128+BC129-BL128)))</f>
        <v>143.94000000000005</v>
      </c>
      <c r="BE129" s="13">
        <f>BD129*VLOOKUP('Données projet'!$B$11,Paramètres!$A$1:$I$89,3,0)*VLOOKUP('Données projet'!$B$11,Paramètres!$A$1:$I$89,5,0)</f>
        <v>165.81888000000006</v>
      </c>
      <c r="BF129" s="13">
        <f t="shared" si="91"/>
        <v>42.152238936508958</v>
      </c>
      <c r="BG129" s="20">
        <f t="shared" si="61"/>
        <v>362.21636548108654</v>
      </c>
      <c r="BH129" s="59">
        <f t="shared" si="62"/>
        <v>649.48591992267325</v>
      </c>
      <c r="BI129" s="59">
        <f ca="1">AVERAGE(OFFSET($BH$3,0,0,'Données projet'!$E$11+1,1))-AVERAGE(OFFSET($H$3,0,0,'Données projet'!$E$11+1,1))</f>
        <v>332.93090933713466</v>
      </c>
      <c r="BJ129" s="59">
        <f t="shared" si="92"/>
        <v>251.83579649532973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22.395499723274249</v>
      </c>
      <c r="BQ129" s="21">
        <f>EXP(-LN(2)/25)*BQ128+(1-EXP(-LN(2)/25))/(LN(2)/25)*Calculateur!BL129*Calculateur!BN129*VLOOKUP('Données projet'!$B$11,Paramètres!$A$1:$I$89,3,0)*0.475*44/12</f>
        <v>0.48566962607099473</v>
      </c>
      <c r="BR129" s="21">
        <f>EXP(-LN(2)/2)*BR128+(1-EXP(-LN(2)/2))/(LN(2)/2)*BL129*BO129*VLOOKUP('Données projet'!$B$11,Paramètres!$A$1:$I$89,3,0)*0.475*44/12</f>
        <v>9.5597159329595141E-18</v>
      </c>
      <c r="BS129" s="22">
        <f t="shared" si="63"/>
        <v>22.881169349345242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8.4949999999999939</v>
      </c>
      <c r="BY129" s="12">
        <f>IF('Données projet'!$A$114&gt;35,BY128+BX129-CG128,IF(A129&lt;'Données projet'!$A$114,$BV$205^A129,IF(A129='Données projet'!$A$114,'Données projet'!$B$114,BY128+BX129-CG128)))</f>
        <v>416.32000000000005</v>
      </c>
      <c r="BZ129" s="13">
        <f>BY129*VLOOKUP('Données projet'!$B$12,Paramètres!$A$1:$I$89,3,0)*VLOOKUP('Données projet'!$B$12,Paramètres!$A$1:$I$89,5,0)</f>
        <v>474.10521600000004</v>
      </c>
      <c r="CA129" s="13">
        <f t="shared" si="93"/>
        <v>106.64855592582933</v>
      </c>
      <c r="CB129" s="20">
        <f t="shared" si="64"/>
        <v>1011.4794861041528</v>
      </c>
      <c r="CC129" s="59">
        <f t="shared" si="65"/>
        <v>1298.7490405457395</v>
      </c>
      <c r="CD129" s="59">
        <f ca="1">AVERAGE(OFFSET($CC$3,0,0,'Données projet'!$E$12+1,1))-AVERAGE(OFFSET($H$3,0,0,'Données projet'!$E$12+1,1))</f>
        <v>797.57191672067393</v>
      </c>
      <c r="CE129" s="59">
        <f t="shared" si="94"/>
        <v>238.59056544987126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137.01809000918635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137.01809000918635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>
        <f>CT129*VLOOKUP('Données projet'!$B$13,Paramètres!$A$1:$I$89,3,0)*VLOOKUP('Données projet'!$B$13,Paramètres!$A$1:$I$89,5,0)</f>
        <v>0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188.98184340090461</v>
      </c>
      <c r="CZ129" s="59">
        <f t="shared" si="96"/>
        <v>450.74604661797798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9.5308481995524961</v>
      </c>
      <c r="DH129" s="21">
        <f>EXP(-LN(2)/2)*DH128+(1-EXP(-LN(2)/2))/(LN(2)/2)*DB129*DE129*VLOOKUP('Données projet'!$B$13,Paramètres!$A$1:$I$89,3,0)*0.475*44/12</f>
        <v>1.59737133751587E-16</v>
      </c>
      <c r="DI129" s="22">
        <f t="shared" si="69"/>
        <v>9.5308481995524961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369.00000000000011</v>
      </c>
      <c r="DP129" s="17">
        <f>DO129*VLOOKUP('Données projet'!$B$14,Paramètres!$A$1:$I$89,3,0)*VLOOKUP('Données projet'!$B$14,Paramètres!$A$1:$I$89,5,0)</f>
        <v>333.87120000000004</v>
      </c>
      <c r="DQ129" s="13">
        <f t="shared" si="97"/>
        <v>78.232360111376309</v>
      </c>
      <c r="DR129" s="20">
        <f t="shared" si="70"/>
        <v>717.74703386064709</v>
      </c>
      <c r="DS129" s="59">
        <f t="shared" si="71"/>
        <v>1005.0165883022337</v>
      </c>
      <c r="DT129" s="59">
        <f ca="1">AVERAGE(OFFSET($DS$3,0,0,'Données projet'!$E$14+1,1))-AVERAGE(OFFSET($H$3,0,0,'Données projet'!$E$14+1,1))</f>
        <v>442.34161202733173</v>
      </c>
      <c r="DU129" s="59">
        <f t="shared" si="98"/>
        <v>622.90413492324399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1.5792161570979961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1.5792161570979961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8.4949999999999939</v>
      </c>
      <c r="EJ129" s="12">
        <f>IF('Données projet'!$A$192&gt;35,EJ128+EI129-ER128,IF(A129&lt;'Données projet'!$A$192,$EG$205^A129,IF(A129='Données projet'!$A$192,'Données projet'!$B$192,EJ128+EI129-ER128)))</f>
        <v>416.32000000000005</v>
      </c>
      <c r="EK129" s="17">
        <f>EJ129*VLOOKUP('Données projet'!$B$15,Paramètres!$A$1:$I$89,3,0)*VLOOKUP('Données projet'!$B$15,Paramètres!$A$1:$I$89,5,0)</f>
        <v>454.62144000000006</v>
      </c>
      <c r="EL129" s="13">
        <f t="shared" si="99"/>
        <v>102.76649113793452</v>
      </c>
      <c r="EM129" s="20">
        <f t="shared" si="73"/>
        <v>970.78398006523605</v>
      </c>
      <c r="EN129" s="59">
        <f t="shared" si="74"/>
        <v>1258.0535345068226</v>
      </c>
      <c r="EO129" s="59">
        <f ca="1">AVERAGE(OFFSET($EN$3,0,0,'Données projet'!$E$15+1,1))-AVERAGE(OFFSET($H$3,0,0,'Données projet'!$E$15+1,1))</f>
        <v>767.9449852393318</v>
      </c>
      <c r="EP129" s="59">
        <f t="shared" si="100"/>
        <v>230.95605490295961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131.38720959784987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131.38720959784987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68.34624212043272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3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</v>
      </c>
      <c r="H130" s="66">
        <f t="shared" si="56"/>
        <v>212.66666666666666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188.98184340090461</v>
      </c>
      <c r="T130" s="59">
        <f t="shared" si="88"/>
        <v>450.74604661797798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10.186999999999994</v>
      </c>
      <c r="AI130" s="13">
        <f>IF('Données projet'!$A$62&gt;35,AI129+AH130-AQ129,IF(A130&lt;'Données projet'!$A$62,$AF$205^A130,IF(A130='Données projet'!$A$62,'Données projet'!$B$62,AI129+AH130-AQ129)))</f>
        <v>575.84899999999982</v>
      </c>
      <c r="AJ130" s="13">
        <f>AI130*VLOOKUP('Données projet'!$B$10,Paramètres!$A$1:$I$89,3,0)*VLOOKUP('Données projet'!$B$10,Paramètres!$A$1:$I$89,5,0)</f>
        <v>521.02817519999985</v>
      </c>
      <c r="AK130" s="13">
        <f t="shared" si="89"/>
        <v>115.92327152449572</v>
      </c>
      <c r="AL130" s="20">
        <f t="shared" si="58"/>
        <v>1109.3571030451628</v>
      </c>
      <c r="AM130" s="59">
        <f t="shared" si="59"/>
        <v>1396.7318504939426</v>
      </c>
      <c r="AN130" s="59">
        <f ca="1">AVERAGE(OFFSET($AM$3,0,0,'Données projet'!$E$10+1,1))-AVERAGE(OFFSET($H$3,0,0,'Données projet'!$E$10+1,1))</f>
        <v>725.60981534362895</v>
      </c>
      <c r="AO130" s="59">
        <f t="shared" si="90"/>
        <v>265.16078167969272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126.98131634631737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126.98131634631737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1.3899999999999977</v>
      </c>
      <c r="BD130" s="12">
        <f>IF('Données projet'!$A$88&gt;35,BD129+BC130-BL129,IF(A130&lt;'Données projet'!$A$88,$BA$205^A130,IF(A130='Données projet'!$A$88,'Données projet'!$B$88,BD129+BC130-BL129)))</f>
        <v>145.33000000000004</v>
      </c>
      <c r="BE130" s="13">
        <f>BD130*VLOOKUP('Données projet'!$B$11,Paramètres!$A$1:$I$89,3,0)*VLOOKUP('Données projet'!$B$11,Paramètres!$A$1:$I$89,5,0)</f>
        <v>167.42016000000004</v>
      </c>
      <c r="BF130" s="13">
        <f t="shared" si="91"/>
        <v>42.511712019424017</v>
      </c>
      <c r="BG130" s="20">
        <f t="shared" si="61"/>
        <v>365.63134376716357</v>
      </c>
      <c r="BH130" s="59">
        <f t="shared" si="62"/>
        <v>653.00609121594334</v>
      </c>
      <c r="BI130" s="59">
        <f ca="1">AVERAGE(OFFSET($BH$3,0,0,'Données projet'!$E$11+1,1))-AVERAGE(OFFSET($H$3,0,0,'Données projet'!$E$11+1,1))</f>
        <v>332.93090933713466</v>
      </c>
      <c r="BJ130" s="59">
        <f t="shared" si="92"/>
        <v>251.83579649532973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21.956337633606868</v>
      </c>
      <c r="BQ130" s="21">
        <f>EXP(-LN(2)/25)*BQ129+(1-EXP(-LN(2)/25))/(LN(2)/25)*Calculateur!BL130*Calculateur!BN130*VLOOKUP('Données projet'!$B$11,Paramètres!$A$1:$I$89,3,0)*0.475*44/12</f>
        <v>0.47238896460582774</v>
      </c>
      <c r="BR130" s="21">
        <f>EXP(-LN(2)/2)*BR129+(1-EXP(-LN(2)/2))/(LN(2)/2)*BL130*BO130*VLOOKUP('Données projet'!$B$11,Paramètres!$A$1:$I$89,3,0)*0.475*44/12</f>
        <v>6.7597399624127555E-18</v>
      </c>
      <c r="BS130" s="22">
        <f t="shared" si="63"/>
        <v>22.428726598212695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8.4949999999999939</v>
      </c>
      <c r="BY130" s="12">
        <f>IF('Données projet'!$A$114&gt;35,BY129+BX130-CG129,IF(A130&lt;'Données projet'!$A$114,$BV$205^A130,IF(A130='Données projet'!$A$114,'Données projet'!$B$114,BY129+BX130-CG129)))</f>
        <v>424.81500000000005</v>
      </c>
      <c r="BZ130" s="13">
        <f>BY130*VLOOKUP('Données projet'!$B$12,Paramètres!$A$1:$I$89,3,0)*VLOOKUP('Données projet'!$B$12,Paramètres!$A$1:$I$89,5,0)</f>
        <v>483.77932200000004</v>
      </c>
      <c r="CA130" s="13">
        <f t="shared" si="93"/>
        <v>108.56914570129055</v>
      </c>
      <c r="CB130" s="20">
        <f t="shared" si="64"/>
        <v>1031.6735812464144</v>
      </c>
      <c r="CC130" s="59">
        <f t="shared" si="65"/>
        <v>1319.0483286951942</v>
      </c>
      <c r="CD130" s="59">
        <f ca="1">AVERAGE(OFFSET($CC$3,0,0,'Données projet'!$E$12+1,1))-AVERAGE(OFFSET($H$3,0,0,'Données projet'!$E$12+1,1))</f>
        <v>797.57191672067393</v>
      </c>
      <c r="CE130" s="59">
        <f t="shared" si="94"/>
        <v>238.59056544987126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134.33124883688899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134.33124883688899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>
        <f>CT130*VLOOKUP('Données projet'!$B$13,Paramètres!$A$1:$I$89,3,0)*VLOOKUP('Données projet'!$B$13,Paramètres!$A$1:$I$89,5,0)</f>
        <v>0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188.98184340090461</v>
      </c>
      <c r="CZ130" s="59">
        <f t="shared" si="96"/>
        <v>450.74604661797798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9.2702266543302088</v>
      </c>
      <c r="DH130" s="21">
        <f>EXP(-LN(2)/2)*DH129+(1-EXP(-LN(2)/2))/(LN(2)/2)*DB130*DE130*VLOOKUP('Données projet'!$B$13,Paramètres!$A$1:$I$89,3,0)*0.475*44/12</f>
        <v>1.129512104830497E-16</v>
      </c>
      <c r="DI130" s="22">
        <f t="shared" si="69"/>
        <v>9.2702266543302088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369.00000000000011</v>
      </c>
      <c r="DP130" s="17">
        <f>DO130*VLOOKUP('Données projet'!$B$14,Paramètres!$A$1:$I$89,3,0)*VLOOKUP('Données projet'!$B$14,Paramètres!$A$1:$I$89,5,0)</f>
        <v>333.87120000000004</v>
      </c>
      <c r="DQ130" s="13">
        <f t="shared" si="97"/>
        <v>78.232360111376309</v>
      </c>
      <c r="DR130" s="20">
        <f t="shared" si="70"/>
        <v>717.74703386064709</v>
      </c>
      <c r="DS130" s="59">
        <f t="shared" si="71"/>
        <v>1005.1217813094269</v>
      </c>
      <c r="DT130" s="59">
        <f ca="1">AVERAGE(OFFSET($DS$3,0,0,'Données projet'!$E$14+1,1))-AVERAGE(OFFSET($H$3,0,0,'Données projet'!$E$14+1,1))</f>
        <v>442.34161202733173</v>
      </c>
      <c r="DU130" s="59">
        <f t="shared" si="98"/>
        <v>622.90413492324399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1.5482486914840494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1.5482486914840494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8.4949999999999939</v>
      </c>
      <c r="EJ130" s="12">
        <f>IF('Données projet'!$A$192&gt;35,EJ129+EI130-ER129,IF(A130&lt;'Données projet'!$A$192,$EG$205^A130,IF(A130='Données projet'!$A$192,'Données projet'!$B$192,EJ129+EI130-ER129)))</f>
        <v>424.81500000000005</v>
      </c>
      <c r="EK130" s="17">
        <f>EJ130*VLOOKUP('Données projet'!$B$15,Paramètres!$A$1:$I$89,3,0)*VLOOKUP('Données projet'!$B$15,Paramètres!$A$1:$I$89,5,0)</f>
        <v>463.89798000000002</v>
      </c>
      <c r="EL130" s="13">
        <f t="shared" si="99"/>
        <v>104.61717041273698</v>
      </c>
      <c r="EM130" s="20">
        <f t="shared" si="73"/>
        <v>990.16388696885031</v>
      </c>
      <c r="EN130" s="59">
        <f t="shared" si="74"/>
        <v>1277.53863441763</v>
      </c>
      <c r="EO130" s="59">
        <f ca="1">AVERAGE(OFFSET($EN$3,0,0,'Données projet'!$E$15+1,1))-AVERAGE(OFFSET($H$3,0,0,'Données projet'!$E$15+1,1))</f>
        <v>767.9449852393318</v>
      </c>
      <c r="EP130" s="59">
        <f t="shared" si="100"/>
        <v>230.95605490295961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128.81078655592088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128.81078655592088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68.374931122394486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3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</v>
      </c>
      <c r="H131" s="66">
        <f t="shared" si="56"/>
        <v>212.66666666666666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188.98184340090461</v>
      </c>
      <c r="T131" s="59">
        <f t="shared" si="88"/>
        <v>450.74604661797798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10.186999999999994</v>
      </c>
      <c r="AI131" s="13">
        <f>IF('Données projet'!$A$62&gt;35,AI130+AH131-AQ130,IF(A131&lt;'Données projet'!$A$62,$AF$205^A131,IF(A131='Données projet'!$A$62,'Données projet'!$B$62,AI130+AH131-AQ130)))</f>
        <v>586.03599999999983</v>
      </c>
      <c r="AJ131" s="13">
        <f>AI131*VLOOKUP('Données projet'!$B$10,Paramètres!$A$1:$I$89,3,0)*VLOOKUP('Données projet'!$B$10,Paramètres!$A$1:$I$89,5,0)</f>
        <v>530.24537279999981</v>
      </c>
      <c r="AK131" s="13">
        <f t="shared" si="89"/>
        <v>117.73344239935948</v>
      </c>
      <c r="AL131" s="20">
        <f t="shared" si="58"/>
        <v>1128.5631031388839</v>
      </c>
      <c r="AM131" s="59">
        <f t="shared" si="59"/>
        <v>1416.0412187313582</v>
      </c>
      <c r="AN131" s="59">
        <f ca="1">AVERAGE(OFFSET($AM$3,0,0,'Données projet'!$E$10+1,1))-AVERAGE(OFFSET($H$3,0,0,'Données projet'!$E$10+1,1))</f>
        <v>725.60981534362895</v>
      </c>
      <c r="AO131" s="59">
        <f t="shared" si="90"/>
        <v>265.16078167969272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124.49129018372142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124.49129018372142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1.3899999999999977</v>
      </c>
      <c r="BD131" s="12">
        <f>IF('Données projet'!$A$88&gt;35,BD130+BC131-BL130,IF(A131&lt;'Données projet'!$A$88,$BA$205^A131,IF(A131='Données projet'!$A$88,'Données projet'!$B$88,BD130+BC131-BL130)))</f>
        <v>146.72000000000003</v>
      </c>
      <c r="BE131" s="13">
        <f>BD131*VLOOKUP('Données projet'!$B$11,Paramètres!$A$1:$I$89,3,0)*VLOOKUP('Données projet'!$B$11,Paramètres!$A$1:$I$89,5,0)</f>
        <v>169.02144000000004</v>
      </c>
      <c r="BF131" s="13">
        <f t="shared" si="91"/>
        <v>42.870785116921233</v>
      </c>
      <c r="BG131" s="20">
        <f t="shared" si="61"/>
        <v>369.04562541197123</v>
      </c>
      <c r="BH131" s="59">
        <f t="shared" si="62"/>
        <v>656.52374100444558</v>
      </c>
      <c r="BI131" s="59">
        <f ca="1">AVERAGE(OFFSET($BH$3,0,0,'Données projet'!$E$11+1,1))-AVERAGE(OFFSET($H$3,0,0,'Données projet'!$E$11+1,1))</f>
        <v>332.93090933713466</v>
      </c>
      <c r="BJ131" s="59">
        <f t="shared" si="92"/>
        <v>251.83579649532973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21.52578724465544</v>
      </c>
      <c r="BQ131" s="21">
        <f>EXP(-LN(2)/25)*BQ130+(1-EXP(-LN(2)/25))/(LN(2)/25)*Calculateur!BL131*Calculateur!BN131*VLOOKUP('Données projet'!$B$11,Paramètres!$A$1:$I$89,3,0)*0.475*44/12</f>
        <v>0.45947146352682539</v>
      </c>
      <c r="BR131" s="21">
        <f>EXP(-LN(2)/2)*BR130+(1-EXP(-LN(2)/2))/(LN(2)/2)*BL131*BO131*VLOOKUP('Données projet'!$B$11,Paramètres!$A$1:$I$89,3,0)*0.475*44/12</f>
        <v>4.7798579664797578E-18</v>
      </c>
      <c r="BS131" s="22">
        <f t="shared" si="63"/>
        <v>21.985258708182265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8.4949999999999939</v>
      </c>
      <c r="BY131" s="12">
        <f>IF('Données projet'!$A$114&gt;35,BY130+BX131-CG130,IF(A131&lt;'Données projet'!$A$114,$BV$205^A131,IF(A131='Données projet'!$A$114,'Données projet'!$B$114,BY130+BX131-CG130)))</f>
        <v>433.31000000000006</v>
      </c>
      <c r="BZ131" s="13">
        <f>BY131*VLOOKUP('Données projet'!$B$12,Paramètres!$A$1:$I$89,3,0)*VLOOKUP('Données projet'!$B$12,Paramètres!$A$1:$I$89,5,0)</f>
        <v>493.45342800000003</v>
      </c>
      <c r="CA131" s="13">
        <f t="shared" si="93"/>
        <v>110.48526991204616</v>
      </c>
      <c r="CB131" s="20">
        <f t="shared" si="64"/>
        <v>1051.8598988634806</v>
      </c>
      <c r="CC131" s="59">
        <f t="shared" si="65"/>
        <v>1339.3380144559551</v>
      </c>
      <c r="CD131" s="59">
        <f ca="1">AVERAGE(OFFSET($CC$3,0,0,'Données projet'!$E$12+1,1))-AVERAGE(OFFSET($H$3,0,0,'Données projet'!$E$12+1,1))</f>
        <v>797.57191672067393</v>
      </c>
      <c r="CE131" s="59">
        <f t="shared" si="94"/>
        <v>238.59056544987126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131.69709498116907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131.69709498116907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>
        <f>CT131*VLOOKUP('Données projet'!$B$13,Paramètres!$A$1:$I$89,3,0)*VLOOKUP('Données projet'!$B$13,Paramètres!$A$1:$I$89,5,0)</f>
        <v>0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188.98184340090461</v>
      </c>
      <c r="CZ131" s="59">
        <f t="shared" si="96"/>
        <v>450.74604661797798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9.0167318189675161</v>
      </c>
      <c r="DH131" s="21">
        <f>EXP(-LN(2)/2)*DH130+(1-EXP(-LN(2)/2))/(LN(2)/2)*DB131*DE131*VLOOKUP('Données projet'!$B$13,Paramètres!$A$1:$I$89,3,0)*0.475*44/12</f>
        <v>7.9868566875793499E-17</v>
      </c>
      <c r="DI131" s="22">
        <f t="shared" si="69"/>
        <v>9.0167318189675161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369.00000000000011</v>
      </c>
      <c r="DP131" s="17">
        <f>DO131*VLOOKUP('Données projet'!$B$14,Paramètres!$A$1:$I$89,3,0)*VLOOKUP('Données projet'!$B$14,Paramètres!$A$1:$I$89,5,0)</f>
        <v>333.87120000000004</v>
      </c>
      <c r="DQ131" s="13">
        <f t="shared" si="97"/>
        <v>78.232360111376309</v>
      </c>
      <c r="DR131" s="20">
        <f t="shared" si="70"/>
        <v>717.74703386064709</v>
      </c>
      <c r="DS131" s="59">
        <f t="shared" si="71"/>
        <v>1005.2251494531215</v>
      </c>
      <c r="DT131" s="59">
        <f ca="1">AVERAGE(OFFSET($DS$3,0,0,'Données projet'!$E$14+1,1))-AVERAGE(OFFSET($H$3,0,0,'Données projet'!$E$14+1,1))</f>
        <v>442.34161202733173</v>
      </c>
      <c r="DU131" s="59">
        <f t="shared" si="98"/>
        <v>622.90413492324399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1.5178884789825033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1.5178884789825033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8.4949999999999939</v>
      </c>
      <c r="EJ131" s="12">
        <f>IF('Données projet'!$A$192&gt;35,EJ130+EI131-ER130,IF(A131&lt;'Données projet'!$A$192,$EG$205^A131,IF(A131='Données projet'!$A$192,'Données projet'!$B$192,EJ130+EI131-ER130)))</f>
        <v>433.31000000000006</v>
      </c>
      <c r="EK131" s="17">
        <f>EJ131*VLOOKUP('Données projet'!$B$15,Paramètres!$A$1:$I$89,3,0)*VLOOKUP('Données projet'!$B$15,Paramètres!$A$1:$I$89,5,0)</f>
        <v>473.17452000000003</v>
      </c>
      <c r="EL131" s="13">
        <f t="shared" si="99"/>
        <v>106.46354667179045</v>
      </c>
      <c r="EM131" s="20">
        <f t="shared" si="73"/>
        <v>1009.5362994533684</v>
      </c>
      <c r="EN131" s="59">
        <f t="shared" si="74"/>
        <v>1297.0144150458427</v>
      </c>
      <c r="EO131" s="59">
        <f ca="1">AVERAGE(OFFSET($EN$3,0,0,'Données projet'!$E$15+1,1))-AVERAGE(OFFSET($H$3,0,0,'Données projet'!$E$15+1,1))</f>
        <v>767.9449852393318</v>
      </c>
      <c r="EP131" s="59">
        <f t="shared" si="100"/>
        <v>230.95605490295961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126.28488559838125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126.28488559838125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68.4031224343112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3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</v>
      </c>
      <c r="H132" s="66">
        <f t="shared" ref="H132:H195" si="110">(B132+E132+F132)*44/12+(C132+D132)*0.475*44/12</f>
        <v>212.66666666666666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188.98184340090461</v>
      </c>
      <c r="T132" s="59">
        <f t="shared" si="88"/>
        <v>450.74604661797798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10.186999999999994</v>
      </c>
      <c r="AI132" s="13">
        <f>IF('Données projet'!$A$62&gt;35,AI131+AH132-AQ131,IF(A132&lt;'Données projet'!$A$62,$AF$205^A132,IF(A132='Données projet'!$A$62,'Données projet'!$B$62,AI131+AH132-AQ131)))</f>
        <v>596.22299999999984</v>
      </c>
      <c r="AJ132" s="13">
        <f>AI132*VLOOKUP('Données projet'!$B$10,Paramètres!$A$1:$I$89,3,0)*VLOOKUP('Données projet'!$B$10,Paramètres!$A$1:$I$89,5,0)</f>
        <v>539.46257039999989</v>
      </c>
      <c r="AK132" s="13">
        <f t="shared" si="89"/>
        <v>119.53995413956184</v>
      </c>
      <c r="AL132" s="20">
        <f t="shared" ref="AL132:AL153" si="112">(AJ132+AK132)*0.475*44/12</f>
        <v>1147.7627302397366</v>
      </c>
      <c r="AM132" s="59">
        <f t="shared" ref="AM132:AM195" si="113">AL132+(AD132+AE132)*44/12</f>
        <v>1435.3424207697092</v>
      </c>
      <c r="AN132" s="59">
        <f ca="1">AVERAGE(OFFSET($AM$3,0,0,'Données projet'!$E$10+1,1))-AVERAGE(OFFSET($H$3,0,0,'Données projet'!$E$10+1,1))</f>
        <v>725.60981534362895</v>
      </c>
      <c r="AO132" s="59">
        <f t="shared" si="90"/>
        <v>265.16078167969272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122.05009191540798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122.05009191540798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1.3899999999999977</v>
      </c>
      <c r="BD132" s="12">
        <f>IF('Données projet'!$A$88&gt;35,BD131+BC132-BL131,IF(A132&lt;'Données projet'!$A$88,$BA$205^A132,IF(A132='Données projet'!$A$88,'Données projet'!$B$88,BD131+BC132-BL131)))</f>
        <v>148.11000000000001</v>
      </c>
      <c r="BE132" s="13">
        <f>BD132*VLOOKUP('Données projet'!$B$11,Paramètres!$A$1:$I$89,3,0)*VLOOKUP('Données projet'!$B$11,Paramètres!$A$1:$I$89,5,0)</f>
        <v>170.62271999999999</v>
      </c>
      <c r="BF132" s="13">
        <f t="shared" si="91"/>
        <v>43.229462457274181</v>
      </c>
      <c r="BG132" s="20">
        <f t="shared" ref="BG132:BG153" si="115">(BE132+BF132)*0.475*44/12</f>
        <v>372.45921777975246</v>
      </c>
      <c r="BH132" s="59">
        <f t="shared" ref="BH132:BH195" si="116">BG132+(AY132+AZ132)*44/12</f>
        <v>660.038908309725</v>
      </c>
      <c r="BI132" s="59">
        <f ca="1">AVERAGE(OFFSET($BH$3,0,0,'Données projet'!$E$11+1,1))-AVERAGE(OFFSET($H$3,0,0,'Données projet'!$E$11+1,1))</f>
        <v>332.93090933713466</v>
      </c>
      <c r="BJ132" s="59">
        <f t="shared" si="92"/>
        <v>251.83579649532973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21.103679686221543</v>
      </c>
      <c r="BQ132" s="21">
        <f>EXP(-LN(2)/25)*BQ131+(1-EXP(-LN(2)/25))/(LN(2)/25)*Calculateur!BL132*Calculateur!BN132*VLOOKUP('Données projet'!$B$11,Paramètres!$A$1:$I$89,3,0)*0.475*44/12</f>
        <v>0.44690719219413022</v>
      </c>
      <c r="BR132" s="21">
        <f>EXP(-LN(2)/2)*BR131+(1-EXP(-LN(2)/2))/(LN(2)/2)*BL132*BO132*VLOOKUP('Données projet'!$B$11,Paramètres!$A$1:$I$89,3,0)*0.475*44/12</f>
        <v>3.3798699812063785E-18</v>
      </c>
      <c r="BS132" s="22">
        <f t="shared" ref="BS132:BS153" si="117">SUM(BP132:BR132)</f>
        <v>21.550586878415672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8.4949999999999939</v>
      </c>
      <c r="BY132" s="12">
        <f>IF('Données projet'!$A$114&gt;35,BY131+BX132-CG131,IF(A132&lt;'Données projet'!$A$114,$BV$205^A132,IF(A132='Données projet'!$A$114,'Données projet'!$B$114,BY131+BX132-CG131)))</f>
        <v>441.80500000000006</v>
      </c>
      <c r="BZ132" s="13">
        <f>BY132*VLOOKUP('Données projet'!$B$12,Paramètres!$A$1:$I$89,3,0)*VLOOKUP('Données projet'!$B$12,Paramètres!$A$1:$I$89,5,0)</f>
        <v>503.12753400000014</v>
      </c>
      <c r="CA132" s="13">
        <f t="shared" si="93"/>
        <v>112.39702619670631</v>
      </c>
      <c r="CB132" s="20">
        <f t="shared" ref="CB132:CB153" si="118">(BZ132+CA132)*0.475*44/12</f>
        <v>1072.0386090092638</v>
      </c>
      <c r="CC132" s="59">
        <f t="shared" ref="CC132:CC195" si="119">CB132+(BT132+BU132)*44/12</f>
        <v>1359.6182995392364</v>
      </c>
      <c r="CD132" s="59">
        <f ca="1">AVERAGE(OFFSET($CC$3,0,0,'Données projet'!$E$12+1,1))-AVERAGE(OFFSET($H$3,0,0,'Données projet'!$E$12+1,1))</f>
        <v>797.57191672067393</v>
      </c>
      <c r="CE132" s="59">
        <f t="shared" si="94"/>
        <v>238.59056544987126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129.11459527588462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129.11459527588462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>
        <f>CT132*VLOOKUP('Données projet'!$B$13,Paramètres!$A$1:$I$89,3,0)*VLOOKUP('Données projet'!$B$13,Paramètres!$A$1:$I$89,5,0)</f>
        <v>0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188.98184340090461</v>
      </c>
      <c r="CZ132" s="59">
        <f t="shared" si="96"/>
        <v>450.74604661797798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8.7701688132085316</v>
      </c>
      <c r="DH132" s="21">
        <f>EXP(-LN(2)/2)*DH131+(1-EXP(-LN(2)/2))/(LN(2)/2)*DB132*DE132*VLOOKUP('Données projet'!$B$13,Paramètres!$A$1:$I$89,3,0)*0.475*44/12</f>
        <v>5.6475605241524851E-17</v>
      </c>
      <c r="DI132" s="22">
        <f t="shared" ref="DI132:DI153" si="123">SUM(DF132:DH132)</f>
        <v>8.7701688132085316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369.00000000000011</v>
      </c>
      <c r="DP132" s="17">
        <f>DO132*VLOOKUP('Données projet'!$B$14,Paramètres!$A$1:$I$89,3,0)*VLOOKUP('Données projet'!$B$14,Paramètres!$A$1:$I$89,5,0)</f>
        <v>333.87120000000004</v>
      </c>
      <c r="DQ132" s="13">
        <f t="shared" si="97"/>
        <v>78.232360111376309</v>
      </c>
      <c r="DR132" s="20">
        <f t="shared" ref="DR132:DR153" si="124">(DP132+DQ132)*0.475*44/12</f>
        <v>717.74703386064709</v>
      </c>
      <c r="DS132" s="59">
        <f t="shared" ref="DS132:DS195" si="125">DR132+(DJ132+DK132)*44/12</f>
        <v>1005.3267243906196</v>
      </c>
      <c r="DT132" s="59">
        <f ca="1">AVERAGE(OFFSET($DS$3,0,0,'Données projet'!$E$14+1,1))-AVERAGE(OFFSET($H$3,0,0,'Données projet'!$E$14+1,1))</f>
        <v>442.34161202733173</v>
      </c>
      <c r="DU132" s="59">
        <f t="shared" si="98"/>
        <v>622.90413492324399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1.4881236117302115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1.4881236117302115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8.4949999999999939</v>
      </c>
      <c r="EJ132" s="12">
        <f>IF('Données projet'!$A$192&gt;35,EJ131+EI132-ER131,IF(A132&lt;'Données projet'!$A$192,$EG$205^A132,IF(A132='Données projet'!$A$192,'Données projet'!$B$192,EJ131+EI132-ER131)))</f>
        <v>441.80500000000006</v>
      </c>
      <c r="EK132" s="17">
        <f>EJ132*VLOOKUP('Données projet'!$B$15,Paramètres!$A$1:$I$89,3,0)*VLOOKUP('Données projet'!$B$15,Paramètres!$A$1:$I$89,5,0)</f>
        <v>482.45106000000004</v>
      </c>
      <c r="EL132" s="13">
        <f t="shared" si="99"/>
        <v>108.30571399960745</v>
      </c>
      <c r="EM132" s="20">
        <f t="shared" ref="EM132:EM153" si="127">(EK132+EL132)*0.475*44/12</f>
        <v>1028.9013813826498</v>
      </c>
      <c r="EN132" s="59">
        <f t="shared" ref="EN132:EN195" si="128">EM132+(EE132+EF132)*44/12</f>
        <v>1316.4810719126224</v>
      </c>
      <c r="EO132" s="59">
        <f ca="1">AVERAGE(OFFSET($EN$3,0,0,'Données projet'!$E$15+1,1))-AVERAGE(OFFSET($H$3,0,0,'Données projet'!$E$15+1,1))</f>
        <v>767.9449852393318</v>
      </c>
      <c r="EP132" s="59">
        <f t="shared" si="100"/>
        <v>230.95605490295961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123.80851601797151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123.80851601797151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68.430824689992505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3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</v>
      </c>
      <c r="H133" s="66">
        <f t="shared" si="110"/>
        <v>212.66666666666666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188.98184340090461</v>
      </c>
      <c r="T133" s="59">
        <f t="shared" ref="T133:T196" si="142">$T$3</f>
        <v>450.74604661797798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606.41</v>
      </c>
      <c r="AG133" s="12">
        <f>VLOOKUP(A133,'Données projet'!$A$61:$I$81,9,0)</f>
        <v>10.186999999999994</v>
      </c>
      <c r="AH133" s="12">
        <f t="array" ref="AH133">INDEX(AG:AG,MIN(IF(ISNUMBER(AG133:AG329),ROW(AG133:AG329),"")))</f>
        <v>10.186999999999994</v>
      </c>
      <c r="AI133" s="13">
        <f>IF('Données projet'!$A$62&gt;35,AI132+AH133-AQ132,IF(A133&lt;'Données projet'!$A$62,$AF$205^A133,IF(A133='Données projet'!$A$62,'Données projet'!$B$62,AI132+AH133-AQ132)))</f>
        <v>606.40999999999985</v>
      </c>
      <c r="AJ133" s="13">
        <f>AI133*VLOOKUP('Données projet'!$B$10,Paramètres!$A$1:$I$89,3,0)*VLOOKUP('Données projet'!$B$10,Paramètres!$A$1:$I$89,5,0)</f>
        <v>548.67976799999985</v>
      </c>
      <c r="AK133" s="13">
        <f t="shared" ref="AK133:AK153" si="143">EXP(-1.0587+0.8836*LN(AJ133)+0.284)</f>
        <v>121.34287647942783</v>
      </c>
      <c r="AL133" s="20">
        <f t="shared" si="112"/>
        <v>1166.9561058016695</v>
      </c>
      <c r="AM133" s="59">
        <f t="shared" si="113"/>
        <v>1454.6356091710622</v>
      </c>
      <c r="AN133" s="59">
        <f ca="1">AVERAGE(OFFSET($AM$3,0,0,'Données projet'!$E$10+1,1))-AVERAGE(OFFSET($H$3,0,0,'Données projet'!$E$10+1,1))</f>
        <v>725.60981534362895</v>
      </c>
      <c r="AO133" s="59">
        <f t="shared" ref="AO133:AO196" si="144">$AO$3</f>
        <v>265.16078167969272</v>
      </c>
      <c r="AP133" s="15">
        <f>IF(ISNA(VLOOKUP(A133,'Données projet'!$A$61:$I$81,3,0)),0,VLOOKUP(A133,'Données projet'!$A$61:$I$81,3,0))</f>
        <v>12</v>
      </c>
      <c r="AQ133" s="15">
        <f>IF(ISNA(VLOOKUP(A133,'Données projet'!$A$61:$I$81,4,0)),0,VLOOKUP(A133,'Données projet'!$A$61:$I$81,4,0))</f>
        <v>69</v>
      </c>
      <c r="AR133" s="16">
        <f>IF(ISNA(VLOOKUP(A133,'Données projet'!$A$61:$I$81,5,0)),0%,VLOOKUP(A133,'Données projet'!$A$61:$I$81,5,0)*VLOOKUP('Données projet'!$B$10,Paramètres!$A$1:$I$89,7,0))</f>
        <v>0.43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149.33357627039217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149.33357627039217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149.5</v>
      </c>
      <c r="BB133" s="12">
        <f>VLOOKUP(A133,'Données projet'!$A$87:$I$107,9,0)</f>
        <v>1.3899999999999977</v>
      </c>
      <c r="BC133" s="12">
        <f t="array" ref="BC133">INDEX(BB:BB,MIN(IF(ISNUMBER(BB133:BB329),ROW(BB133:BB329),"")))</f>
        <v>1.3899999999999977</v>
      </c>
      <c r="BD133" s="12">
        <f>IF('Données projet'!$A$88&gt;35,BD132+BC133-BL132,IF(A133&lt;'Données projet'!$A$88,$BA$205^A133,IF(A133='Données projet'!$A$88,'Données projet'!$B$88,BD132+BC133-BL132)))</f>
        <v>149.5</v>
      </c>
      <c r="BE133" s="13">
        <f>BD133*VLOOKUP('Données projet'!$B$11,Paramètres!$A$1:$I$89,3,0)*VLOOKUP('Données projet'!$B$11,Paramètres!$A$1:$I$89,5,0)</f>
        <v>172.22399999999996</v>
      </c>
      <c r="BF133" s="13">
        <f t="shared" ref="BF133:BF153" si="145">EXP(-1.0587+0.8836*LN(BE133)+0.284)</f>
        <v>43.587748184815709</v>
      </c>
      <c r="BG133" s="20">
        <f t="shared" si="115"/>
        <v>375.87212808855389</v>
      </c>
      <c r="BH133" s="59">
        <f t="shared" si="116"/>
        <v>663.55163145794654</v>
      </c>
      <c r="BI133" s="59">
        <f ca="1">AVERAGE(OFFSET($BH$3,0,0,'Données projet'!$E$11+1,1))-AVERAGE(OFFSET($H$3,0,0,'Données projet'!$E$11+1,1))</f>
        <v>332.93090933713466</v>
      </c>
      <c r="BJ133" s="59">
        <f t="shared" ref="BJ133:BJ196" si="146">$BJ$3</f>
        <v>251.83579649532973</v>
      </c>
      <c r="BK133" s="15">
        <f>IF(ISNA(VLOOKUP(A133,'Données projet'!$A$87:$I$107,3,0)),0,VLOOKUP(A133,'Données projet'!$A$87:$I$107,3,0))</f>
        <v>13</v>
      </c>
      <c r="BL133" s="15">
        <f>IF(ISNA(VLOOKUP(A133,'Données projet'!$A$87:$I$107,4,0)),0,VLOOKUP(A133,'Données projet'!$A$87:$I$107,4,0))</f>
        <v>12.5</v>
      </c>
      <c r="BM133" s="16">
        <f>IF(ISNA(VLOOKUP(A133,'Données projet'!$A$87:$I$107,5,0)),0%,VLOOKUP(A133,'Données projet'!$A$87:$I$107,5,0)*VLOOKUP('Données projet'!$B$11,Paramètres!$A$1:$I$89,7,0))</f>
        <v>0.45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25.346090638141135</v>
      </c>
      <c r="BQ133" s="21">
        <f>EXP(-LN(2)/25)*BQ132+(1-EXP(-LN(2)/25))/(LN(2)/25)*Calculateur!BL133*Calculateur!BN133*VLOOKUP('Données projet'!$B$11,Paramètres!$A$1:$I$89,3,0)*0.475*44/12</f>
        <v>0.43468649152175393</v>
      </c>
      <c r="BR133" s="21">
        <f>EXP(-LN(2)/2)*BR132+(1-EXP(-LN(2)/2))/(LN(2)/2)*BL133*BO133*VLOOKUP('Données projet'!$B$11,Paramètres!$A$1:$I$89,3,0)*0.475*44/12</f>
        <v>2.3899289832398793E-18</v>
      </c>
      <c r="BS133" s="22">
        <f t="shared" si="117"/>
        <v>25.780777129662887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8.4949999999999939</v>
      </c>
      <c r="BY133" s="12">
        <f>IF('Données projet'!$A$114&gt;35,BY132+BX133-CG132,IF(A133&lt;'Données projet'!$A$114,$BV$205^A133,IF(A133='Données projet'!$A$114,'Données projet'!$B$114,BY132+BX133-CG132)))</f>
        <v>450.30000000000007</v>
      </c>
      <c r="BZ133" s="13">
        <f>BY133*VLOOKUP('Données projet'!$B$12,Paramètres!$A$1:$I$89,3,0)*VLOOKUP('Données projet'!$B$12,Paramètres!$A$1:$I$89,5,0)</f>
        <v>512.80164000000013</v>
      </c>
      <c r="CA133" s="13">
        <f t="shared" ref="CA133:CA153" si="147">EXP(-1.0587+0.8836*LN(BZ133)+0.284)</f>
        <v>114.30450822428465</v>
      </c>
      <c r="CB133" s="20">
        <f t="shared" si="118"/>
        <v>1092.2098748239625</v>
      </c>
      <c r="CC133" s="59">
        <f t="shared" si="119"/>
        <v>1379.8893781933552</v>
      </c>
      <c r="CD133" s="59">
        <f ca="1">AVERAGE(OFFSET($CC$3,0,0,'Données projet'!$E$12+1,1))-AVERAGE(OFFSET($H$3,0,0,'Données projet'!$E$12+1,1))</f>
        <v>797.57191672067393</v>
      </c>
      <c r="CE133" s="59">
        <f t="shared" ref="CE133:CE196" si="148">$CE$3</f>
        <v>238.59056544987126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126.58273681465153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126.58273681465153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>
        <f>CT133*VLOOKUP('Données projet'!$B$13,Paramètres!$A$1:$I$89,3,0)*VLOOKUP('Données projet'!$B$13,Paramètres!$A$1:$I$89,5,0)</f>
        <v>0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188.98184340090461</v>
      </c>
      <c r="CZ133" s="59">
        <f t="shared" ref="CZ133:CZ196" si="150">$CZ$3</f>
        <v>450.74604661797798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8.5303480858082104</v>
      </c>
      <c r="DH133" s="21">
        <f>EXP(-LN(2)/2)*DH132+(1-EXP(-LN(2)/2))/(LN(2)/2)*DB133*DE133*VLOOKUP('Données projet'!$B$13,Paramètres!$A$1:$I$89,3,0)*0.475*44/12</f>
        <v>3.9934283437896749E-17</v>
      </c>
      <c r="DI133" s="22">
        <f t="shared" si="123"/>
        <v>8.5303480858082104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369.00000000000011</v>
      </c>
      <c r="DP133" s="17">
        <f>DO133*VLOOKUP('Données projet'!$B$14,Paramètres!$A$1:$I$89,3,0)*VLOOKUP('Données projet'!$B$14,Paramètres!$A$1:$I$89,5,0)</f>
        <v>333.87120000000004</v>
      </c>
      <c r="DQ133" s="13">
        <f t="shared" ref="DQ133:DQ153" si="151">EXP(-1.0587+0.8836*LN(DP133)+0.284)</f>
        <v>78.232360111376309</v>
      </c>
      <c r="DR133" s="20">
        <f t="shared" si="124"/>
        <v>717.74703386064709</v>
      </c>
      <c r="DS133" s="59">
        <f t="shared" si="125"/>
        <v>1005.4265372300397</v>
      </c>
      <c r="DT133" s="59">
        <f ca="1">AVERAGE(OFFSET($DS$3,0,0,'Données projet'!$E$14+1,1))-AVERAGE(OFFSET($H$3,0,0,'Données projet'!$E$14+1,1))</f>
        <v>442.34161202733173</v>
      </c>
      <c r="DU133" s="59">
        <f t="shared" ref="DU133:DU196" si="152">$DU$3</f>
        <v>622.90413492324399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1.4589424153699606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1.4589424153699606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8.4949999999999939</v>
      </c>
      <c r="EJ133" s="12">
        <f>IF('Données projet'!$A$192&gt;35,EJ132+EI133-ER132,IF(A133&lt;'Données projet'!$A$192,$EG$205^A133,IF(A133='Données projet'!$A$192,'Données projet'!$B$192,EJ132+EI133-ER132)))</f>
        <v>450.30000000000007</v>
      </c>
      <c r="EK133" s="17">
        <f>EJ133*VLOOKUP('Données projet'!$B$15,Paramètres!$A$1:$I$89,3,0)*VLOOKUP('Données projet'!$B$15,Paramètres!$A$1:$I$89,5,0)</f>
        <v>491.72760000000005</v>
      </c>
      <c r="EL133" s="13">
        <f t="shared" ref="EL133:EL153" si="153">EXP(-1.0587+0.8836*LN(EK133)+0.284)</f>
        <v>110.14376265559881</v>
      </c>
      <c r="EM133" s="20">
        <f t="shared" si="127"/>
        <v>1048.2592899585013</v>
      </c>
      <c r="EN133" s="59">
        <f t="shared" si="128"/>
        <v>1335.938793327894</v>
      </c>
      <c r="EO133" s="59">
        <f ca="1">AVERAGE(OFFSET($EN$3,0,0,'Données projet'!$E$15+1,1))-AVERAGE(OFFSET($H$3,0,0,'Données projet'!$E$15+1,1))</f>
        <v>767.9449852393318</v>
      </c>
      <c r="EP133" s="59">
        <f t="shared" ref="EP133:EP196" si="154">$EP$3</f>
        <v>230.95605490295961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121.38070653459731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121.38070653459731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68.458046373470708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3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</v>
      </c>
      <c r="H134" s="66">
        <f t="shared" si="110"/>
        <v>212.66666666666666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188.98184340090461</v>
      </c>
      <c r="T134" s="59">
        <f t="shared" si="142"/>
        <v>450.74604661797798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10.163999999999998</v>
      </c>
      <c r="AI134" s="13">
        <f>IF('Données projet'!$A$62&gt;35,AI133+AH134-AQ133,IF(A134&lt;'Données projet'!$A$62,$AF$205^A134,IF(A134='Données projet'!$A$62,'Données projet'!$B$62,AI133+AH134-AQ133)))</f>
        <v>547.57399999999984</v>
      </c>
      <c r="AJ134" s="13">
        <f>AI134*VLOOKUP('Données projet'!$B$10,Paramètres!$A$1:$I$89,3,0)*VLOOKUP('Données projet'!$B$10,Paramètres!$A$1:$I$89,5,0)</f>
        <v>495.44495519999981</v>
      </c>
      <c r="AK134" s="13">
        <f t="shared" si="143"/>
        <v>110.87918107650623</v>
      </c>
      <c r="AL134" s="20">
        <f t="shared" si="112"/>
        <v>1056.0145373482478</v>
      </c>
      <c r="AM134" s="59">
        <f t="shared" si="113"/>
        <v>1343.7921220274445</v>
      </c>
      <c r="AN134" s="59">
        <f ca="1">AVERAGE(OFFSET($AM$3,0,0,'Données projet'!$E$10+1,1))-AVERAGE(OFFSET($H$3,0,0,'Données projet'!$E$10+1,1))</f>
        <v>725.60981534362895</v>
      </c>
      <c r="AO134" s="59">
        <f t="shared" si="144"/>
        <v>265.16078167969272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146.40523592421746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146.40523592421746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1.2800000000000011</v>
      </c>
      <c r="BD134" s="12">
        <f>IF('Données projet'!$A$88&gt;35,BD133+BC134-BL133,IF(A134&lt;'Données projet'!$A$88,$BA$205^A134,IF(A134='Données projet'!$A$88,'Données projet'!$B$88,BD133+BC134-BL133)))</f>
        <v>138.28</v>
      </c>
      <c r="BE134" s="13">
        <f>BD134*VLOOKUP('Données projet'!$B$11,Paramètres!$A$1:$I$89,3,0)*VLOOKUP('Données projet'!$B$11,Paramètres!$A$1:$I$89,5,0)</f>
        <v>159.29855999999998</v>
      </c>
      <c r="BF134" s="13">
        <f t="shared" si="145"/>
        <v>40.684263223194627</v>
      </c>
      <c r="BG134" s="20">
        <f t="shared" si="115"/>
        <v>348.30341711373057</v>
      </c>
      <c r="BH134" s="59">
        <f t="shared" si="116"/>
        <v>636.08100179292728</v>
      </c>
      <c r="BI134" s="59">
        <f ca="1">AVERAGE(OFFSET($BH$3,0,0,'Données projet'!$E$11+1,1))-AVERAGE(OFFSET($H$3,0,0,'Données projet'!$E$11+1,1))</f>
        <v>332.93090933713466</v>
      </c>
      <c r="BJ134" s="59">
        <f t="shared" si="146"/>
        <v>251.83579649532973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24.849069260315968</v>
      </c>
      <c r="BQ134" s="21">
        <f>EXP(-LN(2)/25)*BQ133+(1-EXP(-LN(2)/25))/(LN(2)/25)*Calculateur!BL134*Calculateur!BN134*VLOOKUP('Données projet'!$B$11,Paramètres!$A$1:$I$89,3,0)*0.475*44/12</f>
        <v>0.42279996655192248</v>
      </c>
      <c r="BR134" s="21">
        <f>EXP(-LN(2)/2)*BR133+(1-EXP(-LN(2)/2))/(LN(2)/2)*BL134*BO134*VLOOKUP('Données projet'!$B$11,Paramètres!$A$1:$I$89,3,0)*0.475*44/12</f>
        <v>1.6899349906031894E-18</v>
      </c>
      <c r="BS134" s="22">
        <f t="shared" si="117"/>
        <v>25.271869226867892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8.4949999999999939</v>
      </c>
      <c r="BY134" s="12">
        <f>IF('Données projet'!$A$114&gt;35,BY133+BX134-CG133,IF(A134&lt;'Données projet'!$A$114,$BV$205^A134,IF(A134='Données projet'!$A$114,'Données projet'!$B$114,BY133+BX134-CG133)))</f>
        <v>458.79500000000007</v>
      </c>
      <c r="BZ134" s="13">
        <f>BY134*VLOOKUP('Données projet'!$B$12,Paramètres!$A$1:$I$89,3,0)*VLOOKUP('Données projet'!$B$12,Paramètres!$A$1:$I$89,5,0)</f>
        <v>522.47574600000007</v>
      </c>
      <c r="CA134" s="13">
        <f t="shared" si="147"/>
        <v>116.2078059273753</v>
      </c>
      <c r="CB134" s="20">
        <f t="shared" si="118"/>
        <v>1112.3738529401787</v>
      </c>
      <c r="CC134" s="59">
        <f t="shared" si="119"/>
        <v>1400.1514376193754</v>
      </c>
      <c r="CD134" s="59">
        <f ca="1">AVERAGE(OFFSET($CC$3,0,0,'Données projet'!$E$12+1,1))-AVERAGE(OFFSET($H$3,0,0,'Données projet'!$E$12+1,1))</f>
        <v>797.57191672067393</v>
      </c>
      <c r="CE134" s="59">
        <f t="shared" si="148"/>
        <v>238.59056544987126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124.10052655356202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124.10052655356202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>
        <f>CT134*VLOOKUP('Données projet'!$B$13,Paramètres!$A$1:$I$89,3,0)*VLOOKUP('Données projet'!$B$13,Paramètres!$A$1:$I$89,5,0)</f>
        <v>0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188.98184340090461</v>
      </c>
      <c r="CZ134" s="59">
        <f t="shared" si="150"/>
        <v>450.74604661797798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8.2970852688102745</v>
      </c>
      <c r="DH134" s="21">
        <f>EXP(-LN(2)/2)*DH133+(1-EXP(-LN(2)/2))/(LN(2)/2)*DB134*DE134*VLOOKUP('Données projet'!$B$13,Paramètres!$A$1:$I$89,3,0)*0.475*44/12</f>
        <v>2.8237802620762425E-17</v>
      </c>
      <c r="DI134" s="22">
        <f t="shared" si="123"/>
        <v>8.2970852688102745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369.00000000000011</v>
      </c>
      <c r="DP134" s="17">
        <f>DO134*VLOOKUP('Données projet'!$B$14,Paramètres!$A$1:$I$89,3,0)*VLOOKUP('Données projet'!$B$14,Paramètres!$A$1:$I$89,5,0)</f>
        <v>333.87120000000004</v>
      </c>
      <c r="DQ134" s="13">
        <f t="shared" si="151"/>
        <v>78.232360111376309</v>
      </c>
      <c r="DR134" s="20">
        <f t="shared" si="124"/>
        <v>717.74703386064709</v>
      </c>
      <c r="DS134" s="59">
        <f t="shared" si="125"/>
        <v>1005.5246185398439</v>
      </c>
      <c r="DT134" s="59">
        <f ca="1">AVERAGE(OFFSET($DS$3,0,0,'Données projet'!$E$14+1,1))-AVERAGE(OFFSET($H$3,0,0,'Données projet'!$E$14+1,1))</f>
        <v>442.34161202733173</v>
      </c>
      <c r="DU134" s="59">
        <f t="shared" si="152"/>
        <v>622.90413492324399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1.4303334444715621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1.4303334444715621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8.4949999999999939</v>
      </c>
      <c r="EJ134" s="12">
        <f>IF('Données projet'!$A$192&gt;35,EJ133+EI134-ER133,IF(A134&lt;'Données projet'!$A$192,$EG$205^A134,IF(A134='Données projet'!$A$192,'Données projet'!$B$192,EJ133+EI134-ER133)))</f>
        <v>458.79500000000007</v>
      </c>
      <c r="EK134" s="17">
        <f>EJ134*VLOOKUP('Données projet'!$B$15,Paramètres!$A$1:$I$89,3,0)*VLOOKUP('Données projet'!$B$15,Paramètres!$A$1:$I$89,5,0)</f>
        <v>501.00414000000012</v>
      </c>
      <c r="EL134" s="13">
        <f t="shared" si="153"/>
        <v>111.97777929876422</v>
      </c>
      <c r="EM134" s="20">
        <f t="shared" si="127"/>
        <v>1067.6101761120144</v>
      </c>
      <c r="EN134" s="59">
        <f t="shared" si="128"/>
        <v>1355.3877607912111</v>
      </c>
      <c r="EO134" s="59">
        <f ca="1">AVERAGE(OFFSET($EN$3,0,0,'Données projet'!$E$15+1,1))-AVERAGE(OFFSET($H$3,0,0,'Données projet'!$E$15+1,1))</f>
        <v>767.9449852393318</v>
      </c>
      <c r="EP134" s="59">
        <f t="shared" si="154"/>
        <v>230.95605490295961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119.0005049143745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119.0005049143745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68.484795821599121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3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</v>
      </c>
      <c r="H135" s="66">
        <f t="shared" si="110"/>
        <v>212.66666666666666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188.98184340090461</v>
      </c>
      <c r="T135" s="59">
        <f t="shared" si="142"/>
        <v>450.74604661797798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10.163999999999998</v>
      </c>
      <c r="AI135" s="13">
        <f>IF('Données projet'!$A$62&gt;35,AI134+AH135-AQ134,IF(A135&lt;'Données projet'!$A$62,$AF$205^A135,IF(A135='Données projet'!$A$62,'Données projet'!$B$62,AI134+AH135-AQ134)))</f>
        <v>557.73799999999983</v>
      </c>
      <c r="AJ135" s="13">
        <f>AI135*VLOOKUP('Données projet'!$B$10,Paramètres!$A$1:$I$89,3,0)*VLOOKUP('Données projet'!$B$10,Paramètres!$A$1:$I$89,5,0)</f>
        <v>504.64134239999987</v>
      </c>
      <c r="AK135" s="13">
        <f t="shared" si="143"/>
        <v>112.69578958899113</v>
      </c>
      <c r="AL135" s="20">
        <f t="shared" si="112"/>
        <v>1075.1955048808261</v>
      </c>
      <c r="AM135" s="59">
        <f t="shared" si="113"/>
        <v>1363.0694693783789</v>
      </c>
      <c r="AN135" s="59">
        <f ca="1">AVERAGE(OFFSET($AM$3,0,0,'Données projet'!$E$10+1,1))-AVERAGE(OFFSET($H$3,0,0,'Données projet'!$E$10+1,1))</f>
        <v>725.60981534362895</v>
      </c>
      <c r="AO135" s="59">
        <f t="shared" si="144"/>
        <v>265.16078167969272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143.53431854612001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143.53431854612001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1.2800000000000011</v>
      </c>
      <c r="BD135" s="12">
        <f>IF('Données projet'!$A$88&gt;35,BD134+BC135-BL134,IF(A135&lt;'Données projet'!$A$88,$BA$205^A135,IF(A135='Données projet'!$A$88,'Données projet'!$B$88,BD134+BC135-BL134)))</f>
        <v>139.56</v>
      </c>
      <c r="BE135" s="13">
        <f>BD135*VLOOKUP('Données projet'!$B$11,Paramètres!$A$1:$I$89,3,0)*VLOOKUP('Données projet'!$B$11,Paramètres!$A$1:$I$89,5,0)</f>
        <v>160.77311999999998</v>
      </c>
      <c r="BF135" s="13">
        <f t="shared" si="145"/>
        <v>41.016845829300806</v>
      </c>
      <c r="BG135" s="20">
        <f t="shared" si="115"/>
        <v>351.45085715269892</v>
      </c>
      <c r="BH135" s="59">
        <f t="shared" si="116"/>
        <v>639.32482165025181</v>
      </c>
      <c r="BI135" s="59">
        <f ca="1">AVERAGE(OFFSET($BH$3,0,0,'Données projet'!$E$11+1,1))-AVERAGE(OFFSET($H$3,0,0,'Données projet'!$E$11+1,1))</f>
        <v>332.93090933713466</v>
      </c>
      <c r="BJ135" s="59">
        <f t="shared" si="146"/>
        <v>251.83579649532973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24.361794168556848</v>
      </c>
      <c r="BQ135" s="21">
        <f>EXP(-LN(2)/25)*BQ134+(1-EXP(-LN(2)/25))/(LN(2)/25)*Calculateur!BL135*Calculateur!BN135*VLOOKUP('Données projet'!$B$11,Paramètres!$A$1:$I$89,3,0)*0.475*44/12</f>
        <v>0.41123847923247625</v>
      </c>
      <c r="BR135" s="21">
        <f>EXP(-LN(2)/2)*BR134+(1-EXP(-LN(2)/2))/(LN(2)/2)*BL135*BO135*VLOOKUP('Données projet'!$B$11,Paramètres!$A$1:$I$89,3,0)*0.475*44/12</f>
        <v>1.1949644916199398E-18</v>
      </c>
      <c r="BS135" s="22">
        <f t="shared" si="117"/>
        <v>24.773032647789325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8.4949999999999939</v>
      </c>
      <c r="BY135" s="12">
        <f>IF('Données projet'!$A$114&gt;35,BY134+BX135-CG134,IF(A135&lt;'Données projet'!$A$114,$BV$205^A135,IF(A135='Données projet'!$A$114,'Données projet'!$B$114,BY134+BX135-CG134)))</f>
        <v>467.29000000000008</v>
      </c>
      <c r="BZ135" s="13">
        <f>BY135*VLOOKUP('Données projet'!$B$12,Paramètres!$A$1:$I$89,3,0)*VLOOKUP('Données projet'!$B$12,Paramètres!$A$1:$I$89,5,0)</f>
        <v>532.14985200000012</v>
      </c>
      <c r="CA135" s="13">
        <f t="shared" si="147"/>
        <v>118.10700571757326</v>
      </c>
      <c r="CB135" s="20">
        <f t="shared" si="118"/>
        <v>1132.5306938581068</v>
      </c>
      <c r="CC135" s="59">
        <f t="shared" si="119"/>
        <v>1420.4046583556596</v>
      </c>
      <c r="CD135" s="59">
        <f ca="1">AVERAGE(OFFSET($CC$3,0,0,'Données projet'!$E$12+1,1))-AVERAGE(OFFSET($H$3,0,0,'Données projet'!$E$12+1,1))</f>
        <v>797.57191672067393</v>
      </c>
      <c r="CE135" s="59">
        <f t="shared" si="148"/>
        <v>238.59056544987126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121.66699092169372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121.66699092169372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>
        <f>CT135*VLOOKUP('Données projet'!$B$13,Paramètres!$A$1:$I$89,3,0)*VLOOKUP('Données projet'!$B$13,Paramètres!$A$1:$I$89,5,0)</f>
        <v>0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188.98184340090461</v>
      </c>
      <c r="CZ135" s="59">
        <f t="shared" si="150"/>
        <v>450.74604661797798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8.070201035809907</v>
      </c>
      <c r="DH135" s="21">
        <f>EXP(-LN(2)/2)*DH134+(1-EXP(-LN(2)/2))/(LN(2)/2)*DB135*DE135*VLOOKUP('Données projet'!$B$13,Paramètres!$A$1:$I$89,3,0)*0.475*44/12</f>
        <v>1.9967141718948375E-17</v>
      </c>
      <c r="DI135" s="22">
        <f t="shared" si="123"/>
        <v>8.070201035809907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369.00000000000011</v>
      </c>
      <c r="DP135" s="17">
        <f>DO135*VLOOKUP('Données projet'!$B$14,Paramètres!$A$1:$I$89,3,0)*VLOOKUP('Données projet'!$B$14,Paramètres!$A$1:$I$89,5,0)</f>
        <v>333.87120000000004</v>
      </c>
      <c r="DQ135" s="13">
        <f t="shared" si="151"/>
        <v>78.232360111376309</v>
      </c>
      <c r="DR135" s="20">
        <f t="shared" si="124"/>
        <v>717.74703386064709</v>
      </c>
      <c r="DS135" s="59">
        <f t="shared" si="125"/>
        <v>1005.6209983581999</v>
      </c>
      <c r="DT135" s="59">
        <f ca="1">AVERAGE(OFFSET($DS$3,0,0,'Données projet'!$E$14+1,1))-AVERAGE(OFFSET($H$3,0,0,'Données projet'!$E$14+1,1))</f>
        <v>442.34161202733173</v>
      </c>
      <c r="DU135" s="59">
        <f t="shared" si="152"/>
        <v>622.90413492324399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1.4022854780427318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1.4022854780427318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8.4949999999999939</v>
      </c>
      <c r="EJ135" s="12">
        <f>IF('Données projet'!$A$192&gt;35,EJ134+EI135-ER134,IF(A135&lt;'Données projet'!$A$192,$EG$205^A135,IF(A135='Données projet'!$A$192,'Données projet'!$B$192,EJ134+EI135-ER134)))</f>
        <v>467.29000000000008</v>
      </c>
      <c r="EK135" s="17">
        <f>EJ135*VLOOKUP('Données projet'!$B$15,Paramètres!$A$1:$I$89,3,0)*VLOOKUP('Données projet'!$B$15,Paramètres!$A$1:$I$89,5,0)</f>
        <v>510.28068000000002</v>
      </c>
      <c r="EL135" s="13">
        <f t="shared" si="153"/>
        <v>113.80784719526973</v>
      </c>
      <c r="EM135" s="20">
        <f t="shared" si="127"/>
        <v>1086.9541848650949</v>
      </c>
      <c r="EN135" s="59">
        <f t="shared" si="128"/>
        <v>1374.8281493626478</v>
      </c>
      <c r="EO135" s="59">
        <f ca="1">AVERAGE(OFFSET($EN$3,0,0,'Données projet'!$E$15+1,1))-AVERAGE(OFFSET($H$3,0,0,'Données projet'!$E$15+1,1))</f>
        <v>767.9449852393318</v>
      </c>
      <c r="EP135" s="59">
        <f t="shared" si="154"/>
        <v>230.95605490295961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116.66697759614463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116.66697759614463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68.511081226605313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3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</v>
      </c>
      <c r="H136" s="66">
        <f t="shared" si="110"/>
        <v>212.66666666666666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188.98184340090461</v>
      </c>
      <c r="T136" s="59">
        <f t="shared" si="142"/>
        <v>450.74604661797798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10.163999999999998</v>
      </c>
      <c r="AI136" s="13">
        <f>IF('Données projet'!$A$62&gt;35,AI135+AH136-AQ135,IF(A136&lt;'Données projet'!$A$62,$AF$205^A136,IF(A136='Données projet'!$A$62,'Données projet'!$B$62,AI135+AH136-AQ135)))</f>
        <v>567.90199999999982</v>
      </c>
      <c r="AJ136" s="13">
        <f>AI136*VLOOKUP('Données projet'!$B$10,Paramètres!$A$1:$I$89,3,0)*VLOOKUP('Données projet'!$B$10,Paramètres!$A$1:$I$89,5,0)</f>
        <v>513.83772959999976</v>
      </c>
      <c r="AK136" s="13">
        <f t="shared" si="143"/>
        <v>114.5085485190572</v>
      </c>
      <c r="AL136" s="20">
        <f t="shared" si="112"/>
        <v>1094.3697677240241</v>
      </c>
      <c r="AM136" s="59">
        <f t="shared" si="113"/>
        <v>1382.3384400655575</v>
      </c>
      <c r="AN136" s="59">
        <f ca="1">AVERAGE(OFFSET($AM$3,0,0,'Données projet'!$E$10+1,1))-AVERAGE(OFFSET($H$3,0,0,'Données projet'!$E$10+1,1))</f>
        <v>725.60981534362895</v>
      </c>
      <c r="AO136" s="59">
        <f t="shared" si="144"/>
        <v>265.16078167969272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140.71969810672033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140.71969810672033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1.2800000000000011</v>
      </c>
      <c r="BD136" s="12">
        <f>IF('Données projet'!$A$88&gt;35,BD135+BC136-BL135,IF(A136&lt;'Données projet'!$A$88,$BA$205^A136,IF(A136='Données projet'!$A$88,'Données projet'!$B$88,BD135+BC136-BL135)))</f>
        <v>140.84</v>
      </c>
      <c r="BE136" s="13">
        <f>BD136*VLOOKUP('Données projet'!$B$11,Paramètres!$A$1:$I$89,3,0)*VLOOKUP('Données projet'!$B$11,Paramètres!$A$1:$I$89,5,0)</f>
        <v>162.24768</v>
      </c>
      <c r="BF136" s="13">
        <f t="shared" si="145"/>
        <v>41.34907355979135</v>
      </c>
      <c r="BG136" s="20">
        <f t="shared" si="115"/>
        <v>354.59767911663658</v>
      </c>
      <c r="BH136" s="59">
        <f t="shared" si="116"/>
        <v>642.56635145816995</v>
      </c>
      <c r="BI136" s="59">
        <f ca="1">AVERAGE(OFFSET($BH$3,0,0,'Données projet'!$E$11+1,1))-AVERAGE(OFFSET($H$3,0,0,'Données projet'!$E$11+1,1))</f>
        <v>332.93090933713466</v>
      </c>
      <c r="BJ136" s="59">
        <f t="shared" si="146"/>
        <v>251.83579649532973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23.884074244138663</v>
      </c>
      <c r="BQ136" s="21">
        <f>EXP(-LN(2)/25)*BQ135+(1-EXP(-LN(2)/25))/(LN(2)/25)*Calculateur!BL136*Calculateur!BN136*VLOOKUP('Données projet'!$B$11,Paramètres!$A$1:$I$89,3,0)*0.475*44/12</f>
        <v>0.39999314139177244</v>
      </c>
      <c r="BR136" s="21">
        <f>EXP(-LN(2)/2)*BR135+(1-EXP(-LN(2)/2))/(LN(2)/2)*BL136*BO136*VLOOKUP('Données projet'!$B$11,Paramètres!$A$1:$I$89,3,0)*0.475*44/12</f>
        <v>8.4496749530159482E-19</v>
      </c>
      <c r="BS136" s="22">
        <f t="shared" si="117"/>
        <v>24.284067385530435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8.4949999999999939</v>
      </c>
      <c r="BY136" s="12">
        <f>IF('Données projet'!$A$114&gt;35,BY135+BX136-CG135,IF(A136&lt;'Données projet'!$A$114,$BV$205^A136,IF(A136='Données projet'!$A$114,'Données projet'!$B$114,BY135+BX136-CG135)))</f>
        <v>475.78500000000008</v>
      </c>
      <c r="BZ136" s="13">
        <f>BY136*VLOOKUP('Données projet'!$B$12,Paramètres!$A$1:$I$89,3,0)*VLOOKUP('Données projet'!$B$12,Paramètres!$A$1:$I$89,5,0)</f>
        <v>541.82395800000006</v>
      </c>
      <c r="CA136" s="13">
        <f t="shared" si="147"/>
        <v>120.00219068478486</v>
      </c>
      <c r="CB136" s="20">
        <f t="shared" si="118"/>
        <v>1152.680542292667</v>
      </c>
      <c r="CC136" s="59">
        <f t="shared" si="119"/>
        <v>1440.6492146342005</v>
      </c>
      <c r="CD136" s="59">
        <f ca="1">AVERAGE(OFFSET($CC$3,0,0,'Données projet'!$E$12+1,1))-AVERAGE(OFFSET($H$3,0,0,'Données projet'!$E$12+1,1))</f>
        <v>797.57191672067393</v>
      </c>
      <c r="CE136" s="59">
        <f t="shared" si="148"/>
        <v>238.59056544987126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119.28117543925619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119.28117543925619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>
        <f>CT136*VLOOKUP('Données projet'!$B$13,Paramètres!$A$1:$I$89,3,0)*VLOOKUP('Données projet'!$B$13,Paramètres!$A$1:$I$89,5,0)</f>
        <v>0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188.98184340090461</v>
      </c>
      <c r="CZ136" s="59">
        <f t="shared" si="150"/>
        <v>450.74604661797798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7.8495209640922576</v>
      </c>
      <c r="DH136" s="21">
        <f>EXP(-LN(2)/2)*DH135+(1-EXP(-LN(2)/2))/(LN(2)/2)*DB136*DE136*VLOOKUP('Données projet'!$B$13,Paramètres!$A$1:$I$89,3,0)*0.475*44/12</f>
        <v>1.4118901310381213E-17</v>
      </c>
      <c r="DI136" s="22">
        <f t="shared" si="123"/>
        <v>7.8495209640922576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369.00000000000011</v>
      </c>
      <c r="DP136" s="17">
        <f>DO136*VLOOKUP('Données projet'!$B$14,Paramètres!$A$1:$I$89,3,0)*VLOOKUP('Données projet'!$B$14,Paramètres!$A$1:$I$89,5,0)</f>
        <v>333.87120000000004</v>
      </c>
      <c r="DQ136" s="13">
        <f t="shared" si="151"/>
        <v>78.232360111376309</v>
      </c>
      <c r="DR136" s="20">
        <f t="shared" si="124"/>
        <v>717.74703386064709</v>
      </c>
      <c r="DS136" s="59">
        <f t="shared" si="125"/>
        <v>1005.7157062021804</v>
      </c>
      <c r="DT136" s="59">
        <f ca="1">AVERAGE(OFFSET($DS$3,0,0,'Données projet'!$E$14+1,1))-AVERAGE(OFFSET($H$3,0,0,'Données projet'!$E$14+1,1))</f>
        <v>442.34161202733173</v>
      </c>
      <c r="DU136" s="59">
        <f t="shared" si="152"/>
        <v>622.90413492324399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1.3747875151280007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1.3747875151280007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8.4949999999999939</v>
      </c>
      <c r="EJ136" s="12">
        <f>IF('Données projet'!$A$192&gt;35,EJ135+EI136-ER135,IF(A136&lt;'Données projet'!$A$192,$EG$205^A136,IF(A136='Données projet'!$A$192,'Données projet'!$B$192,EJ135+EI136-ER135)))</f>
        <v>475.78500000000008</v>
      </c>
      <c r="EK136" s="17">
        <f>EJ136*VLOOKUP('Données projet'!$B$15,Paramètres!$A$1:$I$89,3,0)*VLOOKUP('Données projet'!$B$15,Paramètres!$A$1:$I$89,5,0)</f>
        <v>519.55722000000003</v>
      </c>
      <c r="EL136" s="13">
        <f t="shared" si="153"/>
        <v>115.63404641050485</v>
      </c>
      <c r="EM136" s="20">
        <f t="shared" si="127"/>
        <v>1106.2914556649628</v>
      </c>
      <c r="EN136" s="59">
        <f t="shared" si="128"/>
        <v>1394.2601280064962</v>
      </c>
      <c r="EO136" s="59">
        <f ca="1">AVERAGE(OFFSET($EN$3,0,0,'Données projet'!$E$15+1,1))-AVERAGE(OFFSET($H$3,0,0,'Données projet'!$E$15+1,1))</f>
        <v>767.9449852393318</v>
      </c>
      <c r="EP136" s="59">
        <f t="shared" si="154"/>
        <v>230.95605490295961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114.37920932531412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114.37920932531412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68.536910638600006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3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</v>
      </c>
      <c r="H137" s="66">
        <f t="shared" si="110"/>
        <v>212.66666666666666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188.98184340090461</v>
      </c>
      <c r="T137" s="59">
        <f t="shared" si="142"/>
        <v>450.74604661797798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10.163999999999998</v>
      </c>
      <c r="AI137" s="13">
        <f>IF('Données projet'!$A$62&gt;35,AI136+AH137-AQ136,IF(A137&lt;'Données projet'!$A$62,$AF$205^A137,IF(A137='Données projet'!$A$62,'Données projet'!$B$62,AI136+AH137-AQ136)))</f>
        <v>578.0659999999998</v>
      </c>
      <c r="AJ137" s="13">
        <f>AI137*VLOOKUP('Données projet'!$B$10,Paramètres!$A$1:$I$89,3,0)*VLOOKUP('Données projet'!$B$10,Paramètres!$A$1:$I$89,5,0)</f>
        <v>523.03411679999988</v>
      </c>
      <c r="AK137" s="13">
        <f t="shared" si="143"/>
        <v>116.31753471233222</v>
      </c>
      <c r="AL137" s="20">
        <f t="shared" si="112"/>
        <v>1113.5374597173118</v>
      </c>
      <c r="AM137" s="59">
        <f t="shared" si="113"/>
        <v>1401.5991969334677</v>
      </c>
      <c r="AN137" s="59">
        <f ca="1">AVERAGE(OFFSET($AM$3,0,0,'Données projet'!$E$10+1,1))-AVERAGE(OFFSET($H$3,0,0,'Données projet'!$E$10+1,1))</f>
        <v>725.60981534362895</v>
      </c>
      <c r="AO137" s="59">
        <f t="shared" si="144"/>
        <v>265.16078167969272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137.96027065738832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137.96027065738832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1.2800000000000011</v>
      </c>
      <c r="BD137" s="12">
        <f>IF('Données projet'!$A$88&gt;35,BD136+BC137-BL136,IF(A137&lt;'Données projet'!$A$88,$BA$205^A137,IF(A137='Données projet'!$A$88,'Données projet'!$B$88,BD136+BC137-BL136)))</f>
        <v>142.12</v>
      </c>
      <c r="BE137" s="13">
        <f>BD137*VLOOKUP('Données projet'!$B$11,Paramètres!$A$1:$I$89,3,0)*VLOOKUP('Données projet'!$B$11,Paramètres!$A$1:$I$89,5,0)</f>
        <v>163.72224</v>
      </c>
      <c r="BF137" s="13">
        <f t="shared" si="145"/>
        <v>41.680950013503903</v>
      </c>
      <c r="BG137" s="20">
        <f t="shared" si="115"/>
        <v>357.74388927351924</v>
      </c>
      <c r="BH137" s="59">
        <f t="shared" si="116"/>
        <v>645.80562648967521</v>
      </c>
      <c r="BI137" s="59">
        <f ca="1">AVERAGE(OFFSET($BH$3,0,0,'Données projet'!$E$11+1,1))-AVERAGE(OFFSET($H$3,0,0,'Données projet'!$E$11+1,1))</f>
        <v>332.93090933713466</v>
      </c>
      <c r="BJ137" s="59">
        <f t="shared" si="146"/>
        <v>251.83579649532973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23.415722116057939</v>
      </c>
      <c r="BQ137" s="21">
        <f>EXP(-LN(2)/25)*BQ136+(1-EXP(-LN(2)/25))/(LN(2)/25)*Calculateur!BL137*Calculateur!BN137*VLOOKUP('Données projet'!$B$11,Paramètres!$A$1:$I$89,3,0)*0.475*44/12</f>
        <v>0.38905530790568932</v>
      </c>
      <c r="BR137" s="21">
        <f>EXP(-LN(2)/2)*BR136+(1-EXP(-LN(2)/2))/(LN(2)/2)*BL137*BO137*VLOOKUP('Données projet'!$B$11,Paramètres!$A$1:$I$89,3,0)*0.475*44/12</f>
        <v>5.9748224580997002E-19</v>
      </c>
      <c r="BS137" s="22">
        <f t="shared" si="117"/>
        <v>23.804777423963628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>
        <f>VLOOKUP(A137,'Données projet'!$A$113:$I$133,2,0)</f>
        <v>484.28</v>
      </c>
      <c r="BW137" s="12">
        <f>VLOOKUP(A137,'Données projet'!$A$113:$I$133,9,0)</f>
        <v>8.4949999999999939</v>
      </c>
      <c r="BX137" s="12">
        <f t="array" ref="BX137">INDEX(BW:BW,MIN(IF(ISNUMBER(BW137:BW333),ROW(BW137:BW333),"")))</f>
        <v>8.4949999999999939</v>
      </c>
      <c r="BY137" s="12">
        <f>IF('Données projet'!$A$114&gt;35,BY136+BX137-CG136,IF(A137&lt;'Données projet'!$A$114,$BV$205^A137,IF(A137='Données projet'!$A$114,'Données projet'!$B$114,BY136+BX137-CG136)))</f>
        <v>484.28000000000009</v>
      </c>
      <c r="BZ137" s="13">
        <f>BY137*VLOOKUP('Données projet'!$B$12,Paramètres!$A$1:$I$89,3,0)*VLOOKUP('Données projet'!$B$12,Paramètres!$A$1:$I$89,5,0)</f>
        <v>551.49806400000011</v>
      </c>
      <c r="CA137" s="13">
        <f t="shared" si="147"/>
        <v>121.8934407819021</v>
      </c>
      <c r="CB137" s="20">
        <f t="shared" si="118"/>
        <v>1172.8235374951462</v>
      </c>
      <c r="CC137" s="59">
        <f t="shared" si="119"/>
        <v>1460.8852747113021</v>
      </c>
      <c r="CD137" s="59">
        <f ca="1">AVERAGE(OFFSET($CC$3,0,0,'Données projet'!$E$12+1,1))-AVERAGE(OFFSET($H$3,0,0,'Données projet'!$E$12+1,1))</f>
        <v>797.57191672067393</v>
      </c>
      <c r="CE137" s="59">
        <f t="shared" si="148"/>
        <v>238.59056544987126</v>
      </c>
      <c r="CF137" s="15">
        <f>IF(ISNA(VLOOKUP(A137,'Données projet'!$A$113:$I$133,3,0)),0,VLOOKUP(A137,'Données projet'!$A$113:$I$133,3,0))</f>
        <v>11</v>
      </c>
      <c r="CG137" s="15">
        <f>IF(ISNA(VLOOKUP(A137,'Données projet'!$A$113:$I$133,4,0)),0,VLOOKUP(A137,'Données projet'!$A$113:$I$133,4,0))</f>
        <v>54.95</v>
      </c>
      <c r="CH137" s="16">
        <f>IF(ISNA(VLOOKUP(A137,'Données projet'!$A$113:$I$133,5,0)),0%,VLOOKUP(A137,'Données projet'!$A$113:$I$133,5,0)*VLOOKUP('Données projet'!$B$12,Paramètres!$A$1:$I$89,7,0))</f>
        <v>0.43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146.68829143857565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146.68829143857565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>
        <f>CT137*VLOOKUP('Données projet'!$B$13,Paramètres!$A$1:$I$89,3,0)*VLOOKUP('Données projet'!$B$13,Paramètres!$A$1:$I$89,5,0)</f>
        <v>0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188.98184340090461</v>
      </c>
      <c r="CZ137" s="59">
        <f t="shared" si="150"/>
        <v>450.74604661797798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7.6348754005407873</v>
      </c>
      <c r="DH137" s="21">
        <f>EXP(-LN(2)/2)*DH136+(1-EXP(-LN(2)/2))/(LN(2)/2)*DB137*DE137*VLOOKUP('Données projet'!$B$13,Paramètres!$A$1:$I$89,3,0)*0.475*44/12</f>
        <v>9.9835708594741873E-18</v>
      </c>
      <c r="DI137" s="22">
        <f t="shared" si="123"/>
        <v>7.6348754005407873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369.00000000000011</v>
      </c>
      <c r="DP137" s="17">
        <f>DO137*VLOOKUP('Données projet'!$B$14,Paramètres!$A$1:$I$89,3,0)*VLOOKUP('Données projet'!$B$14,Paramètres!$A$1:$I$89,5,0)</f>
        <v>333.87120000000004</v>
      </c>
      <c r="DQ137" s="13">
        <f t="shared" si="151"/>
        <v>78.232360111376309</v>
      </c>
      <c r="DR137" s="20">
        <f t="shared" si="124"/>
        <v>717.74703386064709</v>
      </c>
      <c r="DS137" s="59">
        <f t="shared" si="125"/>
        <v>1005.8087710768029</v>
      </c>
      <c r="DT137" s="59">
        <f ca="1">AVERAGE(OFFSET($DS$3,0,0,'Données projet'!$E$14+1,1))-AVERAGE(OFFSET($H$3,0,0,'Données projet'!$E$14+1,1))</f>
        <v>442.34161202733173</v>
      </c>
      <c r="DU137" s="59">
        <f t="shared" si="152"/>
        <v>622.90413492324399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1.347828770493926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1.347828770493926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>
        <f>VLOOKUP(A137,'Données projet'!$A$191:$I$211,2,0)</f>
        <v>484.28</v>
      </c>
      <c r="EH137" s="12">
        <f>VLOOKUP(A137,'Données projet'!$A$191:$I$211,9,0)</f>
        <v>8.4949999999999939</v>
      </c>
      <c r="EI137" s="12">
        <f t="array" ref="EI137">INDEX(EH:EH,MIN(IF(ISNUMBER(EH137:EH333),ROW(EH137:EH333),"")))</f>
        <v>8.4949999999999939</v>
      </c>
      <c r="EJ137" s="12">
        <f>IF('Données projet'!$A$192&gt;35,EJ136+EI137-ER136,IF(A137&lt;'Données projet'!$A$192,$EG$205^A137,IF(A137='Données projet'!$A$192,'Données projet'!$B$192,EJ136+EI137-ER136)))</f>
        <v>484.28000000000009</v>
      </c>
      <c r="EK137" s="17">
        <f>EJ137*VLOOKUP('Données projet'!$B$15,Paramètres!$A$1:$I$89,3,0)*VLOOKUP('Données projet'!$B$15,Paramètres!$A$1:$I$89,5,0)</f>
        <v>528.8337600000001</v>
      </c>
      <c r="EL137" s="13">
        <f t="shared" si="153"/>
        <v>117.456453987033</v>
      </c>
      <c r="EM137" s="20">
        <f t="shared" si="127"/>
        <v>1125.6221226940827</v>
      </c>
      <c r="EN137" s="59">
        <f t="shared" si="128"/>
        <v>1413.6838599102387</v>
      </c>
      <c r="EO137" s="59">
        <f ca="1">AVERAGE(OFFSET($EN$3,0,0,'Données projet'!$E$15+1,1))-AVERAGE(OFFSET($H$3,0,0,'Données projet'!$E$15+1,1))</f>
        <v>767.9449852393318</v>
      </c>
      <c r="EP137" s="59">
        <f t="shared" si="154"/>
        <v>230.95605490295961</v>
      </c>
      <c r="EQ137" s="15">
        <f>IF(ISNA(VLOOKUP(A137,'Données projet'!$A$191:$I$211,3,0)),0,VLOOKUP(A137,'Données projet'!$A$191:$I$211,3,0))</f>
        <v>11</v>
      </c>
      <c r="ER137" s="15">
        <f>IF(ISNA(VLOOKUP(A137,'Données projet'!$A$191:$I$211,4,0)),0,VLOOKUP(A137,'Données projet'!$A$191:$I$211,4,0))</f>
        <v>54.95</v>
      </c>
      <c r="ES137" s="16">
        <f>IF(ISNA(VLOOKUP(A137,'Données projet'!$A$191:$I$211,5,0)),0%,VLOOKUP(A137,'Données projet'!$A$191:$I$211,5,0)*VLOOKUP('Données projet'!$B$15,Paramètres!$A$1:$I$89,7,0))</f>
        <v>0.43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140.66000548904512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140.66000548904512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68.562291968042516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3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</v>
      </c>
      <c r="H138" s="66">
        <f t="shared" si="110"/>
        <v>212.66666666666666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188.98184340090461</v>
      </c>
      <c r="T138" s="59">
        <f t="shared" si="142"/>
        <v>450.74604661797798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10.163999999999998</v>
      </c>
      <c r="AI138" s="13">
        <f>IF('Données projet'!$A$62&gt;35,AI137+AH138-AQ137,IF(A138&lt;'Données projet'!$A$62,$AF$205^A138,IF(A138='Données projet'!$A$62,'Données projet'!$B$62,AI137+AH138-AQ137)))</f>
        <v>588.22999999999979</v>
      </c>
      <c r="AJ138" s="13">
        <f>AI138*VLOOKUP('Données projet'!$B$10,Paramètres!$A$1:$I$89,3,0)*VLOOKUP('Données projet'!$B$10,Paramètres!$A$1:$I$89,5,0)</f>
        <v>532.23050399999977</v>
      </c>
      <c r="AK138" s="13">
        <f t="shared" si="143"/>
        <v>118.12282215733531</v>
      </c>
      <c r="AL138" s="20">
        <f t="shared" si="112"/>
        <v>1132.6987097240253</v>
      </c>
      <c r="AM138" s="59">
        <f t="shared" si="113"/>
        <v>1420.851897347291</v>
      </c>
      <c r="AN138" s="59">
        <f ca="1">AVERAGE(OFFSET($AM$3,0,0,'Données projet'!$E$10+1,1))-AVERAGE(OFFSET($H$3,0,0,'Données projet'!$E$10+1,1))</f>
        <v>725.60981534362895</v>
      </c>
      <c r="AO138" s="59">
        <f t="shared" si="144"/>
        <v>265.16078167969272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135.25495389725316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135.25495389725316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1.2800000000000011</v>
      </c>
      <c r="BD138" s="12">
        <f>IF('Données projet'!$A$88&gt;35,BD137+BC138-BL137,IF(A138&lt;'Données projet'!$A$88,$BA$205^A138,IF(A138='Données projet'!$A$88,'Données projet'!$B$88,BD137+BC138-BL137)))</f>
        <v>143.4</v>
      </c>
      <c r="BE138" s="13">
        <f>BD138*VLOOKUP('Données projet'!$B$11,Paramètres!$A$1:$I$89,3,0)*VLOOKUP('Données projet'!$B$11,Paramètres!$A$1:$I$89,5,0)</f>
        <v>165.19679999999997</v>
      </c>
      <c r="BF138" s="13">
        <f t="shared" si="145"/>
        <v>42.012478720710703</v>
      </c>
      <c r="BG138" s="20">
        <f t="shared" si="115"/>
        <v>360.88949377190443</v>
      </c>
      <c r="BH138" s="59">
        <f t="shared" si="116"/>
        <v>649.04268139517012</v>
      </c>
      <c r="BI138" s="59">
        <f ca="1">AVERAGE(OFFSET($BH$3,0,0,'Données projet'!$E$11+1,1))-AVERAGE(OFFSET($H$3,0,0,'Données projet'!$E$11+1,1))</f>
        <v>332.93090933713466</v>
      </c>
      <c r="BJ138" s="59">
        <f t="shared" si="146"/>
        <v>251.83579649532973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22.956554087542287</v>
      </c>
      <c r="BQ138" s="21">
        <f>EXP(-LN(2)/25)*BQ137+(1-EXP(-LN(2)/25))/(LN(2)/25)*Calculateur!BL138*Calculateur!BN138*VLOOKUP('Données projet'!$B$11,Paramètres!$A$1:$I$89,3,0)*0.475*44/12</f>
        <v>0.37841657005147877</v>
      </c>
      <c r="BR138" s="21">
        <f>EXP(-LN(2)/2)*BR137+(1-EXP(-LN(2)/2))/(LN(2)/2)*BL138*BO138*VLOOKUP('Données projet'!$B$11,Paramètres!$A$1:$I$89,3,0)*0.475*44/12</f>
        <v>4.2248374765079751E-19</v>
      </c>
      <c r="BS138" s="22">
        <f t="shared" si="117"/>
        <v>23.334970657593765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8.561000000000007</v>
      </c>
      <c r="BY138" s="12">
        <f>IF('Données projet'!$A$114&gt;35,BY137+BX138-CG137,IF(A138&lt;'Données projet'!$A$114,$BV$205^A138,IF(A138='Données projet'!$A$114,'Données projet'!$B$114,BY137+BX138-CG137)))</f>
        <v>437.89100000000013</v>
      </c>
      <c r="BZ138" s="13">
        <f>BY138*VLOOKUP('Données projet'!$B$12,Paramètres!$A$1:$I$89,3,0)*VLOOKUP('Données projet'!$B$12,Paramètres!$A$1:$I$89,5,0)</f>
        <v>498.67027080000014</v>
      </c>
      <c r="CA138" s="13">
        <f t="shared" si="147"/>
        <v>111.51673708773737</v>
      </c>
      <c r="CB138" s="20">
        <f t="shared" si="118"/>
        <v>1062.7423720711429</v>
      </c>
      <c r="CC138" s="59">
        <f t="shared" si="119"/>
        <v>1350.8955596944086</v>
      </c>
      <c r="CD138" s="59">
        <f ca="1">AVERAGE(OFFSET($CC$3,0,0,'Données projet'!$E$12+1,1))-AVERAGE(OFFSET($H$3,0,0,'Données projet'!$E$12+1,1))</f>
        <v>797.57191672067393</v>
      </c>
      <c r="CE138" s="59">
        <f t="shared" si="148"/>
        <v>238.59056544987126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143.81182351448842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143.81182351448842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>
        <f>CT138*VLOOKUP('Données projet'!$B$13,Paramètres!$A$1:$I$89,3,0)*VLOOKUP('Données projet'!$B$13,Paramètres!$A$1:$I$89,5,0)</f>
        <v>0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188.98184340090461</v>
      </c>
      <c r="CZ138" s="59">
        <f t="shared" si="150"/>
        <v>450.74604661797798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7.4260993312123516</v>
      </c>
      <c r="DH138" s="21">
        <f>EXP(-LN(2)/2)*DH137+(1-EXP(-LN(2)/2))/(LN(2)/2)*DB138*DE138*VLOOKUP('Données projet'!$B$13,Paramètres!$A$1:$I$89,3,0)*0.475*44/12</f>
        <v>7.0594506551906064E-18</v>
      </c>
      <c r="DI138" s="22">
        <f t="shared" si="123"/>
        <v>7.4260993312123516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369.00000000000011</v>
      </c>
      <c r="DP138" s="17">
        <f>DO138*VLOOKUP('Données projet'!$B$14,Paramètres!$A$1:$I$89,3,0)*VLOOKUP('Données projet'!$B$14,Paramètres!$A$1:$I$89,5,0)</f>
        <v>333.87120000000004</v>
      </c>
      <c r="DQ138" s="13">
        <f t="shared" si="151"/>
        <v>78.232360111376309</v>
      </c>
      <c r="DR138" s="20">
        <f t="shared" si="124"/>
        <v>717.74703386064709</v>
      </c>
      <c r="DS138" s="59">
        <f t="shared" si="125"/>
        <v>1005.9002214839127</v>
      </c>
      <c r="DT138" s="59">
        <f ca="1">AVERAGE(OFFSET($DS$3,0,0,'Données projet'!$E$14+1,1))-AVERAGE(OFFSET($H$3,0,0,'Données projet'!$E$14+1,1))</f>
        <v>442.34161202733173</v>
      </c>
      <c r="DU138" s="59">
        <f t="shared" si="152"/>
        <v>622.90413492324399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1.3213986703989151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1.3213986703989151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8.561000000000007</v>
      </c>
      <c r="EJ138" s="12">
        <f>IF('Données projet'!$A$192&gt;35,EJ137+EI138-ER137,IF(A138&lt;'Données projet'!$A$192,$EG$205^A138,IF(A138='Données projet'!$A$192,'Données projet'!$B$192,EJ137+EI138-ER137)))</f>
        <v>437.89100000000013</v>
      </c>
      <c r="EK138" s="17">
        <f>EJ138*VLOOKUP('Données projet'!$B$15,Paramètres!$A$1:$I$89,3,0)*VLOOKUP('Données projet'!$B$15,Paramètres!$A$1:$I$89,5,0)</f>
        <v>478.17697200000015</v>
      </c>
      <c r="EL138" s="13">
        <f t="shared" si="153"/>
        <v>107.45746788759651</v>
      </c>
      <c r="EM138" s="20">
        <f t="shared" si="127"/>
        <v>1019.9799828042309</v>
      </c>
      <c r="EN138" s="59">
        <f t="shared" si="128"/>
        <v>1308.1331704274965</v>
      </c>
      <c r="EO138" s="59">
        <f ca="1">AVERAGE(OFFSET($EN$3,0,0,'Données projet'!$E$15+1,1))-AVERAGE(OFFSET($H$3,0,0,'Données projet'!$E$15+1,1))</f>
        <v>767.9449852393318</v>
      </c>
      <c r="EP138" s="59">
        <f t="shared" si="154"/>
        <v>230.95605490295961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137.90174857553683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137.90174857553683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68.58723298816335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3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</v>
      </c>
      <c r="H139" s="66">
        <f t="shared" si="110"/>
        <v>212.66666666666666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188.98184340090461</v>
      </c>
      <c r="T139" s="59">
        <f t="shared" si="142"/>
        <v>450.74604661797798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10.163999999999998</v>
      </c>
      <c r="AI139" s="13">
        <f>IF('Données projet'!$A$62&gt;35,AI138+AH139-AQ138,IF(A139&lt;'Données projet'!$A$62,$AF$205^A139,IF(A139='Données projet'!$A$62,'Données projet'!$B$62,AI138+AH139-AQ138)))</f>
        <v>598.39399999999978</v>
      </c>
      <c r="AJ139" s="13">
        <f>AI139*VLOOKUP('Données projet'!$B$10,Paramètres!$A$1:$I$89,3,0)*VLOOKUP('Données projet'!$B$10,Paramètres!$A$1:$I$89,5,0)</f>
        <v>541.42689119999977</v>
      </c>
      <c r="AK139" s="13">
        <f t="shared" si="143"/>
        <v>119.92448213920237</v>
      </c>
      <c r="AL139" s="20">
        <f t="shared" si="112"/>
        <v>1151.8536418991105</v>
      </c>
      <c r="AM139" s="59">
        <f t="shared" si="113"/>
        <v>1440.0966934693749</v>
      </c>
      <c r="AN139" s="59">
        <f ca="1">AVERAGE(OFFSET($AM$3,0,0,'Données projet'!$E$10+1,1))-AVERAGE(OFFSET($H$3,0,0,'Données projet'!$E$10+1,1))</f>
        <v>725.60981534362895</v>
      </c>
      <c r="AO139" s="59">
        <f t="shared" si="144"/>
        <v>265.16078167969272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132.60268674870397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132.60268674870397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1.2800000000000011</v>
      </c>
      <c r="BD139" s="12">
        <f>IF('Données projet'!$A$88&gt;35,BD138+BC139-BL138,IF(A139&lt;'Données projet'!$A$88,$BA$205^A139,IF(A139='Données projet'!$A$88,'Données projet'!$B$88,BD138+BC139-BL138)))</f>
        <v>144.68</v>
      </c>
      <c r="BE139" s="13">
        <f>BD139*VLOOKUP('Données projet'!$B$11,Paramètres!$A$1:$I$89,3,0)*VLOOKUP('Données projet'!$B$11,Paramètres!$A$1:$I$89,5,0)</f>
        <v>166.67135999999999</v>
      </c>
      <c r="BF139" s="13">
        <f t="shared" si="145"/>
        <v>42.34366314502514</v>
      </c>
      <c r="BG139" s="20">
        <f t="shared" si="115"/>
        <v>364.0344986442521</v>
      </c>
      <c r="BH139" s="59">
        <f t="shared" si="116"/>
        <v>652.27755021451662</v>
      </c>
      <c r="BI139" s="59">
        <f ca="1">AVERAGE(OFFSET($BH$3,0,0,'Données projet'!$E$11+1,1))-AVERAGE(OFFSET($H$3,0,0,'Données projet'!$E$11+1,1))</f>
        <v>332.93090933713466</v>
      </c>
      <c r="BJ139" s="59">
        <f t="shared" si="146"/>
        <v>251.83579649532973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22.506390064000982</v>
      </c>
      <c r="BQ139" s="21">
        <f>EXP(-LN(2)/25)*BQ138+(1-EXP(-LN(2)/25))/(LN(2)/25)*Calculateur!BL139*Calculateur!BN139*VLOOKUP('Données projet'!$B$11,Paramètres!$A$1:$I$89,3,0)*0.475*44/12</f>
        <v>0.36806874904335857</v>
      </c>
      <c r="BR139" s="21">
        <f>EXP(-LN(2)/2)*BR138+(1-EXP(-LN(2)/2))/(LN(2)/2)*BL139*BO139*VLOOKUP('Données projet'!$B$11,Paramètres!$A$1:$I$89,3,0)*0.475*44/12</f>
        <v>2.9874112290498506E-19</v>
      </c>
      <c r="BS139" s="22">
        <f t="shared" si="117"/>
        <v>22.874458813044342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8.561000000000007</v>
      </c>
      <c r="BY139" s="12">
        <f>IF('Données projet'!$A$114&gt;35,BY138+BX139-CG138,IF(A139&lt;'Données projet'!$A$114,$BV$205^A139,IF(A139='Données projet'!$A$114,'Données projet'!$B$114,BY138+BX139-CG138)))</f>
        <v>446.45200000000011</v>
      </c>
      <c r="BZ139" s="13">
        <f>BY139*VLOOKUP('Données projet'!$B$12,Paramètres!$A$1:$I$89,3,0)*VLOOKUP('Données projet'!$B$12,Paramètres!$A$1:$I$89,5,0)</f>
        <v>508.41953760000013</v>
      </c>
      <c r="CA139" s="13">
        <f t="shared" si="147"/>
        <v>113.44099535894823</v>
      </c>
      <c r="CB139" s="20">
        <f t="shared" si="118"/>
        <v>1083.0737615701685</v>
      </c>
      <c r="CC139" s="59">
        <f t="shared" si="119"/>
        <v>1371.3168131404329</v>
      </c>
      <c r="CD139" s="59">
        <f ca="1">AVERAGE(OFFSET($CC$3,0,0,'Données projet'!$E$12+1,1))-AVERAGE(OFFSET($H$3,0,0,'Données projet'!$E$12+1,1))</f>
        <v>797.57191672067393</v>
      </c>
      <c r="CE139" s="59">
        <f t="shared" si="148"/>
        <v>238.59056544987126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140.99176137192035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140.99176137192035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>
        <f>CT139*VLOOKUP('Données projet'!$B$13,Paramètres!$A$1:$I$89,3,0)*VLOOKUP('Données projet'!$B$13,Paramètres!$A$1:$I$89,5,0)</f>
        <v>0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188.98184340090461</v>
      </c>
      <c r="CZ139" s="59">
        <f t="shared" si="150"/>
        <v>450.74604661797798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7.2230322544787589</v>
      </c>
      <c r="DH139" s="21">
        <f>EXP(-LN(2)/2)*DH138+(1-EXP(-LN(2)/2))/(LN(2)/2)*DB139*DE139*VLOOKUP('Données projet'!$B$13,Paramètres!$A$1:$I$89,3,0)*0.475*44/12</f>
        <v>4.9917854297370937E-18</v>
      </c>
      <c r="DI139" s="22">
        <f t="shared" si="123"/>
        <v>7.2230322544787589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369.00000000000011</v>
      </c>
      <c r="DP139" s="17">
        <f>DO139*VLOOKUP('Données projet'!$B$14,Paramètres!$A$1:$I$89,3,0)*VLOOKUP('Données projet'!$B$14,Paramètres!$A$1:$I$89,5,0)</f>
        <v>333.87120000000004</v>
      </c>
      <c r="DQ139" s="13">
        <f t="shared" si="151"/>
        <v>78.232360111376309</v>
      </c>
      <c r="DR139" s="20">
        <f t="shared" si="124"/>
        <v>717.74703386064709</v>
      </c>
      <c r="DS139" s="59">
        <f t="shared" si="125"/>
        <v>1005.9900854309116</v>
      </c>
      <c r="DT139" s="59">
        <f ca="1">AVERAGE(OFFSET($DS$3,0,0,'Données projet'!$E$14+1,1))-AVERAGE(OFFSET($H$3,0,0,'Données projet'!$E$14+1,1))</f>
        <v>442.34161202733173</v>
      </c>
      <c r="DU139" s="59">
        <f t="shared" si="152"/>
        <v>622.90413492324399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1.295486848445998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1.295486848445998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8.561000000000007</v>
      </c>
      <c r="EJ139" s="12">
        <f>IF('Données projet'!$A$192&gt;35,EJ138+EI139-ER138,IF(A139&lt;'Données projet'!$A$192,$EG$205^A139,IF(A139='Données projet'!$A$192,'Données projet'!$B$192,EJ138+EI139-ER138)))</f>
        <v>446.45200000000011</v>
      </c>
      <c r="EK139" s="17">
        <f>EJ139*VLOOKUP('Données projet'!$B$15,Paramètres!$A$1:$I$89,3,0)*VLOOKUP('Données projet'!$B$15,Paramètres!$A$1:$I$89,5,0)</f>
        <v>487.52558400000009</v>
      </c>
      <c r="EL139" s="13">
        <f t="shared" si="153"/>
        <v>109.31168212293043</v>
      </c>
      <c r="EM139" s="20">
        <f t="shared" si="127"/>
        <v>1039.4915718307705</v>
      </c>
      <c r="EN139" s="59">
        <f t="shared" si="128"/>
        <v>1327.7346234010349</v>
      </c>
      <c r="EO139" s="59">
        <f ca="1">AVERAGE(OFFSET($EN$3,0,0,'Données projet'!$E$15+1,1))-AVERAGE(OFFSET($H$3,0,0,'Données projet'!$E$15+1,1))</f>
        <v>767.9449852393318</v>
      </c>
      <c r="EP139" s="59">
        <f t="shared" si="154"/>
        <v>230.95605490295961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135.19757939773183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135.19757939773183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68.611741337344853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3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</v>
      </c>
      <c r="H140" s="66">
        <f t="shared" si="110"/>
        <v>212.66666666666666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188.98184340090461</v>
      </c>
      <c r="T140" s="59">
        <f t="shared" si="142"/>
        <v>450.74604661797798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10.163999999999998</v>
      </c>
      <c r="AI140" s="13">
        <f>IF('Données projet'!$A$62&gt;35,AI139+AH140-AQ139,IF(A140&lt;'Données projet'!$A$62,$AF$205^A140,IF(A140='Données projet'!$A$62,'Données projet'!$B$62,AI139+AH140-AQ139)))</f>
        <v>608.55799999999977</v>
      </c>
      <c r="AJ140" s="13">
        <f>AI140*VLOOKUP('Données projet'!$B$10,Paramètres!$A$1:$I$89,3,0)*VLOOKUP('Données projet'!$B$10,Paramètres!$A$1:$I$89,5,0)</f>
        <v>550.62327839999978</v>
      </c>
      <c r="AK140" s="13">
        <f t="shared" si="143"/>
        <v>121.72258338267243</v>
      </c>
      <c r="AL140" s="20">
        <f t="shared" si="112"/>
        <v>1171.0023759381538</v>
      </c>
      <c r="AM140" s="59">
        <f t="shared" si="113"/>
        <v>1459.3337325168422</v>
      </c>
      <c r="AN140" s="59">
        <f ca="1">AVERAGE(OFFSET($AM$3,0,0,'Données projet'!$E$10+1,1))-AVERAGE(OFFSET($H$3,0,0,'Données projet'!$E$10+1,1))</f>
        <v>725.60981534362895</v>
      </c>
      <c r="AO140" s="59">
        <f t="shared" si="144"/>
        <v>265.16078167969272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130.00242894121459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130.00242894121459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1.2800000000000011</v>
      </c>
      <c r="BD140" s="12">
        <f>IF('Données projet'!$A$88&gt;35,BD139+BC140-BL139,IF(A140&lt;'Données projet'!$A$88,$BA$205^A140,IF(A140='Données projet'!$A$88,'Données projet'!$B$88,BD139+BC140-BL139)))</f>
        <v>145.96</v>
      </c>
      <c r="BE140" s="13">
        <f>BD140*VLOOKUP('Données projet'!$B$11,Paramètres!$A$1:$I$89,3,0)*VLOOKUP('Données projet'!$B$11,Paramètres!$A$1:$I$89,5,0)</f>
        <v>168.14591999999999</v>
      </c>
      <c r="BF140" s="13">
        <f t="shared" si="145"/>
        <v>42.67450668523864</v>
      </c>
      <c r="BG140" s="20">
        <f t="shared" si="115"/>
        <v>367.17890981012397</v>
      </c>
      <c r="BH140" s="59">
        <f t="shared" si="116"/>
        <v>655.5102663888124</v>
      </c>
      <c r="BI140" s="59">
        <f ca="1">AVERAGE(OFFSET($BH$3,0,0,'Données projet'!$E$11+1,1))-AVERAGE(OFFSET($H$3,0,0,'Données projet'!$E$11+1,1))</f>
        <v>332.93090933713466</v>
      </c>
      <c r="BJ140" s="59">
        <f t="shared" si="146"/>
        <v>251.83579649532973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22.065053482388379</v>
      </c>
      <c r="BQ140" s="21">
        <f>EXP(-LN(2)/25)*BQ139+(1-EXP(-LN(2)/25))/(LN(2)/25)*Calculateur!BL140*Calculateur!BN140*VLOOKUP('Données projet'!$B$11,Paramètres!$A$1:$I$89,3,0)*0.475*44/12</f>
        <v>0.35800388974487363</v>
      </c>
      <c r="BR140" s="21">
        <f>EXP(-LN(2)/2)*BR139+(1-EXP(-LN(2)/2))/(LN(2)/2)*BL140*BO140*VLOOKUP('Données projet'!$B$11,Paramètres!$A$1:$I$89,3,0)*0.475*44/12</f>
        <v>2.1124187382539878E-19</v>
      </c>
      <c r="BS140" s="22">
        <f t="shared" si="117"/>
        <v>22.423057372133254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8.561000000000007</v>
      </c>
      <c r="BY140" s="12">
        <f>IF('Données projet'!$A$114&gt;35,BY139+BX140-CG139,IF(A140&lt;'Données projet'!$A$114,$BV$205^A140,IF(A140='Données projet'!$A$114,'Données projet'!$B$114,BY139+BX140-CG139)))</f>
        <v>455.01300000000015</v>
      </c>
      <c r="BZ140" s="13">
        <f>BY140*VLOOKUP('Données projet'!$B$12,Paramètres!$A$1:$I$89,3,0)*VLOOKUP('Données projet'!$B$12,Paramètres!$A$1:$I$89,5,0)</f>
        <v>518.16880440000023</v>
      </c>
      <c r="CA140" s="13">
        <f t="shared" si="147"/>
        <v>115.3609631133189</v>
      </c>
      <c r="CB140" s="20">
        <f t="shared" si="118"/>
        <v>1103.3976784190309</v>
      </c>
      <c r="CC140" s="59">
        <f t="shared" si="119"/>
        <v>1391.7290349977193</v>
      </c>
      <c r="CD140" s="59">
        <f ca="1">AVERAGE(OFFSET($CC$3,0,0,'Données projet'!$E$12+1,1))-AVERAGE(OFFSET($H$3,0,0,'Données projet'!$E$12+1,1))</f>
        <v>797.57191672067393</v>
      </c>
      <c r="CE140" s="59">
        <f t="shared" si="148"/>
        <v>238.59056544987126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138.22699892789998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138.22699892789998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>
        <f>CT140*VLOOKUP('Données projet'!$B$13,Paramètres!$A$1:$I$89,3,0)*VLOOKUP('Données projet'!$B$13,Paramètres!$A$1:$I$89,5,0)</f>
        <v>0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188.98184340090461</v>
      </c>
      <c r="CZ140" s="59">
        <f t="shared" si="150"/>
        <v>450.74604661797798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7.0255180576372798</v>
      </c>
      <c r="DH140" s="21">
        <f>EXP(-LN(2)/2)*DH139+(1-EXP(-LN(2)/2))/(LN(2)/2)*DB140*DE140*VLOOKUP('Données projet'!$B$13,Paramètres!$A$1:$I$89,3,0)*0.475*44/12</f>
        <v>3.5297253275953032E-18</v>
      </c>
      <c r="DI140" s="22">
        <f t="shared" si="123"/>
        <v>7.0255180576372798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369.00000000000011</v>
      </c>
      <c r="DP140" s="17">
        <f>DO140*VLOOKUP('Données projet'!$B$14,Paramètres!$A$1:$I$89,3,0)*VLOOKUP('Données projet'!$B$14,Paramètres!$A$1:$I$89,5,0)</f>
        <v>333.87120000000004</v>
      </c>
      <c r="DQ140" s="13">
        <f t="shared" si="151"/>
        <v>78.232360111376309</v>
      </c>
      <c r="DR140" s="20">
        <f t="shared" si="124"/>
        <v>717.74703386064709</v>
      </c>
      <c r="DS140" s="59">
        <f t="shared" si="125"/>
        <v>1006.0783904393356</v>
      </c>
      <c r="DT140" s="59">
        <f ca="1">AVERAGE(OFFSET($DS$3,0,0,'Données projet'!$E$14+1,1))-AVERAGE(OFFSET($H$3,0,0,'Données projet'!$E$14+1,1))</f>
        <v>442.34161202733173</v>
      </c>
      <c r="DU140" s="59">
        <f t="shared" si="152"/>
        <v>622.90413492324399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1.2700831415169269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1.2700831415169269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8.561000000000007</v>
      </c>
      <c r="EJ140" s="12">
        <f>IF('Données projet'!$A$192&gt;35,EJ139+EI140-ER139,IF(A140&lt;'Données projet'!$A$192,$EG$205^A140,IF(A140='Données projet'!$A$192,'Données projet'!$B$192,EJ139+EI140-ER139)))</f>
        <v>455.01300000000015</v>
      </c>
      <c r="EK140" s="17">
        <f>EJ140*VLOOKUP('Données projet'!$B$15,Paramètres!$A$1:$I$89,3,0)*VLOOKUP('Données projet'!$B$15,Paramètres!$A$1:$I$89,5,0)</f>
        <v>496.87419600000015</v>
      </c>
      <c r="EL140" s="13">
        <f t="shared" si="153"/>
        <v>111.16176201854444</v>
      </c>
      <c r="EM140" s="20">
        <f t="shared" si="127"/>
        <v>1058.9959602156316</v>
      </c>
      <c r="EN140" s="59">
        <f t="shared" si="128"/>
        <v>1347.32731679432</v>
      </c>
      <c r="EO140" s="59">
        <f ca="1">AVERAGE(OFFSET($EN$3,0,0,'Données projet'!$E$15+1,1))-AVERAGE(OFFSET($H$3,0,0,'Données projet'!$E$15+1,1))</f>
        <v>767.9449852393318</v>
      </c>
      <c r="EP140" s="59">
        <f t="shared" si="154"/>
        <v>230.95605490295961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132.54643732812326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132.54643732812326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68.635824521460506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3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</v>
      </c>
      <c r="H141" s="66">
        <f t="shared" si="110"/>
        <v>212.66666666666666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188.98184340090461</v>
      </c>
      <c r="T141" s="59">
        <f t="shared" si="142"/>
        <v>450.74604661797798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10.163999999999998</v>
      </c>
      <c r="AI141" s="13">
        <f>IF('Données projet'!$A$62&gt;35,AI140+AH141-AQ140,IF(A141&lt;'Données projet'!$A$62,$AF$205^A141,IF(A141='Données projet'!$A$62,'Données projet'!$B$62,AI140+AH141-AQ140)))</f>
        <v>618.72199999999975</v>
      </c>
      <c r="AJ141" s="13">
        <f>AI141*VLOOKUP('Données projet'!$B$10,Paramètres!$A$1:$I$89,3,0)*VLOOKUP('Données projet'!$B$10,Paramètres!$A$1:$I$89,5,0)</f>
        <v>559.81966559999978</v>
      </c>
      <c r="AK141" s="13">
        <f t="shared" si="143"/>
        <v>123.5171921852493</v>
      </c>
      <c r="AL141" s="20">
        <f t="shared" si="112"/>
        <v>1190.1450273093087</v>
      </c>
      <c r="AM141" s="59">
        <f t="shared" si="113"/>
        <v>1478.5631570019457</v>
      </c>
      <c r="AN141" s="59">
        <f ca="1">AVERAGE(OFFSET($AM$3,0,0,'Données projet'!$E$10+1,1))-AVERAGE(OFFSET($H$3,0,0,'Données projet'!$E$10+1,1))</f>
        <v>725.60981534362895</v>
      </c>
      <c r="AO141" s="59">
        <f t="shared" si="144"/>
        <v>265.16078167969272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127.45316060332942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127.45316060332942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1.2800000000000011</v>
      </c>
      <c r="BD141" s="12">
        <f>IF('Données projet'!$A$88&gt;35,BD140+BC141-BL140,IF(A141&lt;'Données projet'!$A$88,$BA$205^A141,IF(A141='Données projet'!$A$88,'Données projet'!$B$88,BD140+BC141-BL140)))</f>
        <v>147.24</v>
      </c>
      <c r="BE141" s="13">
        <f>BD141*VLOOKUP('Données projet'!$B$11,Paramètres!$A$1:$I$89,3,0)*VLOOKUP('Données projet'!$B$11,Paramètres!$A$1:$I$89,5,0)</f>
        <v>169.62048000000001</v>
      </c>
      <c r="BF141" s="13">
        <f t="shared" si="145"/>
        <v>43.005012677091443</v>
      </c>
      <c r="BG141" s="20">
        <f t="shared" si="115"/>
        <v>370.32273307926761</v>
      </c>
      <c r="BH141" s="59">
        <f t="shared" si="116"/>
        <v>658.74086277190452</v>
      </c>
      <c r="BI141" s="59">
        <f ca="1">AVERAGE(OFFSET($BH$3,0,0,'Données projet'!$E$11+1,1))-AVERAGE(OFFSET($H$3,0,0,'Données projet'!$E$11+1,1))</f>
        <v>332.93090933713466</v>
      </c>
      <c r="BJ141" s="59">
        <f t="shared" si="146"/>
        <v>251.83579649532973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21.632371241952466</v>
      </c>
      <c r="BQ141" s="21">
        <f>EXP(-LN(2)/25)*BQ140+(1-EXP(-LN(2)/25))/(LN(2)/25)*Calculateur!BL141*Calculateur!BN141*VLOOKUP('Données projet'!$B$11,Paramètres!$A$1:$I$89,3,0)*0.475*44/12</f>
        <v>0.34821425455319371</v>
      </c>
      <c r="BR141" s="21">
        <f>EXP(-LN(2)/2)*BR140+(1-EXP(-LN(2)/2))/(LN(2)/2)*BL141*BO141*VLOOKUP('Données projet'!$B$11,Paramètres!$A$1:$I$89,3,0)*0.475*44/12</f>
        <v>1.4937056145249255E-19</v>
      </c>
      <c r="BS141" s="22">
        <f t="shared" si="117"/>
        <v>21.980585496505661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8.561000000000007</v>
      </c>
      <c r="BY141" s="12">
        <f>IF('Données projet'!$A$114&gt;35,BY140+BX141-CG140,IF(A141&lt;'Données projet'!$A$114,$BV$205^A141,IF(A141='Données projet'!$A$114,'Données projet'!$B$114,BY140+BX141-CG140)))</f>
        <v>463.57400000000018</v>
      </c>
      <c r="BZ141" s="13">
        <f>BY141*VLOOKUP('Données projet'!$B$12,Paramètres!$A$1:$I$89,3,0)*VLOOKUP('Données projet'!$B$12,Paramètres!$A$1:$I$89,5,0)</f>
        <v>527.91807120000021</v>
      </c>
      <c r="CA141" s="13">
        <f t="shared" si="147"/>
        <v>117.27673038480725</v>
      </c>
      <c r="CB141" s="20">
        <f t="shared" si="118"/>
        <v>1123.714279426873</v>
      </c>
      <c r="CC141" s="59">
        <f t="shared" si="119"/>
        <v>1412.1324091195099</v>
      </c>
      <c r="CD141" s="59">
        <f ca="1">AVERAGE(OFFSET($CC$3,0,0,'Données projet'!$E$12+1,1))-AVERAGE(OFFSET($H$3,0,0,'Données projet'!$E$12+1,1))</f>
        <v>797.57191672067393</v>
      </c>
      <c r="CE141" s="59">
        <f t="shared" si="148"/>
        <v>238.59056544987126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135.51645178906827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135.51645178906827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>
        <f>CT141*VLOOKUP('Données projet'!$B$13,Paramètres!$A$1:$I$89,3,0)*VLOOKUP('Données projet'!$B$13,Paramètres!$A$1:$I$89,5,0)</f>
        <v>0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188.98184340090461</v>
      </c>
      <c r="CZ141" s="59">
        <f t="shared" si="150"/>
        <v>450.74604661797798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6.8334048968952503</v>
      </c>
      <c r="DH141" s="21">
        <f>EXP(-LN(2)/2)*DH140+(1-EXP(-LN(2)/2))/(LN(2)/2)*DB141*DE141*VLOOKUP('Données projet'!$B$13,Paramètres!$A$1:$I$89,3,0)*0.475*44/12</f>
        <v>2.4958927148685468E-18</v>
      </c>
      <c r="DI141" s="22">
        <f t="shared" si="123"/>
        <v>6.8334048968952503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369.00000000000011</v>
      </c>
      <c r="DP141" s="17">
        <f>DO141*VLOOKUP('Données projet'!$B$14,Paramètres!$A$1:$I$89,3,0)*VLOOKUP('Données projet'!$B$14,Paramètres!$A$1:$I$89,5,0)</f>
        <v>333.87120000000004</v>
      </c>
      <c r="DQ141" s="13">
        <f t="shared" si="151"/>
        <v>78.232360111376309</v>
      </c>
      <c r="DR141" s="20">
        <f t="shared" si="124"/>
        <v>717.74703386064709</v>
      </c>
      <c r="DS141" s="59">
        <f t="shared" si="125"/>
        <v>1006.1651635532839</v>
      </c>
      <c r="DT141" s="59">
        <f ca="1">AVERAGE(OFFSET($DS$3,0,0,'Données projet'!$E$14+1,1))-AVERAGE(OFFSET($H$3,0,0,'Données projet'!$E$14+1,1))</f>
        <v>442.34161202733173</v>
      </c>
      <c r="DU141" s="59">
        <f t="shared" si="152"/>
        <v>622.90413492324399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1.2451775857860037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1.2451775857860037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8.561000000000007</v>
      </c>
      <c r="EJ141" s="12">
        <f>IF('Données projet'!$A$192&gt;35,EJ140+EI141-ER140,IF(A141&lt;'Données projet'!$A$192,$EG$205^A141,IF(A141='Données projet'!$A$192,'Données projet'!$B$192,EJ140+EI141-ER140)))</f>
        <v>463.57400000000018</v>
      </c>
      <c r="EK141" s="17">
        <f>EJ141*VLOOKUP('Données projet'!$B$15,Paramètres!$A$1:$I$89,3,0)*VLOOKUP('Données projet'!$B$15,Paramètres!$A$1:$I$89,5,0)</f>
        <v>506.22280800000021</v>
      </c>
      <c r="EL141" s="13">
        <f t="shared" si="153"/>
        <v>113.00779433111202</v>
      </c>
      <c r="EM141" s="20">
        <f t="shared" si="127"/>
        <v>1078.4932990600203</v>
      </c>
      <c r="EN141" s="59">
        <f t="shared" si="128"/>
        <v>1366.9114287526572</v>
      </c>
      <c r="EO141" s="59">
        <f ca="1">AVERAGE(OFFSET($EN$3,0,0,'Données projet'!$E$15+1,1))-AVERAGE(OFFSET($H$3,0,0,'Données projet'!$E$15+1,1))</f>
        <v>767.9449852393318</v>
      </c>
      <c r="EP141" s="59">
        <f t="shared" si="154"/>
        <v>230.95605490295961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129.94728253746271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129.94728253746271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68.659489916173698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3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</v>
      </c>
      <c r="H142" s="66">
        <f t="shared" si="110"/>
        <v>212.66666666666666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188.98184340090461</v>
      </c>
      <c r="T142" s="59">
        <f t="shared" si="142"/>
        <v>450.74604661797798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10.163999999999998</v>
      </c>
      <c r="AI142" s="13">
        <f>IF('Données projet'!$A$62&gt;35,AI141+AH142-AQ141,IF(A142&lt;'Données projet'!$A$62,$AF$205^A142,IF(A142='Données projet'!$A$62,'Données projet'!$B$62,AI141+AH142-AQ141)))</f>
        <v>628.88599999999974</v>
      </c>
      <c r="AJ142" s="13">
        <f>AI142*VLOOKUP('Données projet'!$B$10,Paramètres!$A$1:$I$89,3,0)*VLOOKUP('Données projet'!$B$10,Paramètres!$A$1:$I$89,5,0)</f>
        <v>569.01605279999967</v>
      </c>
      <c r="AK142" s="13">
        <f t="shared" si="143"/>
        <v>125.30837254136628</v>
      </c>
      <c r="AL142" s="20">
        <f t="shared" si="112"/>
        <v>1209.2817074695456</v>
      </c>
      <c r="AM142" s="59">
        <f t="shared" si="113"/>
        <v>1497.7851049565995</v>
      </c>
      <c r="AN142" s="59">
        <f ca="1">AVERAGE(OFFSET($AM$3,0,0,'Données projet'!$E$10+1,1))-AVERAGE(OFFSET($H$3,0,0,'Données projet'!$E$10+1,1))</f>
        <v>725.60981534362895</v>
      </c>
      <c r="AO142" s="59">
        <f t="shared" si="144"/>
        <v>265.16078167969272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124.95388186265004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124.95388186265004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1.2800000000000011</v>
      </c>
      <c r="BD142" s="12">
        <f>IF('Données projet'!$A$88&gt;35,BD141+BC142-BL141,IF(A142&lt;'Données projet'!$A$88,$BA$205^A142,IF(A142='Données projet'!$A$88,'Données projet'!$B$88,BD141+BC142-BL141)))</f>
        <v>148.52000000000001</v>
      </c>
      <c r="BE142" s="13">
        <f>BD142*VLOOKUP('Données projet'!$B$11,Paramètres!$A$1:$I$89,3,0)*VLOOKUP('Données projet'!$B$11,Paramètres!$A$1:$I$89,5,0)</f>
        <v>171.09504000000001</v>
      </c>
      <c r="BF142" s="13">
        <f t="shared" si="145"/>
        <v>43.335184394980026</v>
      </c>
      <c r="BG142" s="20">
        <f t="shared" si="115"/>
        <v>373.46597415459019</v>
      </c>
      <c r="BH142" s="59">
        <f t="shared" si="116"/>
        <v>661.9693716416441</v>
      </c>
      <c r="BI142" s="59">
        <f ca="1">AVERAGE(OFFSET($BH$3,0,0,'Données projet'!$E$11+1,1))-AVERAGE(OFFSET($H$3,0,0,'Données projet'!$E$11+1,1))</f>
        <v>332.93090933713466</v>
      </c>
      <c r="BJ142" s="59">
        <f t="shared" si="146"/>
        <v>251.83579649532973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21.208173636341392</v>
      </c>
      <c r="BQ142" s="21">
        <f>EXP(-LN(2)/25)*BQ141+(1-EXP(-LN(2)/25))/(LN(2)/25)*Calculateur!BL142*Calculateur!BN142*VLOOKUP('Données projet'!$B$11,Paramètres!$A$1:$I$89,3,0)*0.475*44/12</f>
        <v>0.33869231745064482</v>
      </c>
      <c r="BR142" s="21">
        <f>EXP(-LN(2)/2)*BR141+(1-EXP(-LN(2)/2))/(LN(2)/2)*BL142*BO142*VLOOKUP('Données projet'!$B$11,Paramètres!$A$1:$I$89,3,0)*0.475*44/12</f>
        <v>1.0562093691269941E-19</v>
      </c>
      <c r="BS142" s="22">
        <f t="shared" si="117"/>
        <v>21.546865953792036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8.561000000000007</v>
      </c>
      <c r="BY142" s="12">
        <f>IF('Données projet'!$A$114&gt;35,BY141+BX142-CG141,IF(A142&lt;'Données projet'!$A$114,$BV$205^A142,IF(A142='Données projet'!$A$114,'Données projet'!$B$114,BY141+BX142-CG141)))</f>
        <v>472.13500000000022</v>
      </c>
      <c r="BZ142" s="13">
        <f>BY142*VLOOKUP('Données projet'!$B$12,Paramètres!$A$1:$I$89,3,0)*VLOOKUP('Données projet'!$B$12,Paramètres!$A$1:$I$89,5,0)</f>
        <v>537.66733800000031</v>
      </c>
      <c r="CA142" s="13">
        <f t="shared" si="147"/>
        <v>119.18838369163143</v>
      </c>
      <c r="CB142" s="20">
        <f t="shared" si="118"/>
        <v>1144.0237152795919</v>
      </c>
      <c r="CC142" s="59">
        <f t="shared" si="119"/>
        <v>1432.5271127666458</v>
      </c>
      <c r="CD142" s="59">
        <f ca="1">AVERAGE(OFFSET($CC$3,0,0,'Données projet'!$E$12+1,1))-AVERAGE(OFFSET($H$3,0,0,'Données projet'!$E$12+1,1))</f>
        <v>797.57191672067393</v>
      </c>
      <c r="CE142" s="59">
        <f t="shared" si="148"/>
        <v>238.59056544987126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132.85905682635854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132.85905682635854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>
        <f>CT142*VLOOKUP('Données projet'!$B$13,Paramètres!$A$1:$I$89,3,0)*VLOOKUP('Données projet'!$B$13,Paramètres!$A$1:$I$89,5,0)</f>
        <v>0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188.98184340090461</v>
      </c>
      <c r="CZ142" s="59">
        <f t="shared" si="150"/>
        <v>450.74604661797798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6.6465450806365043</v>
      </c>
      <c r="DH142" s="21">
        <f>EXP(-LN(2)/2)*DH141+(1-EXP(-LN(2)/2))/(LN(2)/2)*DB142*DE142*VLOOKUP('Données projet'!$B$13,Paramètres!$A$1:$I$89,3,0)*0.475*44/12</f>
        <v>1.7648626637976516E-18</v>
      </c>
      <c r="DI142" s="22">
        <f t="shared" si="123"/>
        <v>6.6465450806365043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369.00000000000011</v>
      </c>
      <c r="DP142" s="17">
        <f>DO142*VLOOKUP('Données projet'!$B$14,Paramètres!$A$1:$I$89,3,0)*VLOOKUP('Données projet'!$B$14,Paramètres!$A$1:$I$89,5,0)</f>
        <v>333.87120000000004</v>
      </c>
      <c r="DQ142" s="13">
        <f t="shared" si="151"/>
        <v>78.232360111376309</v>
      </c>
      <c r="DR142" s="20">
        <f t="shared" si="124"/>
        <v>717.74703386064709</v>
      </c>
      <c r="DS142" s="59">
        <f t="shared" si="125"/>
        <v>1006.250431347701</v>
      </c>
      <c r="DT142" s="59">
        <f ca="1">AVERAGE(OFFSET($DS$3,0,0,'Données projet'!$E$14+1,1))-AVERAGE(OFFSET($H$3,0,0,'Données projet'!$E$14+1,1))</f>
        <v>442.34161202733173</v>
      </c>
      <c r="DU142" s="59">
        <f t="shared" si="152"/>
        <v>622.90413492324399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1.2207604128120748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1.2207604128120748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8.561000000000007</v>
      </c>
      <c r="EJ142" s="12">
        <f>IF('Données projet'!$A$192&gt;35,EJ141+EI142-ER141,IF(A142&lt;'Données projet'!$A$192,$EG$205^A142,IF(A142='Données projet'!$A$192,'Données projet'!$B$192,EJ141+EI142-ER141)))</f>
        <v>472.13500000000022</v>
      </c>
      <c r="EK142" s="17">
        <f>EJ142*VLOOKUP('Données projet'!$B$15,Paramètres!$A$1:$I$89,3,0)*VLOOKUP('Données projet'!$B$15,Paramètres!$A$1:$I$89,5,0)</f>
        <v>515.57142000000022</v>
      </c>
      <c r="EL142" s="13">
        <f t="shared" si="153"/>
        <v>114.84986242954177</v>
      </c>
      <c r="EM142" s="20">
        <f t="shared" si="127"/>
        <v>1097.9837335647856</v>
      </c>
      <c r="EN142" s="59">
        <f t="shared" si="128"/>
        <v>1386.4871310518395</v>
      </c>
      <c r="EO142" s="59">
        <f ca="1">AVERAGE(OFFSET($EN$3,0,0,'Données projet'!$E$15+1,1))-AVERAGE(OFFSET($H$3,0,0,'Données projet'!$E$15+1,1))</f>
        <v>767.9449852393318</v>
      </c>
      <c r="EP142" s="59">
        <f t="shared" si="154"/>
        <v>230.95605490295961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127.39909558691915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127.39909558691915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68.682744769196518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3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</v>
      </c>
      <c r="H143" s="66">
        <f t="shared" si="110"/>
        <v>212.66666666666666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188.98184340090461</v>
      </c>
      <c r="T143" s="59">
        <f t="shared" si="142"/>
        <v>450.74604661797798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639.04999999999995</v>
      </c>
      <c r="AG143" s="12">
        <f>VLOOKUP(A143,'Données projet'!$A$61:$I$81,9,0)</f>
        <v>10.163999999999998</v>
      </c>
      <c r="AH143" s="12">
        <f t="array" ref="AH143">INDEX(AG:AG,MIN(IF(ISNUMBER(AG143:AG339),ROW(AG143:AG339),"")))</f>
        <v>10.163999999999998</v>
      </c>
      <c r="AI143" s="13">
        <f>IF('Données projet'!$A$62&gt;35,AI142+AH143-AQ142,IF(A143&lt;'Données projet'!$A$62,$AF$205^A143,IF(A143='Données projet'!$A$62,'Données projet'!$B$62,AI142+AH143-AQ142)))</f>
        <v>639.04999999999973</v>
      </c>
      <c r="AJ143" s="13">
        <f>AI143*VLOOKUP('Données projet'!$B$10,Paramètres!$A$1:$I$89,3,0)*VLOOKUP('Données projet'!$B$10,Paramètres!$A$1:$I$89,5,0)</f>
        <v>578.21243999999979</v>
      </c>
      <c r="AK143" s="13">
        <f t="shared" si="143"/>
        <v>127.09618625829569</v>
      </c>
      <c r="AL143" s="20">
        <f t="shared" si="112"/>
        <v>1228.4125240665314</v>
      </c>
      <c r="AM143" s="59">
        <f t="shared" si="113"/>
        <v>1516.9997101423994</v>
      </c>
      <c r="AN143" s="59">
        <f ca="1">AVERAGE(OFFSET($AM$3,0,0,'Données projet'!$E$10+1,1))-AVERAGE(OFFSET($H$3,0,0,'Données projet'!$E$10+1,1))</f>
        <v>725.60981534362895</v>
      </c>
      <c r="AO143" s="59">
        <f t="shared" si="144"/>
        <v>265.16078167969272</v>
      </c>
      <c r="AP143" s="15">
        <f>IF(ISNA(VLOOKUP(A143,'Données projet'!$A$61:$I$81,3,0)),0,VLOOKUP(A143,'Données projet'!$A$61:$I$81,3,0))</f>
        <v>13</v>
      </c>
      <c r="AQ143" s="15">
        <f>IF(ISNA(VLOOKUP(A143,'Données projet'!$A$61:$I$81,4,0)),0,VLOOKUP(A143,'Données projet'!$A$61:$I$81,4,0))</f>
        <v>67.930000000000007</v>
      </c>
      <c r="AR143" s="16">
        <f>IF(ISNA(VLOOKUP(A143,'Données projet'!$A$61:$I$81,5,0)),0%,VLOOKUP(A143,'Données projet'!$A$61:$I$81,5,0)*VLOOKUP('Données projet'!$B$10,Paramètres!$A$1:$I$89,7,0))</f>
        <v>0.43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151.7202190292212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151.7202190292212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149.80000000000001</v>
      </c>
      <c r="BB143" s="12">
        <f>VLOOKUP(A143,'Données projet'!$A$87:$I$107,9,0)</f>
        <v>1.2800000000000011</v>
      </c>
      <c r="BC143" s="12">
        <f t="array" ref="BC143">INDEX(BB:BB,MIN(IF(ISNUMBER(BB143:BB339),ROW(BB143:BB339),"")))</f>
        <v>1.2800000000000011</v>
      </c>
      <c r="BD143" s="12">
        <f>IF('Données projet'!$A$88&gt;35,BD142+BC143-BL142,IF(A143&lt;'Données projet'!$A$88,$BA$205^A143,IF(A143='Données projet'!$A$88,'Données projet'!$B$88,BD142+BC143-BL142)))</f>
        <v>149.80000000000001</v>
      </c>
      <c r="BE143" s="13">
        <f>BD143*VLOOKUP('Données projet'!$B$11,Paramètres!$A$1:$I$89,3,0)*VLOOKUP('Données projet'!$B$11,Paramètres!$A$1:$I$89,5,0)</f>
        <v>172.56959999999998</v>
      </c>
      <c r="BF143" s="13">
        <f t="shared" si="145"/>
        <v>43.665025053603905</v>
      </c>
      <c r="BG143" s="20">
        <f t="shared" si="115"/>
        <v>376.60863863502669</v>
      </c>
      <c r="BH143" s="59">
        <f t="shared" si="116"/>
        <v>665.19582471089461</v>
      </c>
      <c r="BI143" s="59">
        <f ca="1">AVERAGE(OFFSET($BH$3,0,0,'Données projet'!$E$11+1,1))-AVERAGE(OFFSET($H$3,0,0,'Données projet'!$E$11+1,1))</f>
        <v>332.93090933713466</v>
      </c>
      <c r="BJ143" s="59">
        <f t="shared" si="146"/>
        <v>251.83579649532973</v>
      </c>
      <c r="BK143" s="15">
        <f>IF(ISNA(VLOOKUP(A143,'Données projet'!$A$87:$I$107,3,0)),0,VLOOKUP(A143,'Données projet'!$A$87:$I$107,3,0))</f>
        <v>14</v>
      </c>
      <c r="BL143" s="15">
        <f>IF(ISNA(VLOOKUP(A143,'Données projet'!$A$87:$I$107,4,0)),0,VLOOKUP(A143,'Données projet'!$A$87:$I$107,4,0))</f>
        <v>11.8</v>
      </c>
      <c r="BM143" s="16">
        <f>IF(ISNA(VLOOKUP(A143,'Données projet'!$A$87:$I$107,5,0)),0%,VLOOKUP(A143,'Données projet'!$A$87:$I$107,5,0)*VLOOKUP('Données projet'!$B$11,Paramètres!$A$1:$I$89,7,0))</f>
        <v>0.45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25.187786016272952</v>
      </c>
      <c r="BQ143" s="21">
        <f>EXP(-LN(2)/25)*BQ142+(1-EXP(-LN(2)/25))/(LN(2)/25)*Calculateur!BL143*Calculateur!BN143*VLOOKUP('Données projet'!$B$11,Paramètres!$A$1:$I$89,3,0)*0.475*44/12</f>
        <v>0.32943075821890205</v>
      </c>
      <c r="BR143" s="21">
        <f>EXP(-LN(2)/2)*BR142+(1-EXP(-LN(2)/2))/(LN(2)/2)*BL143*BO143*VLOOKUP('Données projet'!$B$11,Paramètres!$A$1:$I$89,3,0)*0.475*44/12</f>
        <v>7.4685280726246288E-20</v>
      </c>
      <c r="BS143" s="22">
        <f t="shared" si="117"/>
        <v>25.517216774491853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8.561000000000007</v>
      </c>
      <c r="BY143" s="12">
        <f>IF('Données projet'!$A$114&gt;35,BY142+BX143-CG142,IF(A143&lt;'Données projet'!$A$114,$BV$205^A143,IF(A143='Données projet'!$A$114,'Données projet'!$B$114,BY142+BX143-CG142)))</f>
        <v>480.69600000000025</v>
      </c>
      <c r="BZ143" s="13">
        <f>BY143*VLOOKUP('Données projet'!$B$12,Paramètres!$A$1:$I$89,3,0)*VLOOKUP('Données projet'!$B$12,Paramètres!$A$1:$I$89,5,0)</f>
        <v>547.4166048000003</v>
      </c>
      <c r="CA143" s="13">
        <f t="shared" si="147"/>
        <v>121.09600623477171</v>
      </c>
      <c r="CB143" s="20">
        <f t="shared" si="118"/>
        <v>1164.326130885561</v>
      </c>
      <c r="CC143" s="59">
        <f t="shared" si="119"/>
        <v>1452.913316961429</v>
      </c>
      <c r="CD143" s="59">
        <f ca="1">AVERAGE(OFFSET($CC$3,0,0,'Données projet'!$E$12+1,1))-AVERAGE(OFFSET($H$3,0,0,'Données projet'!$E$12+1,1))</f>
        <v>797.57191672067393</v>
      </c>
      <c r="CE143" s="59">
        <f t="shared" si="148"/>
        <v>238.59056544987126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130.25377175801668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130.25377175801668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>
        <f>CT143*VLOOKUP('Données projet'!$B$13,Paramètres!$A$1:$I$89,3,0)*VLOOKUP('Données projet'!$B$13,Paramètres!$A$1:$I$89,5,0)</f>
        <v>0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188.98184340090461</v>
      </c>
      <c r="CZ143" s="59">
        <f t="shared" si="150"/>
        <v>450.74604661797798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6.4647949558798841</v>
      </c>
      <c r="DH143" s="21">
        <f>EXP(-LN(2)/2)*DH142+(1-EXP(-LN(2)/2))/(LN(2)/2)*DB143*DE143*VLOOKUP('Données projet'!$B$13,Paramètres!$A$1:$I$89,3,0)*0.475*44/12</f>
        <v>1.2479463574342734E-18</v>
      </c>
      <c r="DI143" s="22">
        <f t="shared" si="123"/>
        <v>6.4647949558798841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369.00000000000011</v>
      </c>
      <c r="DP143" s="17">
        <f>DO143*VLOOKUP('Données projet'!$B$14,Paramètres!$A$1:$I$89,3,0)*VLOOKUP('Données projet'!$B$14,Paramètres!$A$1:$I$89,5,0)</f>
        <v>333.87120000000004</v>
      </c>
      <c r="DQ143" s="13">
        <f t="shared" si="151"/>
        <v>78.232360111376309</v>
      </c>
      <c r="DR143" s="20">
        <f t="shared" si="124"/>
        <v>717.74703386064709</v>
      </c>
      <c r="DS143" s="59">
        <f t="shared" si="125"/>
        <v>1006.334219936515</v>
      </c>
      <c r="DT143" s="59">
        <f ca="1">AVERAGE(OFFSET($DS$3,0,0,'Données projet'!$E$14+1,1))-AVERAGE(OFFSET($H$3,0,0,'Données projet'!$E$14+1,1))</f>
        <v>442.34161202733173</v>
      </c>
      <c r="DU143" s="59">
        <f t="shared" si="152"/>
        <v>622.90413492324399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1.1968220457071597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1.1968220457071597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8.561000000000007</v>
      </c>
      <c r="EJ143" s="12">
        <f>IF('Données projet'!$A$192&gt;35,EJ142+EI143-ER142,IF(A143&lt;'Données projet'!$A$192,$EG$205^A143,IF(A143='Données projet'!$A$192,'Données projet'!$B$192,EJ142+EI143-ER142)))</f>
        <v>480.69600000000025</v>
      </c>
      <c r="EK143" s="17">
        <f>EJ143*VLOOKUP('Données projet'!$B$15,Paramètres!$A$1:$I$89,3,0)*VLOOKUP('Données projet'!$B$15,Paramètres!$A$1:$I$89,5,0)</f>
        <v>524.92003200000022</v>
      </c>
      <c r="EL143" s="13">
        <f t="shared" si="153"/>
        <v>116.68804648625293</v>
      </c>
      <c r="EM143" s="20">
        <f t="shared" si="127"/>
        <v>1117.4674033635574</v>
      </c>
      <c r="EN143" s="59">
        <f t="shared" si="128"/>
        <v>1406.0545894394254</v>
      </c>
      <c r="EO143" s="59">
        <f ca="1">AVERAGE(OFFSET($EN$3,0,0,'Données projet'!$E$15+1,1))-AVERAGE(OFFSET($H$3,0,0,'Données projet'!$E$15+1,1))</f>
        <v>767.9449852393318</v>
      </c>
      <c r="EP143" s="59">
        <f t="shared" si="154"/>
        <v>230.95605490295961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124.90087702823516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124.90087702823516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68.70559620250944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3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</v>
      </c>
      <c r="H144" s="66">
        <f t="shared" si="110"/>
        <v>212.66666666666666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188.98184340090461</v>
      </c>
      <c r="T144" s="59">
        <f t="shared" si="142"/>
        <v>450.74604661797798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10.201000000000011</v>
      </c>
      <c r="AI144" s="13">
        <f>IF('Données projet'!$A$62&gt;35,AI143+AH144-AQ143,IF(A144&lt;'Données projet'!$A$62,$AF$205^A144,IF(A144='Données projet'!$A$62,'Données projet'!$B$62,AI143+AH144-AQ143)))</f>
        <v>581.32099999999969</v>
      </c>
      <c r="AJ144" s="13">
        <f>AI144*VLOOKUP('Données projet'!$B$10,Paramètres!$A$1:$I$89,3,0)*VLOOKUP('Données projet'!$B$10,Paramètres!$A$1:$I$89,5,0)</f>
        <v>525.97924079999962</v>
      </c>
      <c r="AK144" s="13">
        <f t="shared" si="143"/>
        <v>116.89607340782435</v>
      </c>
      <c r="AL144" s="20">
        <f t="shared" si="112"/>
        <v>1119.6745055786266</v>
      </c>
      <c r="AM144" s="59">
        <f t="shared" si="113"/>
        <v>1408.3440266986158</v>
      </c>
      <c r="AN144" s="59">
        <f ca="1">AVERAGE(OFFSET($AM$3,0,0,'Données projet'!$E$10+1,1))-AVERAGE(OFFSET($H$3,0,0,'Données projet'!$E$10+1,1))</f>
        <v>725.60981534362895</v>
      </c>
      <c r="AO144" s="59">
        <f t="shared" si="144"/>
        <v>265.16078167969272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148.7450780742542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148.7450780742542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1.1900000000000006</v>
      </c>
      <c r="BD144" s="12">
        <f>IF('Données projet'!$A$88&gt;35,BD143+BC144-BL143,IF(A144&lt;'Données projet'!$A$88,$BA$205^A144,IF(A144='Données projet'!$A$88,'Données projet'!$B$88,BD143+BC144-BL143)))</f>
        <v>139.19</v>
      </c>
      <c r="BE144" s="13">
        <f>BD144*VLOOKUP('Données projet'!$B$11,Paramètres!$A$1:$I$89,3,0)*VLOOKUP('Données projet'!$B$11,Paramètres!$A$1:$I$89,5,0)</f>
        <v>160.34688</v>
      </c>
      <c r="BF144" s="13">
        <f t="shared" si="145"/>
        <v>40.920745294804973</v>
      </c>
      <c r="BG144" s="20">
        <f t="shared" si="115"/>
        <v>350.54111405511867</v>
      </c>
      <c r="BH144" s="59">
        <f t="shared" si="116"/>
        <v>639.210635175108</v>
      </c>
      <c r="BI144" s="59">
        <f ca="1">AVERAGE(OFFSET($BH$3,0,0,'Données projet'!$E$11+1,1))-AVERAGE(OFFSET($H$3,0,0,'Données projet'!$E$11+1,1))</f>
        <v>332.93090933713466</v>
      </c>
      <c r="BJ144" s="59">
        <f t="shared" si="146"/>
        <v>251.83579649532973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24.693868895526336</v>
      </c>
      <c r="BQ144" s="21">
        <f>EXP(-LN(2)/25)*BQ143+(1-EXP(-LN(2)/25))/(LN(2)/25)*Calculateur!BL144*Calculateur!BN144*VLOOKUP('Données projet'!$B$11,Paramètres!$A$1:$I$89,3,0)*0.475*44/12</f>
        <v>0.32042245681139553</v>
      </c>
      <c r="BR144" s="21">
        <f>EXP(-LN(2)/2)*BR143+(1-EXP(-LN(2)/2))/(LN(2)/2)*BL144*BO144*VLOOKUP('Données projet'!$B$11,Paramètres!$A$1:$I$89,3,0)*0.475*44/12</f>
        <v>5.2810468456349712E-20</v>
      </c>
      <c r="BS144" s="22">
        <f t="shared" si="117"/>
        <v>25.014291352337732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8.561000000000007</v>
      </c>
      <c r="BY144" s="12">
        <f>IF('Données projet'!$A$114&gt;35,BY143+BX144-CG143,IF(A144&lt;'Données projet'!$A$114,$BV$205^A144,IF(A144='Données projet'!$A$114,'Données projet'!$B$114,BY143+BX144-CG143)))</f>
        <v>489.25700000000029</v>
      </c>
      <c r="BZ144" s="13">
        <f>BY144*VLOOKUP('Données projet'!$B$12,Paramètres!$A$1:$I$89,3,0)*VLOOKUP('Données projet'!$B$12,Paramètres!$A$1:$I$89,5,0)</f>
        <v>557.16587160000029</v>
      </c>
      <c r="CA144" s="13">
        <f t="shared" si="147"/>
        <v>122.99967808193037</v>
      </c>
      <c r="CB144" s="20">
        <f t="shared" si="118"/>
        <v>1184.6216656960294</v>
      </c>
      <c r="CC144" s="59">
        <f t="shared" si="119"/>
        <v>1473.2911868160186</v>
      </c>
      <c r="CD144" s="59">
        <f ca="1">AVERAGE(OFFSET($CC$3,0,0,'Données projet'!$E$12+1,1))-AVERAGE(OFFSET($H$3,0,0,'Données projet'!$E$12+1,1))</f>
        <v>797.57191672067393</v>
      </c>
      <c r="CE144" s="59">
        <f t="shared" si="148"/>
        <v>238.59056544987126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127.69957474079801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127.69957474079801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>
        <f>CT144*VLOOKUP('Données projet'!$B$13,Paramètres!$A$1:$I$89,3,0)*VLOOKUP('Données projet'!$B$13,Paramètres!$A$1:$I$89,5,0)</f>
        <v>0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188.98184340090461</v>
      </c>
      <c r="CZ144" s="59">
        <f t="shared" si="150"/>
        <v>450.74604661797798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6.2880147978425578</v>
      </c>
      <c r="DH144" s="21">
        <f>EXP(-LN(2)/2)*DH143+(1-EXP(-LN(2)/2))/(LN(2)/2)*DB144*DE144*VLOOKUP('Données projet'!$B$13,Paramètres!$A$1:$I$89,3,0)*0.475*44/12</f>
        <v>8.8243133189882579E-19</v>
      </c>
      <c r="DI144" s="22">
        <f t="shared" si="123"/>
        <v>6.2880147978425578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369.00000000000011</v>
      </c>
      <c r="DP144" s="17">
        <f>DO144*VLOOKUP('Données projet'!$B$14,Paramètres!$A$1:$I$89,3,0)*VLOOKUP('Données projet'!$B$14,Paramètres!$A$1:$I$89,5,0)</f>
        <v>333.87120000000004</v>
      </c>
      <c r="DQ144" s="13">
        <f t="shared" si="151"/>
        <v>78.232360111376309</v>
      </c>
      <c r="DR144" s="20">
        <f t="shared" si="124"/>
        <v>717.74703386064709</v>
      </c>
      <c r="DS144" s="59">
        <f t="shared" si="125"/>
        <v>1006.4165549806364</v>
      </c>
      <c r="DT144" s="59">
        <f ca="1">AVERAGE(OFFSET($DS$3,0,0,'Données projet'!$E$14+1,1))-AVERAGE(OFFSET($H$3,0,0,'Données projet'!$E$14+1,1))</f>
        <v>442.34161202733173</v>
      </c>
      <c r="DU144" s="59">
        <f t="shared" si="152"/>
        <v>622.90413492324399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1.1733530953802096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1.1733530953802096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8.561000000000007</v>
      </c>
      <c r="EJ144" s="12">
        <f>IF('Données projet'!$A$192&gt;35,EJ143+EI144-ER143,IF(A144&lt;'Données projet'!$A$192,$EG$205^A144,IF(A144='Données projet'!$A$192,'Données projet'!$B$192,EJ143+EI144-ER143)))</f>
        <v>489.25700000000029</v>
      </c>
      <c r="EK144" s="17">
        <f>EJ144*VLOOKUP('Données projet'!$B$15,Paramètres!$A$1:$I$89,3,0)*VLOOKUP('Données projet'!$B$15,Paramètres!$A$1:$I$89,5,0)</f>
        <v>534.26864400000022</v>
      </c>
      <c r="EL144" s="13">
        <f t="shared" si="153"/>
        <v>118.52242365444097</v>
      </c>
      <c r="EM144" s="20">
        <f t="shared" si="127"/>
        <v>1136.9444428314853</v>
      </c>
      <c r="EN144" s="59">
        <f t="shared" si="128"/>
        <v>1425.6139639514745</v>
      </c>
      <c r="EO144" s="59">
        <f ca="1">AVERAGE(OFFSET($EN$3,0,0,'Données projet'!$E$15+1,1))-AVERAGE(OFFSET($H$3,0,0,'Données projet'!$E$15+1,1))</f>
        <v>767.9449852393318</v>
      </c>
      <c r="EP144" s="59">
        <f t="shared" si="154"/>
        <v>230.95605490295961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122.45164701172411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122.45164701172411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68.728051214542546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3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</v>
      </c>
      <c r="H145" s="66">
        <f t="shared" si="110"/>
        <v>212.66666666666666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188.98184340090461</v>
      </c>
      <c r="T145" s="59">
        <f t="shared" si="142"/>
        <v>450.74604661797798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10.201000000000011</v>
      </c>
      <c r="AI145" s="13">
        <f>IF('Données projet'!$A$62&gt;35,AI144+AH145-AQ144,IF(A145&lt;'Données projet'!$A$62,$AF$205^A145,IF(A145='Données projet'!$A$62,'Données projet'!$B$62,AI144+AH145-AQ144)))</f>
        <v>591.52199999999971</v>
      </c>
      <c r="AJ145" s="13">
        <f>AI145*VLOOKUP('Données projet'!$B$10,Paramètres!$A$1:$I$89,3,0)*VLOOKUP('Données projet'!$B$10,Paramètres!$A$1:$I$89,5,0)</f>
        <v>535.2091055999997</v>
      </c>
      <c r="AK145" s="13">
        <f t="shared" si="143"/>
        <v>118.70675243343008</v>
      </c>
      <c r="AL145" s="20">
        <f t="shared" si="112"/>
        <v>1138.9034527415567</v>
      </c>
      <c r="AM145" s="59">
        <f t="shared" si="113"/>
        <v>1427.6538805767254</v>
      </c>
      <c r="AN145" s="59">
        <f ca="1">AVERAGE(OFFSET($AM$3,0,0,'Données projet'!$E$10+1,1))-AVERAGE(OFFSET($H$3,0,0,'Données projet'!$E$10+1,1))</f>
        <v>725.60981534362895</v>
      </c>
      <c r="AO145" s="59">
        <f t="shared" si="144"/>
        <v>265.16078167969272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145.8282778187573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145.8282778187573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1.1900000000000006</v>
      </c>
      <c r="BD145" s="12">
        <f>IF('Données projet'!$A$88&gt;35,BD144+BC145-BL144,IF(A145&lt;'Données projet'!$A$88,$BA$205^A145,IF(A145='Données projet'!$A$88,'Données projet'!$B$88,BD144+BC145-BL144)))</f>
        <v>140.38</v>
      </c>
      <c r="BE145" s="13">
        <f>BD145*VLOOKUP('Données projet'!$B$11,Paramètres!$A$1:$I$89,3,0)*VLOOKUP('Données projet'!$B$11,Paramètres!$A$1:$I$89,5,0)</f>
        <v>161.71775999999997</v>
      </c>
      <c r="BF145" s="13">
        <f t="shared" si="145"/>
        <v>41.229719841655609</v>
      </c>
      <c r="BG145" s="20">
        <f t="shared" si="115"/>
        <v>353.46686072421682</v>
      </c>
      <c r="BH145" s="59">
        <f t="shared" si="116"/>
        <v>642.21728855938557</v>
      </c>
      <c r="BI145" s="59">
        <f ca="1">AVERAGE(OFFSET($BH$3,0,0,'Données projet'!$E$11+1,1))-AVERAGE(OFFSET($H$3,0,0,'Données projet'!$E$11+1,1))</f>
        <v>332.93090933713466</v>
      </c>
      <c r="BJ145" s="59">
        <f t="shared" si="146"/>
        <v>251.83579649532973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24.209637188257865</v>
      </c>
      <c r="BQ145" s="21">
        <f>EXP(-LN(2)/25)*BQ144+(1-EXP(-LN(2)/25))/(LN(2)/25)*Calculateur!BL145*Calculateur!BN145*VLOOKUP('Données projet'!$B$11,Paramètres!$A$1:$I$89,3,0)*0.475*44/12</f>
        <v>0.31166048787960327</v>
      </c>
      <c r="BR145" s="21">
        <f>EXP(-LN(2)/2)*BR144+(1-EXP(-LN(2)/2))/(LN(2)/2)*BL145*BO145*VLOOKUP('Données projet'!$B$11,Paramètres!$A$1:$I$89,3,0)*0.475*44/12</f>
        <v>3.734264036312315E-20</v>
      </c>
      <c r="BS145" s="22">
        <f t="shared" si="117"/>
        <v>24.521297676137468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8.561000000000007</v>
      </c>
      <c r="BY145" s="12">
        <f>IF('Données projet'!$A$114&gt;35,BY144+BX145-CG144,IF(A145&lt;'Données projet'!$A$114,$BV$205^A145,IF(A145='Données projet'!$A$114,'Données projet'!$B$114,BY144+BX145-CG144)))</f>
        <v>497.81800000000032</v>
      </c>
      <c r="BZ145" s="13">
        <f>BY145*VLOOKUP('Données projet'!$B$12,Paramètres!$A$1:$I$89,3,0)*VLOOKUP('Données projet'!$B$12,Paramètres!$A$1:$I$89,5,0)</f>
        <v>566.91513840000039</v>
      </c>
      <c r="CA145" s="13">
        <f t="shared" si="147"/>
        <v>124.89947633825359</v>
      </c>
      <c r="CB145" s="20">
        <f t="shared" si="118"/>
        <v>1204.9104540024589</v>
      </c>
      <c r="CC145" s="59">
        <f t="shared" si="119"/>
        <v>1493.6608818376276</v>
      </c>
      <c r="CD145" s="59">
        <f ca="1">AVERAGE(OFFSET($CC$3,0,0,'Données projet'!$E$12+1,1))-AVERAGE(OFFSET($H$3,0,0,'Données projet'!$E$12+1,1))</f>
        <v>797.57191672067393</v>
      </c>
      <c r="CE145" s="59">
        <f t="shared" si="148"/>
        <v>238.59056544987126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125.19546396918065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125.19546396918065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>
        <f>CT145*VLOOKUP('Données projet'!$B$13,Paramètres!$A$1:$I$89,3,0)*VLOOKUP('Données projet'!$B$13,Paramètres!$A$1:$I$89,5,0)</f>
        <v>0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188.98184340090461</v>
      </c>
      <c r="CZ145" s="59">
        <f t="shared" si="150"/>
        <v>450.74604661797798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6.1160687025232265</v>
      </c>
      <c r="DH145" s="21">
        <f>EXP(-LN(2)/2)*DH144+(1-EXP(-LN(2)/2))/(LN(2)/2)*DB145*DE145*VLOOKUP('Données projet'!$B$13,Paramètres!$A$1:$I$89,3,0)*0.475*44/12</f>
        <v>6.2397317871713671E-19</v>
      </c>
      <c r="DI145" s="22">
        <f t="shared" si="123"/>
        <v>6.1160687025232265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369.00000000000011</v>
      </c>
      <c r="DP145" s="17">
        <f>DO145*VLOOKUP('Données projet'!$B$14,Paramètres!$A$1:$I$89,3,0)*VLOOKUP('Données projet'!$B$14,Paramètres!$A$1:$I$89,5,0)</f>
        <v>333.87120000000004</v>
      </c>
      <c r="DQ145" s="13">
        <f t="shared" si="151"/>
        <v>78.232360111376309</v>
      </c>
      <c r="DR145" s="20">
        <f t="shared" si="124"/>
        <v>717.74703386064709</v>
      </c>
      <c r="DS145" s="59">
        <f t="shared" si="125"/>
        <v>1006.4974616958159</v>
      </c>
      <c r="DT145" s="59">
        <f ca="1">AVERAGE(OFFSET($DS$3,0,0,'Données projet'!$E$14+1,1))-AVERAGE(OFFSET($H$3,0,0,'Données projet'!$E$14+1,1))</f>
        <v>442.34161202733173</v>
      </c>
      <c r="DU145" s="59">
        <f t="shared" si="152"/>
        <v>622.90413492324399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1.1503443568545249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1.1503443568545249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8.561000000000007</v>
      </c>
      <c r="EJ145" s="12">
        <f>IF('Données projet'!$A$192&gt;35,EJ144+EI145-ER144,IF(A145&lt;'Données projet'!$A$192,$EG$205^A145,IF(A145='Données projet'!$A$192,'Données projet'!$B$192,EJ144+EI145-ER144)))</f>
        <v>497.81800000000032</v>
      </c>
      <c r="EK145" s="17">
        <f>EJ145*VLOOKUP('Données projet'!$B$15,Paramètres!$A$1:$I$89,3,0)*VLOOKUP('Données projet'!$B$15,Paramètres!$A$1:$I$89,5,0)</f>
        <v>543.61725600000034</v>
      </c>
      <c r="EL145" s="13">
        <f t="shared" si="153"/>
        <v>120.35306823258307</v>
      </c>
      <c r="EM145" s="20">
        <f t="shared" si="127"/>
        <v>1156.4149813717493</v>
      </c>
      <c r="EN145" s="59">
        <f t="shared" si="128"/>
        <v>1445.165409206918</v>
      </c>
      <c r="EO145" s="59">
        <f ca="1">AVERAGE(OFFSET($EN$3,0,0,'Données projet'!$E$15+1,1))-AVERAGE(OFFSET($H$3,0,0,'Données projet'!$E$15+1,1))</f>
        <v>767.9449852393318</v>
      </c>
      <c r="EP145" s="59">
        <f t="shared" si="154"/>
        <v>230.95605490295961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120.05044490195404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120.05044490195404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68.750116682318748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3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</v>
      </c>
      <c r="H146" s="66">
        <f t="shared" si="110"/>
        <v>212.66666666666666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188.98184340090461</v>
      </c>
      <c r="T146" s="59">
        <f t="shared" si="142"/>
        <v>450.74604661797798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10.201000000000011</v>
      </c>
      <c r="AI146" s="13">
        <f>IF('Données projet'!$A$62&gt;35,AI145+AH146-AQ145,IF(A146&lt;'Données projet'!$A$62,$AF$205^A146,IF(A146='Données projet'!$A$62,'Données projet'!$B$62,AI145+AH146-AQ145)))</f>
        <v>601.72299999999973</v>
      </c>
      <c r="AJ146" s="13">
        <f>AI146*VLOOKUP('Données projet'!$B$10,Paramètres!$A$1:$I$89,3,0)*VLOOKUP('Données projet'!$B$10,Paramètres!$A$1:$I$89,5,0)</f>
        <v>544.43897039999968</v>
      </c>
      <c r="AK146" s="13">
        <f t="shared" si="143"/>
        <v>120.51380023339244</v>
      </c>
      <c r="AL146" s="20">
        <f t="shared" si="112"/>
        <v>1158.1260755198246</v>
      </c>
      <c r="AM146" s="59">
        <f t="shared" si="113"/>
        <v>1446.9560065195446</v>
      </c>
      <c r="AN146" s="59">
        <f ca="1">AVERAGE(OFFSET($AM$3,0,0,'Données projet'!$E$10+1,1))-AVERAGE(OFFSET($H$3,0,0,'Données projet'!$E$10+1,1))</f>
        <v>725.60981534362895</v>
      </c>
      <c r="AO146" s="59">
        <f t="shared" si="144"/>
        <v>265.16078167969272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142.9686742371982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142.9686742371982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1.1900000000000006</v>
      </c>
      <c r="BD146" s="12">
        <f>IF('Données projet'!$A$88&gt;35,BD145+BC146-BL145,IF(A146&lt;'Données projet'!$A$88,$BA$205^A146,IF(A146='Données projet'!$A$88,'Données projet'!$B$88,BD145+BC146-BL145)))</f>
        <v>141.57</v>
      </c>
      <c r="BE146" s="13">
        <f>BD146*VLOOKUP('Données projet'!$B$11,Paramètres!$A$1:$I$89,3,0)*VLOOKUP('Données projet'!$B$11,Paramètres!$A$1:$I$89,5,0)</f>
        <v>163.08863999999997</v>
      </c>
      <c r="BF146" s="13">
        <f t="shared" si="145"/>
        <v>41.538389663101356</v>
      </c>
      <c r="BG146" s="20">
        <f t="shared" si="115"/>
        <v>356.39207666323477</v>
      </c>
      <c r="BH146" s="59">
        <f t="shared" si="116"/>
        <v>645.22200766295487</v>
      </c>
      <c r="BI146" s="59">
        <f ca="1">AVERAGE(OFFSET($BH$3,0,0,'Données projet'!$E$11+1,1))-AVERAGE(OFFSET($H$3,0,0,'Données projet'!$E$11+1,1))</f>
        <v>332.93090933713466</v>
      </c>
      <c r="BJ146" s="59">
        <f t="shared" si="146"/>
        <v>251.83579649532973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23.734900969416749</v>
      </c>
      <c r="BQ146" s="21">
        <f>EXP(-LN(2)/25)*BQ145+(1-EXP(-LN(2)/25))/(LN(2)/25)*Calculateur!BL146*Calculateur!BN146*VLOOKUP('Données projet'!$B$11,Paramètres!$A$1:$I$89,3,0)*0.475*44/12</f>
        <v>0.30313811544902275</v>
      </c>
      <c r="BR146" s="21">
        <f>EXP(-LN(2)/2)*BR145+(1-EXP(-LN(2)/2))/(LN(2)/2)*BL146*BO146*VLOOKUP('Données projet'!$B$11,Paramètres!$A$1:$I$89,3,0)*0.475*44/12</f>
        <v>2.6405234228174862E-20</v>
      </c>
      <c r="BS146" s="22">
        <f t="shared" si="117"/>
        <v>24.038039084865773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8.561000000000007</v>
      </c>
      <c r="BY146" s="12">
        <f>IF('Données projet'!$A$114&gt;35,BY145+BX146-CG145,IF(A146&lt;'Données projet'!$A$114,$BV$205^A146,IF(A146='Données projet'!$A$114,'Données projet'!$B$114,BY145+BX146-CG145)))</f>
        <v>506.37900000000036</v>
      </c>
      <c r="BZ146" s="13">
        <f>BY146*VLOOKUP('Données projet'!$B$12,Paramètres!$A$1:$I$89,3,0)*VLOOKUP('Données projet'!$B$12,Paramètres!$A$1:$I$89,5,0)</f>
        <v>576.66440520000037</v>
      </c>
      <c r="CA146" s="13">
        <f t="shared" si="147"/>
        <v>126.79547530497479</v>
      </c>
      <c r="CB146" s="20">
        <f t="shared" si="118"/>
        <v>1225.1926252128317</v>
      </c>
      <c r="CC146" s="59">
        <f t="shared" si="119"/>
        <v>1514.0225562125518</v>
      </c>
      <c r="CD146" s="59">
        <f ca="1">AVERAGE(OFFSET($CC$3,0,0,'Données projet'!$E$12+1,1))-AVERAGE(OFFSET($H$3,0,0,'Données projet'!$E$12+1,1))</f>
        <v>797.57191672067393</v>
      </c>
      <c r="CE146" s="59">
        <f t="shared" si="148"/>
        <v>238.59056544987126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122.74045728243794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122.74045728243794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>
        <f>CT146*VLOOKUP('Données projet'!$B$13,Paramètres!$A$1:$I$89,3,0)*VLOOKUP('Données projet'!$B$13,Paramètres!$A$1:$I$89,5,0)</f>
        <v>0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188.98184340090461</v>
      </c>
      <c r="CZ146" s="59">
        <f t="shared" si="150"/>
        <v>450.74604661797798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5.9488244822226539</v>
      </c>
      <c r="DH146" s="21">
        <f>EXP(-LN(2)/2)*DH145+(1-EXP(-LN(2)/2))/(LN(2)/2)*DB146*DE146*VLOOKUP('Données projet'!$B$13,Paramètres!$A$1:$I$89,3,0)*0.475*44/12</f>
        <v>4.412156659494129E-19</v>
      </c>
      <c r="DI146" s="22">
        <f t="shared" si="123"/>
        <v>5.9488244822226539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369.00000000000011</v>
      </c>
      <c r="DP146" s="17">
        <f>DO146*VLOOKUP('Données projet'!$B$14,Paramètres!$A$1:$I$89,3,0)*VLOOKUP('Données projet'!$B$14,Paramètres!$A$1:$I$89,5,0)</f>
        <v>333.87120000000004</v>
      </c>
      <c r="DQ146" s="13">
        <f t="shared" si="151"/>
        <v>78.232360111376309</v>
      </c>
      <c r="DR146" s="20">
        <f t="shared" si="124"/>
        <v>717.74703386064709</v>
      </c>
      <c r="DS146" s="59">
        <f t="shared" si="125"/>
        <v>1006.5769648603673</v>
      </c>
      <c r="DT146" s="59">
        <f ca="1">AVERAGE(OFFSET($DS$3,0,0,'Données projet'!$E$14+1,1))-AVERAGE(OFFSET($H$3,0,0,'Données projet'!$E$14+1,1))</f>
        <v>442.34161202733173</v>
      </c>
      <c r="DU146" s="59">
        <f t="shared" si="152"/>
        <v>622.90413492324399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1.1277868056573841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1.1277868056573841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8.561000000000007</v>
      </c>
      <c r="EJ146" s="12">
        <f>IF('Données projet'!$A$192&gt;35,EJ145+EI146-ER145,IF(A146&lt;'Données projet'!$A$192,$EG$205^A146,IF(A146='Données projet'!$A$192,'Données projet'!$B$192,EJ145+EI146-ER145)))</f>
        <v>506.37900000000036</v>
      </c>
      <c r="EK146" s="17">
        <f>EJ146*VLOOKUP('Données projet'!$B$15,Paramètres!$A$1:$I$89,3,0)*VLOOKUP('Données projet'!$B$15,Paramètres!$A$1:$I$89,5,0)</f>
        <v>552.96586800000034</v>
      </c>
      <c r="EL146" s="13">
        <f t="shared" si="153"/>
        <v>122.18005181730788</v>
      </c>
      <c r="EM146" s="20">
        <f t="shared" si="127"/>
        <v>1175.8791436818117</v>
      </c>
      <c r="EN146" s="59">
        <f t="shared" si="128"/>
        <v>1464.7090746815318</v>
      </c>
      <c r="EO146" s="59">
        <f ca="1">AVERAGE(OFFSET($EN$3,0,0,'Données projet'!$E$15+1,1))-AVERAGE(OFFSET($H$3,0,0,'Données projet'!$E$15+1,1))</f>
        <v>767.9449852393318</v>
      </c>
      <c r="EP146" s="59">
        <f t="shared" si="154"/>
        <v>230.95605490295961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117.69632890096788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117.69632890096788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68.771799363560049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3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</v>
      </c>
      <c r="H147" s="66">
        <f t="shared" si="110"/>
        <v>212.66666666666666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188.98184340090461</v>
      </c>
      <c r="T147" s="59">
        <f t="shared" si="142"/>
        <v>450.74604661797798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10.201000000000011</v>
      </c>
      <c r="AI147" s="13">
        <f>IF('Données projet'!$A$62&gt;35,AI146+AH147-AQ146,IF(A147&lt;'Données projet'!$A$62,$AF$205^A147,IF(A147='Données projet'!$A$62,'Données projet'!$B$62,AI146+AH147-AQ146)))</f>
        <v>611.92399999999975</v>
      </c>
      <c r="AJ147" s="13">
        <f>AI147*VLOOKUP('Données projet'!$B$10,Paramètres!$A$1:$I$89,3,0)*VLOOKUP('Données projet'!$B$10,Paramètres!$A$1:$I$89,5,0)</f>
        <v>553.66883519999976</v>
      </c>
      <c r="AK147" s="13">
        <f t="shared" si="143"/>
        <v>122.31728547227995</v>
      </c>
      <c r="AL147" s="20">
        <f t="shared" si="112"/>
        <v>1177.3424935042206</v>
      </c>
      <c r="AM147" s="59">
        <f t="shared" si="113"/>
        <v>1466.2505484663295</v>
      </c>
      <c r="AN147" s="59">
        <f ca="1">AVERAGE(OFFSET($AM$3,0,0,'Données projet'!$E$10+1,1))-AVERAGE(OFFSET($H$3,0,0,'Données projet'!$E$10+1,1))</f>
        <v>725.60981534362895</v>
      </c>
      <c r="AO147" s="59">
        <f t="shared" si="144"/>
        <v>265.16078167969272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140.16514573768751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140.16514573768751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1.1900000000000006</v>
      </c>
      <c r="BD147" s="12">
        <f>IF('Données projet'!$A$88&gt;35,BD146+BC147-BL146,IF(A147&lt;'Données projet'!$A$88,$BA$205^A147,IF(A147='Données projet'!$A$88,'Données projet'!$B$88,BD146+BC147-BL146)))</f>
        <v>142.76</v>
      </c>
      <c r="BE147" s="13">
        <f>BD147*VLOOKUP('Données projet'!$B$11,Paramètres!$A$1:$I$89,3,0)*VLOOKUP('Données projet'!$B$11,Paramètres!$A$1:$I$89,5,0)</f>
        <v>164.45952</v>
      </c>
      <c r="BF147" s="13">
        <f t="shared" si="145"/>
        <v>41.846757617404229</v>
      </c>
      <c r="BG147" s="20">
        <f t="shared" si="115"/>
        <v>359.31676685031238</v>
      </c>
      <c r="BH147" s="59">
        <f t="shared" si="116"/>
        <v>648.2248218124214</v>
      </c>
      <c r="BI147" s="59">
        <f ca="1">AVERAGE(OFFSET($BH$3,0,0,'Données projet'!$E$11+1,1))-AVERAGE(OFFSET($H$3,0,0,'Données projet'!$E$11+1,1))</f>
        <v>332.93090933713466</v>
      </c>
      <c r="BJ147" s="59">
        <f t="shared" si="146"/>
        <v>251.83579649532973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23.269474038266608</v>
      </c>
      <c r="BQ147" s="21">
        <f>EXP(-LN(2)/25)*BQ146+(1-EXP(-LN(2)/25))/(LN(2)/25)*Calculateur!BL147*Calculateur!BN147*VLOOKUP('Données projet'!$B$11,Paramètres!$A$1:$I$89,3,0)*0.475*44/12</f>
        <v>0.29484878774072854</v>
      </c>
      <c r="BR147" s="21">
        <f>EXP(-LN(2)/2)*BR146+(1-EXP(-LN(2)/2))/(LN(2)/2)*BL147*BO147*VLOOKUP('Données projet'!$B$11,Paramètres!$A$1:$I$89,3,0)*0.475*44/12</f>
        <v>1.8671320181561578E-20</v>
      </c>
      <c r="BS147" s="22">
        <f t="shared" si="117"/>
        <v>23.564322826007338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>
        <f>VLOOKUP(A147,'Données projet'!$A$113:$I$133,2,0)</f>
        <v>514.94000000000005</v>
      </c>
      <c r="BW147" s="12">
        <f>VLOOKUP(A147,'Données projet'!$A$113:$I$133,9,0)</f>
        <v>8.561000000000007</v>
      </c>
      <c r="BX147" s="12">
        <f t="array" ref="BX147">INDEX(BW:BW,MIN(IF(ISNUMBER(BW147:BW343),ROW(BW147:BW343),"")))</f>
        <v>8.561000000000007</v>
      </c>
      <c r="BY147" s="12">
        <f>IF('Données projet'!$A$114&gt;35,BY146+BX147-CG146,IF(A147&lt;'Données projet'!$A$114,$BV$205^A147,IF(A147='Données projet'!$A$114,'Données projet'!$B$114,BY146+BX147-CG146)))</f>
        <v>514.9400000000004</v>
      </c>
      <c r="BZ147" s="13">
        <f>BY147*VLOOKUP('Données projet'!$B$12,Paramètres!$A$1:$I$89,3,0)*VLOOKUP('Données projet'!$B$12,Paramètres!$A$1:$I$89,5,0)</f>
        <v>586.41367200000047</v>
      </c>
      <c r="CA147" s="13">
        <f t="shared" si="147"/>
        <v>128.68774662702702</v>
      </c>
      <c r="CB147" s="20">
        <f t="shared" si="118"/>
        <v>1245.4683041087394</v>
      </c>
      <c r="CC147" s="59">
        <f t="shared" si="119"/>
        <v>1534.3763590708484</v>
      </c>
      <c r="CD147" s="59">
        <f ca="1">AVERAGE(OFFSET($CC$3,0,0,'Données projet'!$E$12+1,1))-AVERAGE(OFFSET($H$3,0,0,'Données projet'!$E$12+1,1))</f>
        <v>797.57191672067393</v>
      </c>
      <c r="CE147" s="59">
        <f t="shared" si="148"/>
        <v>238.59056544987126</v>
      </c>
      <c r="CF147" s="15">
        <f>IF(ISNA(VLOOKUP(A147,'Données projet'!$A$113:$I$133,3,0)),0,VLOOKUP(A147,'Données projet'!$A$113:$I$133,3,0))</f>
        <v>12</v>
      </c>
      <c r="CG147" s="15">
        <f>IF(ISNA(VLOOKUP(A147,'Données projet'!$A$113:$I$133,4,0)),0,VLOOKUP(A147,'Données projet'!$A$113:$I$133,4,0))</f>
        <v>56.01</v>
      </c>
      <c r="CH147" s="16">
        <f>IF(ISNA(VLOOKUP(A147,'Données projet'!$A$113:$I$133,5,0)),0%,VLOOKUP(A147,'Données projet'!$A$113:$I$133,5,0)*VLOOKUP('Données projet'!$B$12,Paramètres!$A$1:$I$89,7,0))</f>
        <v>0.43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150.65354990153727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150.65354990153727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>
        <f>CT147*VLOOKUP('Données projet'!$B$13,Paramètres!$A$1:$I$89,3,0)*VLOOKUP('Données projet'!$B$13,Paramètres!$A$1:$I$89,5,0)</f>
        <v>0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188.98184340090461</v>
      </c>
      <c r="CZ147" s="59">
        <f t="shared" si="150"/>
        <v>450.74604661797798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5.7861535639211921</v>
      </c>
      <c r="DH147" s="21">
        <f>EXP(-LN(2)/2)*DH146+(1-EXP(-LN(2)/2))/(LN(2)/2)*DB147*DE147*VLOOKUP('Données projet'!$B$13,Paramètres!$A$1:$I$89,3,0)*0.475*44/12</f>
        <v>3.1198658935856835E-19</v>
      </c>
      <c r="DI147" s="22">
        <f t="shared" si="123"/>
        <v>5.7861535639211921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369.00000000000011</v>
      </c>
      <c r="DP147" s="17">
        <f>DO147*VLOOKUP('Données projet'!$B$14,Paramètres!$A$1:$I$89,3,0)*VLOOKUP('Données projet'!$B$14,Paramètres!$A$1:$I$89,5,0)</f>
        <v>333.87120000000004</v>
      </c>
      <c r="DQ147" s="13">
        <f t="shared" si="151"/>
        <v>78.232360111376309</v>
      </c>
      <c r="DR147" s="20">
        <f t="shared" si="124"/>
        <v>717.74703386064709</v>
      </c>
      <c r="DS147" s="59">
        <f t="shared" si="125"/>
        <v>1006.6550888227562</v>
      </c>
      <c r="DT147" s="59">
        <f ca="1">AVERAGE(OFFSET($DS$3,0,0,'Données projet'!$E$14+1,1))-AVERAGE(OFFSET($H$3,0,0,'Données projet'!$E$14+1,1))</f>
        <v>442.34161202733173</v>
      </c>
      <c r="DU147" s="59">
        <f t="shared" si="152"/>
        <v>622.90413492324399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1.1056715942804716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1.1056715942804716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>
        <f>VLOOKUP(A147,'Données projet'!$A$191:$I$211,2,0)</f>
        <v>514.94000000000005</v>
      </c>
      <c r="EH147" s="12">
        <f>VLOOKUP(A147,'Données projet'!$A$191:$I$211,9,0)</f>
        <v>8.561000000000007</v>
      </c>
      <c r="EI147" s="12">
        <f t="array" ref="EI147">INDEX(EH:EH,MIN(IF(ISNUMBER(EH147:EH343),ROW(EH147:EH343),"")))</f>
        <v>8.561000000000007</v>
      </c>
      <c r="EJ147" s="12">
        <f>IF('Données projet'!$A$192&gt;35,EJ146+EI147-ER146,IF(A147&lt;'Données projet'!$A$192,$EG$205^A147,IF(A147='Données projet'!$A$192,'Données projet'!$B$192,EJ146+EI147-ER146)))</f>
        <v>514.9400000000004</v>
      </c>
      <c r="EK147" s="17">
        <f>EJ147*VLOOKUP('Données projet'!$B$15,Paramètres!$A$1:$I$89,3,0)*VLOOKUP('Données projet'!$B$15,Paramètres!$A$1:$I$89,5,0)</f>
        <v>562.31448000000046</v>
      </c>
      <c r="EL147" s="13">
        <f t="shared" si="153"/>
        <v>124.00344344563422</v>
      </c>
      <c r="EM147" s="20">
        <f t="shared" si="127"/>
        <v>1195.3370500011472</v>
      </c>
      <c r="EN147" s="59">
        <f t="shared" si="128"/>
        <v>1484.2451049632562</v>
      </c>
      <c r="EO147" s="59">
        <f ca="1">AVERAGE(OFFSET($EN$3,0,0,'Données projet'!$E$15+1,1))-AVERAGE(OFFSET($H$3,0,0,'Données projet'!$E$15+1,1))</f>
        <v>767.9449852393318</v>
      </c>
      <c r="EP147" s="59">
        <f t="shared" si="154"/>
        <v>230.95605490295961</v>
      </c>
      <c r="EQ147" s="15">
        <f>IF(ISNA(VLOOKUP(A147,'Données projet'!$A$191:$I$211,3,0)),0,VLOOKUP(A147,'Données projet'!$A$191:$I$211,3,0))</f>
        <v>12</v>
      </c>
      <c r="ER147" s="15">
        <f>IF(ISNA(VLOOKUP(A147,'Données projet'!$A$191:$I$211,4,0)),0,VLOOKUP(A147,'Données projet'!$A$191:$I$211,4,0))</f>
        <v>56.01</v>
      </c>
      <c r="ES147" s="16">
        <f>IF(ISNA(VLOOKUP(A147,'Données projet'!$A$191:$I$211,5,0)),0%,VLOOKUP(A147,'Données projet'!$A$191:$I$211,5,0)*VLOOKUP('Données projet'!$B$15,Paramètres!$A$1:$I$89,7,0))</f>
        <v>0.43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144.46230812476179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144.46230812476179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68.793105898757005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3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</v>
      </c>
      <c r="H148" s="66">
        <f t="shared" si="110"/>
        <v>212.66666666666666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188.98184340090461</v>
      </c>
      <c r="T148" s="59">
        <f t="shared" si="142"/>
        <v>450.74604661797798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10.201000000000011</v>
      </c>
      <c r="AI148" s="13">
        <f>IF('Données projet'!$A$62&gt;35,AI147+AH148-AQ147,IF(A148&lt;'Données projet'!$A$62,$AF$205^A148,IF(A148='Données projet'!$A$62,'Données projet'!$B$62,AI147+AH148-AQ147)))</f>
        <v>622.12499999999977</v>
      </c>
      <c r="AJ148" s="13">
        <f>AI148*VLOOKUP('Données projet'!$B$10,Paramètres!$A$1:$I$89,3,0)*VLOOKUP('Données projet'!$B$10,Paramètres!$A$1:$I$89,5,0)</f>
        <v>562.89869999999985</v>
      </c>
      <c r="AK148" s="13">
        <f t="shared" si="143"/>
        <v>124.11727439410858</v>
      </c>
      <c r="AL148" s="20">
        <f t="shared" si="112"/>
        <v>1196.5528220697386</v>
      </c>
      <c r="AM148" s="59">
        <f t="shared" si="113"/>
        <v>1485.537645718148</v>
      </c>
      <c r="AN148" s="59">
        <f ca="1">AVERAGE(OFFSET($AM$3,0,0,'Données projet'!$E$10+1,1))-AVERAGE(OFFSET($H$3,0,0,'Données projet'!$E$10+1,1))</f>
        <v>725.60981534362895</v>
      </c>
      <c r="AO148" s="59">
        <f t="shared" si="144"/>
        <v>265.16078167969272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137.41659272206869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137.41659272206869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1.1900000000000006</v>
      </c>
      <c r="BD148" s="12">
        <f>IF('Données projet'!$A$88&gt;35,BD147+BC148-BL147,IF(A148&lt;'Données projet'!$A$88,$BA$205^A148,IF(A148='Données projet'!$A$88,'Données projet'!$B$88,BD147+BC148-BL147)))</f>
        <v>143.94999999999999</v>
      </c>
      <c r="BE148" s="13">
        <f>BD148*VLOOKUP('Données projet'!$B$11,Paramètres!$A$1:$I$89,3,0)*VLOOKUP('Données projet'!$B$11,Paramètres!$A$1:$I$89,5,0)</f>
        <v>165.83039999999997</v>
      </c>
      <c r="BF148" s="13">
        <f t="shared" si="145"/>
        <v>42.154826512424627</v>
      </c>
      <c r="BG148" s="20">
        <f t="shared" si="115"/>
        <v>362.24093617580616</v>
      </c>
      <c r="BH148" s="59">
        <f t="shared" si="116"/>
        <v>651.22575982421563</v>
      </c>
      <c r="BI148" s="59">
        <f ca="1">AVERAGE(OFFSET($BH$3,0,0,'Données projet'!$E$11+1,1))-AVERAGE(OFFSET($H$3,0,0,'Données projet'!$E$11+1,1))</f>
        <v>332.93090933713466</v>
      </c>
      <c r="BJ148" s="59">
        <f t="shared" si="146"/>
        <v>251.83579649532973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22.813173845353923</v>
      </c>
      <c r="BQ148" s="21">
        <f>EXP(-LN(2)/25)*BQ147+(1-EXP(-LN(2)/25))/(LN(2)/25)*Calculateur!BL148*Calculateur!BN148*VLOOKUP('Données projet'!$B$11,Paramètres!$A$1:$I$89,3,0)*0.475*44/12</f>
        <v>0.28678613213453447</v>
      </c>
      <c r="BR148" s="21">
        <f>EXP(-LN(2)/2)*BR147+(1-EXP(-LN(2)/2))/(LN(2)/2)*BL148*BO148*VLOOKUP('Données projet'!$B$11,Paramètres!$A$1:$I$89,3,0)*0.475*44/12</f>
        <v>1.3202617114087433E-20</v>
      </c>
      <c r="BS148" s="22">
        <f t="shared" si="117"/>
        <v>23.099959977488457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8.7559999999999949</v>
      </c>
      <c r="BY148" s="12">
        <f>IF('Données projet'!$A$114&gt;35,BY147+BX148-CG147,IF(A148&lt;'Données projet'!$A$114,$BV$205^A148,IF(A148='Données projet'!$A$114,'Données projet'!$B$114,BY147+BX148-CG147)))</f>
        <v>467.68600000000038</v>
      </c>
      <c r="BZ148" s="13">
        <f>BY148*VLOOKUP('Données projet'!$B$12,Paramètres!$A$1:$I$89,3,0)*VLOOKUP('Données projet'!$B$12,Paramètres!$A$1:$I$89,5,0)</f>
        <v>532.60081680000042</v>
      </c>
      <c r="CA148" s="13">
        <f t="shared" si="147"/>
        <v>118.19543959180264</v>
      </c>
      <c r="CB148" s="20">
        <f t="shared" si="118"/>
        <v>1133.4701465490568</v>
      </c>
      <c r="CC148" s="59">
        <f t="shared" si="119"/>
        <v>1422.4549701974663</v>
      </c>
      <c r="CD148" s="59">
        <f ca="1">AVERAGE(OFFSET($CC$3,0,0,'Données projet'!$E$12+1,1))-AVERAGE(OFFSET($H$3,0,0,'Données projet'!$E$12+1,1))</f>
        <v>797.57191672067393</v>
      </c>
      <c r="CE148" s="59">
        <f t="shared" si="148"/>
        <v>238.59056544987126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147.69932567756024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147.69932567756024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>
        <f>CT148*VLOOKUP('Données projet'!$B$13,Paramètres!$A$1:$I$89,3,0)*VLOOKUP('Données projet'!$B$13,Paramètres!$A$1:$I$89,5,0)</f>
        <v>0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188.98184340090461</v>
      </c>
      <c r="CZ148" s="59">
        <f t="shared" si="150"/>
        <v>450.74604661797798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5.6279308904351755</v>
      </c>
      <c r="DH148" s="21">
        <f>EXP(-LN(2)/2)*DH147+(1-EXP(-LN(2)/2))/(LN(2)/2)*DB148*DE148*VLOOKUP('Données projet'!$B$13,Paramètres!$A$1:$I$89,3,0)*0.475*44/12</f>
        <v>2.2060783297470645E-19</v>
      </c>
      <c r="DI148" s="22">
        <f t="shared" si="123"/>
        <v>5.6279308904351755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369.00000000000011</v>
      </c>
      <c r="DP148" s="17">
        <f>DO148*VLOOKUP('Données projet'!$B$14,Paramètres!$A$1:$I$89,3,0)*VLOOKUP('Données projet'!$B$14,Paramètres!$A$1:$I$89,5,0)</f>
        <v>333.87120000000004</v>
      </c>
      <c r="DQ148" s="13">
        <f t="shared" si="151"/>
        <v>78.232360111376309</v>
      </c>
      <c r="DR148" s="20">
        <f t="shared" si="124"/>
        <v>717.74703386064709</v>
      </c>
      <c r="DS148" s="59">
        <f t="shared" si="125"/>
        <v>1006.7318575090565</v>
      </c>
      <c r="DT148" s="59">
        <f ca="1">AVERAGE(OFFSET($DS$3,0,0,'Données projet'!$E$14+1,1))-AVERAGE(OFFSET($H$3,0,0,'Données projet'!$E$14+1,1))</f>
        <v>442.34161202733173</v>
      </c>
      <c r="DU148" s="59">
        <f t="shared" si="152"/>
        <v>622.90413492324399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1.0839900487097132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1.0839900487097132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8.7559999999999949</v>
      </c>
      <c r="EJ148" s="12">
        <f>IF('Données projet'!$A$192&gt;35,EJ147+EI148-ER147,IF(A148&lt;'Données projet'!$A$192,$EG$205^A148,IF(A148='Données projet'!$A$192,'Données projet'!$B$192,EJ147+EI148-ER147)))</f>
        <v>467.68600000000038</v>
      </c>
      <c r="EK148" s="17">
        <f>EJ148*VLOOKUP('Données projet'!$B$15,Paramètres!$A$1:$I$89,3,0)*VLOOKUP('Données projet'!$B$15,Paramètres!$A$1:$I$89,5,0)</f>
        <v>510.71311200000036</v>
      </c>
      <c r="EL148" s="13">
        <f t="shared" si="153"/>
        <v>113.89306202892035</v>
      </c>
      <c r="EM148" s="20">
        <f t="shared" si="127"/>
        <v>1087.8557531003703</v>
      </c>
      <c r="EN148" s="59">
        <f t="shared" si="128"/>
        <v>1376.8405767487798</v>
      </c>
      <c r="EO148" s="59">
        <f ca="1">AVERAGE(OFFSET($EN$3,0,0,'Données projet'!$E$15+1,1))-AVERAGE(OFFSET($H$3,0,0,'Données projet'!$E$15+1,1))</f>
        <v>767.9449852393318</v>
      </c>
      <c r="EP148" s="59">
        <f t="shared" si="154"/>
        <v>230.95605490295961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141.62949037574271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141.62949037574271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68.814042813202576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3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</v>
      </c>
      <c r="H149" s="66">
        <f t="shared" si="110"/>
        <v>212.66666666666666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188.98184340090461</v>
      </c>
      <c r="T149" s="59">
        <f t="shared" si="142"/>
        <v>450.74604661797798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10.201000000000011</v>
      </c>
      <c r="AI149" s="13">
        <f>IF('Données projet'!$A$62&gt;35,AI148+AH149-AQ148,IF(A149&lt;'Données projet'!$A$62,$AF$205^A149,IF(A149='Données projet'!$A$62,'Données projet'!$B$62,AI148+AH149-AQ148)))</f>
        <v>632.32599999999979</v>
      </c>
      <c r="AJ149" s="13">
        <f>AI149*VLOOKUP('Données projet'!$B$10,Paramètres!$A$1:$I$89,3,0)*VLOOKUP('Données projet'!$B$10,Paramètres!$A$1:$I$89,5,0)</f>
        <v>572.12856479999982</v>
      </c>
      <c r="AK149" s="13">
        <f t="shared" si="143"/>
        <v>125.91383094593489</v>
      </c>
      <c r="AL149" s="20">
        <f t="shared" si="112"/>
        <v>1215.7571725908363</v>
      </c>
      <c r="AM149" s="59">
        <f t="shared" si="113"/>
        <v>1504.817433160468</v>
      </c>
      <c r="AN149" s="59">
        <f ca="1">AVERAGE(OFFSET($AM$3,0,0,'Données projet'!$E$10+1,1))-AVERAGE(OFFSET($H$3,0,0,'Données projet'!$E$10+1,1))</f>
        <v>725.60981534362895</v>
      </c>
      <c r="AO149" s="59">
        <f t="shared" si="144"/>
        <v>265.16078167969272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134.72193715463436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134.72193715463436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1.1900000000000006</v>
      </c>
      <c r="BD149" s="12">
        <f>IF('Données projet'!$A$88&gt;35,BD148+BC149-BL148,IF(A149&lt;'Données projet'!$A$88,$BA$205^A149,IF(A149='Données projet'!$A$88,'Données projet'!$B$88,BD148+BC149-BL148)))</f>
        <v>145.13999999999999</v>
      </c>
      <c r="BE149" s="13">
        <f>BD149*VLOOKUP('Données projet'!$B$11,Paramètres!$A$1:$I$89,3,0)*VLOOKUP('Données projet'!$B$11,Paramètres!$A$1:$I$89,5,0)</f>
        <v>167.20127999999997</v>
      </c>
      <c r="BF149" s="13">
        <f t="shared" si="145"/>
        <v>42.462599106919356</v>
      </c>
      <c r="BG149" s="20">
        <f t="shared" si="115"/>
        <v>365.16458944455115</v>
      </c>
      <c r="BH149" s="59">
        <f t="shared" si="116"/>
        <v>654.22485001418283</v>
      </c>
      <c r="BI149" s="59">
        <f ca="1">AVERAGE(OFFSET($BH$3,0,0,'Données projet'!$E$11+1,1))-AVERAGE(OFFSET($H$3,0,0,'Données projet'!$E$11+1,1))</f>
        <v>332.93090933713466</v>
      </c>
      <c r="BJ149" s="59">
        <f t="shared" si="146"/>
        <v>251.83579649532973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22.36582142090862</v>
      </c>
      <c r="BQ149" s="21">
        <f>EXP(-LN(2)/25)*BQ148+(1-EXP(-LN(2)/25))/(LN(2)/25)*Calculateur!BL149*Calculateur!BN149*VLOOKUP('Données projet'!$B$11,Paramètres!$A$1:$I$89,3,0)*0.475*44/12</f>
        <v>0.27894395026988839</v>
      </c>
      <c r="BR149" s="21">
        <f>EXP(-LN(2)/2)*BR148+(1-EXP(-LN(2)/2))/(LN(2)/2)*BL149*BO149*VLOOKUP('Données projet'!$B$11,Paramètres!$A$1:$I$89,3,0)*0.475*44/12</f>
        <v>9.3356600907807906E-21</v>
      </c>
      <c r="BS149" s="22">
        <f t="shared" si="117"/>
        <v>22.644765371178508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8.7559999999999949</v>
      </c>
      <c r="BY149" s="12">
        <f>IF('Données projet'!$A$114&gt;35,BY148+BX149-CG148,IF(A149&lt;'Données projet'!$A$114,$BV$205^A149,IF(A149='Données projet'!$A$114,'Données projet'!$B$114,BY148+BX149-CG148)))</f>
        <v>476.44200000000035</v>
      </c>
      <c r="BZ149" s="13">
        <f>BY149*VLOOKUP('Données projet'!$B$12,Paramètres!$A$1:$I$89,3,0)*VLOOKUP('Données projet'!$B$12,Paramètres!$A$1:$I$89,5,0)</f>
        <v>542.57214960000033</v>
      </c>
      <c r="CA149" s="13">
        <f t="shared" si="147"/>
        <v>120.14859862096222</v>
      </c>
      <c r="CB149" s="20">
        <f t="shared" si="118"/>
        <v>1154.2386364848433</v>
      </c>
      <c r="CC149" s="59">
        <f t="shared" si="119"/>
        <v>1443.298897054475</v>
      </c>
      <c r="CD149" s="59">
        <f ca="1">AVERAGE(OFFSET($CC$3,0,0,'Données projet'!$E$12+1,1))-AVERAGE(OFFSET($H$3,0,0,'Données projet'!$E$12+1,1))</f>
        <v>797.57191672067393</v>
      </c>
      <c r="CE149" s="59">
        <f t="shared" si="148"/>
        <v>238.59056544987126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144.80303198871653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144.80303198871653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>
        <f>CT149*VLOOKUP('Données projet'!$B$13,Paramètres!$A$1:$I$89,3,0)*VLOOKUP('Données projet'!$B$13,Paramètres!$A$1:$I$89,5,0)</f>
        <v>0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188.98184340090461</v>
      </c>
      <c r="CZ149" s="59">
        <f t="shared" si="150"/>
        <v>450.74604661797798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5.4740348242762025</v>
      </c>
      <c r="DH149" s="21">
        <f>EXP(-LN(2)/2)*DH148+(1-EXP(-LN(2)/2))/(LN(2)/2)*DB149*DE149*VLOOKUP('Données projet'!$B$13,Paramètres!$A$1:$I$89,3,0)*0.475*44/12</f>
        <v>1.5599329467928418E-19</v>
      </c>
      <c r="DI149" s="22">
        <f t="shared" si="123"/>
        <v>5.4740348242762025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369.00000000000011</v>
      </c>
      <c r="DP149" s="17">
        <f>DO149*VLOOKUP('Données projet'!$B$14,Paramètres!$A$1:$I$89,3,0)*VLOOKUP('Données projet'!$B$14,Paramètres!$A$1:$I$89,5,0)</f>
        <v>333.87120000000004</v>
      </c>
      <c r="DQ149" s="13">
        <f t="shared" si="151"/>
        <v>78.232360111376309</v>
      </c>
      <c r="DR149" s="20">
        <f t="shared" si="124"/>
        <v>717.74703386064709</v>
      </c>
      <c r="DS149" s="59">
        <f t="shared" si="125"/>
        <v>1006.8072944302787</v>
      </c>
      <c r="DT149" s="59">
        <f ca="1">AVERAGE(OFFSET($DS$3,0,0,'Données projet'!$E$14+1,1))-AVERAGE(OFFSET($H$3,0,0,'Données projet'!$E$14+1,1))</f>
        <v>442.34161202733173</v>
      </c>
      <c r="DU149" s="59">
        <f t="shared" si="152"/>
        <v>622.90413492324399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1.0627336650231605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1.0627336650231605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8.7559999999999949</v>
      </c>
      <c r="EJ149" s="12">
        <f>IF('Données projet'!$A$192&gt;35,EJ148+EI149-ER148,IF(A149&lt;'Données projet'!$A$192,$EG$205^A149,IF(A149='Données projet'!$A$192,'Données projet'!$B$192,EJ148+EI149-ER148)))</f>
        <v>476.44200000000035</v>
      </c>
      <c r="EK149" s="17">
        <f>EJ149*VLOOKUP('Données projet'!$B$15,Paramètres!$A$1:$I$89,3,0)*VLOOKUP('Données projet'!$B$15,Paramètres!$A$1:$I$89,5,0)</f>
        <v>520.27466400000037</v>
      </c>
      <c r="EL149" s="13">
        <f t="shared" si="153"/>
        <v>115.77512501907172</v>
      </c>
      <c r="EM149" s="20">
        <f t="shared" si="127"/>
        <v>1107.7867158748838</v>
      </c>
      <c r="EN149" s="59">
        <f t="shared" si="128"/>
        <v>1396.8469764445156</v>
      </c>
      <c r="EO149" s="59">
        <f ca="1">AVERAGE(OFFSET($EN$3,0,0,'Données projet'!$E$15+1,1))-AVERAGE(OFFSET($H$3,0,0,'Données projet'!$E$15+1,1))</f>
        <v>767.9449852393318</v>
      </c>
      <c r="EP149" s="59">
        <f t="shared" si="154"/>
        <v>230.95605490295961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138.85222245493367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138.85222245493367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68.834616518990458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3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</v>
      </c>
      <c r="H150" s="66">
        <f t="shared" si="110"/>
        <v>212.66666666666666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188.98184340090461</v>
      </c>
      <c r="T150" s="59">
        <f t="shared" si="142"/>
        <v>450.74604661797798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10.201000000000011</v>
      </c>
      <c r="AI150" s="13">
        <f>IF('Données projet'!$A$62&gt;35,AI149+AH150-AQ149,IF(A150&lt;'Données projet'!$A$62,$AF$205^A150,IF(A150='Données projet'!$A$62,'Données projet'!$B$62,AI149+AH150-AQ149)))</f>
        <v>642.52699999999982</v>
      </c>
      <c r="AJ150" s="13">
        <f>AI150*VLOOKUP('Données projet'!$B$10,Paramètres!$A$1:$I$89,3,0)*VLOOKUP('Données projet'!$B$10,Paramètres!$A$1:$I$89,5,0)</f>
        <v>581.35842959999979</v>
      </c>
      <c r="AK150" s="13">
        <f t="shared" si="143"/>
        <v>127.70701689324794</v>
      </c>
      <c r="AL150" s="20">
        <f t="shared" si="112"/>
        <v>1234.9556526424064</v>
      </c>
      <c r="AM150" s="59">
        <f t="shared" si="113"/>
        <v>1524.090041471329</v>
      </c>
      <c r="AN150" s="59">
        <f ca="1">AVERAGE(OFFSET($AM$3,0,0,'Données projet'!$E$10+1,1))-AVERAGE(OFFSET($H$3,0,0,'Données projet'!$E$10+1,1))</f>
        <v>725.60981534362895</v>
      </c>
      <c r="AO150" s="59">
        <f t="shared" si="144"/>
        <v>265.16078167969272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132.08012213929982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132.08012213929982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1.1900000000000006</v>
      </c>
      <c r="BD150" s="12">
        <f>IF('Données projet'!$A$88&gt;35,BD149+BC150-BL149,IF(A150&lt;'Données projet'!$A$88,$BA$205^A150,IF(A150='Données projet'!$A$88,'Données projet'!$B$88,BD149+BC150-BL149)))</f>
        <v>146.32999999999998</v>
      </c>
      <c r="BE150" s="13">
        <f>BD150*VLOOKUP('Données projet'!$B$11,Paramètres!$A$1:$I$89,3,0)*VLOOKUP('Données projet'!$B$11,Paramètres!$A$1:$I$89,5,0)</f>
        <v>168.57215999999997</v>
      </c>
      <c r="BF150" s="13">
        <f t="shared" si="145"/>
        <v>42.770078111795435</v>
      </c>
      <c r="BG150" s="20">
        <f t="shared" si="115"/>
        <v>368.08773137804366</v>
      </c>
      <c r="BH150" s="59">
        <f t="shared" si="116"/>
        <v>657.22212020696611</v>
      </c>
      <c r="BI150" s="59">
        <f ca="1">AVERAGE(OFFSET($BH$3,0,0,'Données projet'!$E$11+1,1))-AVERAGE(OFFSET($H$3,0,0,'Données projet'!$E$11+1,1))</f>
        <v>332.93090933713466</v>
      </c>
      <c r="BJ150" s="59">
        <f t="shared" si="146"/>
        <v>251.83579649532973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21.927241304648653</v>
      </c>
      <c r="BQ150" s="21">
        <f>EXP(-LN(2)/25)*BQ149+(1-EXP(-LN(2)/25))/(LN(2)/25)*Calculateur!BL150*Calculateur!BN150*VLOOKUP('Données projet'!$B$11,Paramètres!$A$1:$I$89,3,0)*0.475*44/12</f>
        <v>0.27131621328073346</v>
      </c>
      <c r="BR150" s="21">
        <f>EXP(-LN(2)/2)*BR149+(1-EXP(-LN(2)/2))/(LN(2)/2)*BL150*BO150*VLOOKUP('Données projet'!$B$11,Paramètres!$A$1:$I$89,3,0)*0.475*44/12</f>
        <v>6.601308557043717E-21</v>
      </c>
      <c r="BS150" s="22">
        <f t="shared" si="117"/>
        <v>22.198557517929387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8.7559999999999949</v>
      </c>
      <c r="BY150" s="12">
        <f>IF('Données projet'!$A$114&gt;35,BY149+BX150-CG149,IF(A150&lt;'Données projet'!$A$114,$BV$205^A150,IF(A150='Données projet'!$A$114,'Données projet'!$B$114,BY149+BX150-CG149)))</f>
        <v>485.19800000000032</v>
      </c>
      <c r="BZ150" s="13">
        <f>BY150*VLOOKUP('Données projet'!$B$12,Paramètres!$A$1:$I$89,3,0)*VLOOKUP('Données projet'!$B$12,Paramètres!$A$1:$I$89,5,0)</f>
        <v>552.54348240000036</v>
      </c>
      <c r="CA150" s="13">
        <f t="shared" si="147"/>
        <v>122.09758369563561</v>
      </c>
      <c r="CB150" s="20">
        <f t="shared" si="118"/>
        <v>1174.9998567832326</v>
      </c>
      <c r="CC150" s="59">
        <f t="shared" si="119"/>
        <v>1464.1342456121552</v>
      </c>
      <c r="CD150" s="59">
        <f ca="1">AVERAGE(OFFSET($CC$3,0,0,'Données projet'!$E$12+1,1))-AVERAGE(OFFSET($H$3,0,0,'Données projet'!$E$12+1,1))</f>
        <v>797.57191672067393</v>
      </c>
      <c r="CE150" s="59">
        <f t="shared" si="148"/>
        <v>238.59056544987126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141.96353285254631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141.96353285254631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>
        <f>CT150*VLOOKUP('Données projet'!$B$13,Paramètres!$A$1:$I$89,3,0)*VLOOKUP('Données projet'!$B$13,Paramètres!$A$1:$I$89,5,0)</f>
        <v>0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188.98184340090461</v>
      </c>
      <c r="CZ150" s="59">
        <f t="shared" si="150"/>
        <v>450.74604661797798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5.3243470541393894</v>
      </c>
      <c r="DH150" s="21">
        <f>EXP(-LN(2)/2)*DH149+(1-EXP(-LN(2)/2))/(LN(2)/2)*DB150*DE150*VLOOKUP('Données projet'!$B$13,Paramètres!$A$1:$I$89,3,0)*0.475*44/12</f>
        <v>1.1030391648735322E-19</v>
      </c>
      <c r="DI150" s="22">
        <f t="shared" si="123"/>
        <v>5.3243470541393894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369.00000000000011</v>
      </c>
      <c r="DP150" s="17">
        <f>DO150*VLOOKUP('Données projet'!$B$14,Paramètres!$A$1:$I$89,3,0)*VLOOKUP('Données projet'!$B$14,Paramètres!$A$1:$I$89,5,0)</f>
        <v>333.87120000000004</v>
      </c>
      <c r="DQ150" s="13">
        <f t="shared" si="151"/>
        <v>78.232360111376309</v>
      </c>
      <c r="DR150" s="20">
        <f t="shared" si="124"/>
        <v>717.74703386064709</v>
      </c>
      <c r="DS150" s="59">
        <f t="shared" si="125"/>
        <v>1006.8814226895695</v>
      </c>
      <c r="DT150" s="59">
        <f ca="1">AVERAGE(OFFSET($DS$3,0,0,'Données projet'!$E$14+1,1))-AVERAGE(OFFSET($H$3,0,0,'Données projet'!$E$14+1,1))</f>
        <v>442.34161202733173</v>
      </c>
      <c r="DU150" s="59">
        <f t="shared" si="152"/>
        <v>622.90413492324399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1.0418941060555871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1.0418941060555871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8.7559999999999949</v>
      </c>
      <c r="EJ150" s="12">
        <f>IF('Données projet'!$A$192&gt;35,EJ149+EI150-ER149,IF(A150&lt;'Données projet'!$A$192,$EG$205^A150,IF(A150='Données projet'!$A$192,'Données projet'!$B$192,EJ149+EI150-ER149)))</f>
        <v>485.19800000000032</v>
      </c>
      <c r="EK150" s="17">
        <f>EJ150*VLOOKUP('Données projet'!$B$15,Paramètres!$A$1:$I$89,3,0)*VLOOKUP('Données projet'!$B$15,Paramètres!$A$1:$I$89,5,0)</f>
        <v>529.83621600000038</v>
      </c>
      <c r="EL150" s="13">
        <f t="shared" si="153"/>
        <v>117.65316598892505</v>
      </c>
      <c r="EM150" s="20">
        <f t="shared" si="127"/>
        <v>1127.7106736307117</v>
      </c>
      <c r="EN150" s="59">
        <f t="shared" si="128"/>
        <v>1416.8450624596342</v>
      </c>
      <c r="EO150" s="59">
        <f ca="1">AVERAGE(OFFSET($EN$3,0,0,'Données projet'!$E$15+1,1))-AVERAGE(OFFSET($H$3,0,0,'Données projet'!$E$15+1,1))</f>
        <v>767.9449852393318</v>
      </c>
      <c r="EP150" s="59">
        <f t="shared" si="154"/>
        <v>230.95605490295961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136.12941506408552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136.12941506408552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68.854833316978841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3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</v>
      </c>
      <c r="H151" s="66">
        <f t="shared" si="110"/>
        <v>212.66666666666666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188.98184340090461</v>
      </c>
      <c r="T151" s="59">
        <f t="shared" si="142"/>
        <v>450.74604661797798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10.201000000000011</v>
      </c>
      <c r="AI151" s="13">
        <f>IF('Données projet'!$A$62&gt;35,AI150+AH151-AQ150,IF(A151&lt;'Données projet'!$A$62,$AF$205^A151,IF(A151='Données projet'!$A$62,'Données projet'!$B$62,AI150+AH151-AQ150)))</f>
        <v>652.72799999999984</v>
      </c>
      <c r="AJ151" s="13">
        <f>AI151*VLOOKUP('Données projet'!$B$10,Paramètres!$A$1:$I$89,3,0)*VLOOKUP('Données projet'!$B$10,Paramètres!$A$1:$I$89,5,0)</f>
        <v>590.58829439999988</v>
      </c>
      <c r="AK151" s="13">
        <f t="shared" si="143"/>
        <v>129.49689192782623</v>
      </c>
      <c r="AL151" s="20">
        <f t="shared" si="112"/>
        <v>1254.1483661876305</v>
      </c>
      <c r="AM151" s="59">
        <f t="shared" si="113"/>
        <v>1543.3555973162709</v>
      </c>
      <c r="AN151" s="59">
        <f ca="1">AVERAGE(OFFSET($AM$3,0,0,'Données projet'!$E$10+1,1))-AVERAGE(OFFSET($H$3,0,0,'Données projet'!$E$10+1,1))</f>
        <v>725.60981534362895</v>
      </c>
      <c r="AO151" s="59">
        <f t="shared" si="144"/>
        <v>265.16078167969272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129.49011150506792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129.49011150506792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1.1900000000000006</v>
      </c>
      <c r="BD151" s="12">
        <f>IF('Données projet'!$A$88&gt;35,BD150+BC151-BL150,IF(A151&lt;'Données projet'!$A$88,$BA$205^A151,IF(A151='Données projet'!$A$88,'Données projet'!$B$88,BD150+BC151-BL150)))</f>
        <v>147.51999999999998</v>
      </c>
      <c r="BE151" s="13">
        <f>BD151*VLOOKUP('Données projet'!$B$11,Paramètres!$A$1:$I$89,3,0)*VLOOKUP('Données projet'!$B$11,Paramètres!$A$1:$I$89,5,0)</f>
        <v>169.94303999999997</v>
      </c>
      <c r="BF151" s="13">
        <f t="shared" si="145"/>
        <v>43.077266191322614</v>
      </c>
      <c r="BG151" s="20">
        <f t="shared" si="115"/>
        <v>371.01036661655348</v>
      </c>
      <c r="BH151" s="59">
        <f t="shared" si="116"/>
        <v>660.21759774519387</v>
      </c>
      <c r="BI151" s="59">
        <f ca="1">AVERAGE(OFFSET($BH$3,0,0,'Données projet'!$E$11+1,1))-AVERAGE(OFFSET($H$3,0,0,'Données projet'!$E$11+1,1))</f>
        <v>332.93090933713466</v>
      </c>
      <c r="BJ151" s="59">
        <f t="shared" si="146"/>
        <v>251.83579649532973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21.497261476961086</v>
      </c>
      <c r="BQ151" s="21">
        <f>EXP(-LN(2)/25)*BQ150+(1-EXP(-LN(2)/25))/(LN(2)/25)*Calculateur!BL151*Calculateur!BN151*VLOOKUP('Données projet'!$B$11,Paramètres!$A$1:$I$89,3,0)*0.475*44/12</f>
        <v>0.26389705716067224</v>
      </c>
      <c r="BR151" s="21">
        <f>EXP(-LN(2)/2)*BR150+(1-EXP(-LN(2)/2))/(LN(2)/2)*BL151*BO151*VLOOKUP('Données projet'!$B$11,Paramètres!$A$1:$I$89,3,0)*0.475*44/12</f>
        <v>4.667830045390396E-21</v>
      </c>
      <c r="BS151" s="22">
        <f t="shared" si="117"/>
        <v>21.761158534121758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8.7559999999999949</v>
      </c>
      <c r="BY151" s="12">
        <f>IF('Données projet'!$A$114&gt;35,BY150+BX151-CG150,IF(A151&lt;'Données projet'!$A$114,$BV$205^A151,IF(A151='Données projet'!$A$114,'Données projet'!$B$114,BY150+BX151-CG150)))</f>
        <v>493.95400000000029</v>
      </c>
      <c r="BZ151" s="13">
        <f>BY151*VLOOKUP('Données projet'!$B$12,Paramètres!$A$1:$I$89,3,0)*VLOOKUP('Données projet'!$B$12,Paramètres!$A$1:$I$89,5,0)</f>
        <v>562.51481520000038</v>
      </c>
      <c r="CA151" s="13">
        <f t="shared" si="147"/>
        <v>124.04247882868246</v>
      </c>
      <c r="CB151" s="20">
        <f t="shared" si="118"/>
        <v>1195.7539537666225</v>
      </c>
      <c r="CC151" s="59">
        <f t="shared" si="119"/>
        <v>1484.9611848952629</v>
      </c>
      <c r="CD151" s="59">
        <f ca="1">AVERAGE(OFFSET($CC$3,0,0,'Données projet'!$E$12+1,1))-AVERAGE(OFFSET($H$3,0,0,'Données projet'!$E$12+1,1))</f>
        <v>797.57191672067393</v>
      </c>
      <c r="CE151" s="59">
        <f t="shared" si="148"/>
        <v>238.59056544987126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139.17971456251294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139.17971456251294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>
        <f>CT151*VLOOKUP('Données projet'!$B$13,Paramètres!$A$1:$I$89,3,0)*VLOOKUP('Données projet'!$B$13,Paramètres!$A$1:$I$89,5,0)</f>
        <v>0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188.98184340090461</v>
      </c>
      <c r="CZ151" s="59">
        <f t="shared" si="150"/>
        <v>450.74604661797798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5.1787525039487052</v>
      </c>
      <c r="DH151" s="21">
        <f>EXP(-LN(2)/2)*DH150+(1-EXP(-LN(2)/2))/(LN(2)/2)*DB151*DE151*VLOOKUP('Données projet'!$B$13,Paramètres!$A$1:$I$89,3,0)*0.475*44/12</f>
        <v>7.7996647339642089E-20</v>
      </c>
      <c r="DI151" s="22">
        <f t="shared" si="123"/>
        <v>5.1787525039487052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369.00000000000011</v>
      </c>
      <c r="DP151" s="17">
        <f>DO151*VLOOKUP('Données projet'!$B$14,Paramètres!$A$1:$I$89,3,0)*VLOOKUP('Données projet'!$B$14,Paramètres!$A$1:$I$89,5,0)</f>
        <v>333.87120000000004</v>
      </c>
      <c r="DQ151" s="13">
        <f t="shared" si="151"/>
        <v>78.232360111376309</v>
      </c>
      <c r="DR151" s="20">
        <f t="shared" si="124"/>
        <v>717.74703386064709</v>
      </c>
      <c r="DS151" s="59">
        <f t="shared" si="125"/>
        <v>1006.9542649892874</v>
      </c>
      <c r="DT151" s="59">
        <f ca="1">AVERAGE(OFFSET($DS$3,0,0,'Données projet'!$E$14+1,1))-AVERAGE(OFFSET($H$3,0,0,'Données projet'!$E$14+1,1))</f>
        <v>442.34161202733173</v>
      </c>
      <c r="DU151" s="59">
        <f t="shared" si="152"/>
        <v>622.90413492324399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1.0214631981284921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1.0214631981284921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8.7559999999999949</v>
      </c>
      <c r="EJ151" s="12">
        <f>IF('Données projet'!$A$192&gt;35,EJ150+EI151-ER150,IF(A151&lt;'Données projet'!$A$192,$EG$205^A151,IF(A151='Données projet'!$A$192,'Données projet'!$B$192,EJ150+EI151-ER150)))</f>
        <v>493.95400000000029</v>
      </c>
      <c r="EK151" s="17">
        <f>EJ151*VLOOKUP('Données projet'!$B$15,Paramètres!$A$1:$I$89,3,0)*VLOOKUP('Données projet'!$B$15,Paramètres!$A$1:$I$89,5,0)</f>
        <v>539.39776800000027</v>
      </c>
      <c r="EL151" s="13">
        <f t="shared" si="153"/>
        <v>119.52726589322627</v>
      </c>
      <c r="EM151" s="20">
        <f t="shared" si="127"/>
        <v>1147.6277673640363</v>
      </c>
      <c r="EN151" s="59">
        <f t="shared" si="128"/>
        <v>1436.8349984926767</v>
      </c>
      <c r="EO151" s="59">
        <f ca="1">AVERAGE(OFFSET($EN$3,0,0,'Données projet'!$E$15+1,1))-AVERAGE(OFFSET($H$3,0,0,'Données projet'!$E$15+1,1))</f>
        <v>767.9449852393318</v>
      </c>
      <c r="EP151" s="59">
        <f t="shared" si="154"/>
        <v>230.95605490295961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133.46000026542339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133.46000026542339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68.874699398720082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3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</v>
      </c>
      <c r="H152" s="66">
        <f t="shared" si="110"/>
        <v>212.66666666666666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188.98184340090461</v>
      </c>
      <c r="T152" s="59">
        <f t="shared" si="142"/>
        <v>450.74604661797798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10.201000000000011</v>
      </c>
      <c r="AI152" s="13">
        <f>IF('Données projet'!$A$62&gt;35,AI151+AH152-AQ151,IF(A152&lt;'Données projet'!$A$62,$AF$205^A152,IF(A152='Données projet'!$A$62,'Données projet'!$B$62,AI151+AH152-AQ151)))</f>
        <v>662.92899999999986</v>
      </c>
      <c r="AJ152" s="13">
        <f>AI152*VLOOKUP('Données projet'!$B$10,Paramètres!$A$1:$I$89,3,0)*VLOOKUP('Données projet'!$B$10,Paramètres!$A$1:$I$89,5,0)</f>
        <v>599.81815919999985</v>
      </c>
      <c r="AK152" s="13">
        <f t="shared" si="143"/>
        <v>131.28351376865865</v>
      </c>
      <c r="AL152" s="20">
        <f t="shared" si="112"/>
        <v>1273.3354137537467</v>
      </c>
      <c r="AM152" s="59">
        <f t="shared" si="113"/>
        <v>1562.6142235310558</v>
      </c>
      <c r="AN152" s="59">
        <f ca="1">AVERAGE(OFFSET($AM$3,0,0,'Données projet'!$E$10+1,1))-AVERAGE(OFFSET($H$3,0,0,'Données projet'!$E$10+1,1))</f>
        <v>725.60981534362895</v>
      </c>
      <c r="AO152" s="59">
        <f t="shared" si="144"/>
        <v>265.16078167969272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126.95088939962281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126.95088939962281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1.1900000000000006</v>
      </c>
      <c r="BD152" s="12">
        <f>IF('Données projet'!$A$88&gt;35,BD151+BC152-BL151,IF(A152&lt;'Données projet'!$A$88,$BA$205^A152,IF(A152='Données projet'!$A$88,'Données projet'!$B$88,BD151+BC152-BL151)))</f>
        <v>148.70999999999998</v>
      </c>
      <c r="BE152" s="13">
        <f>BD152*VLOOKUP('Données projet'!$B$11,Paramètres!$A$1:$I$89,3,0)*VLOOKUP('Données projet'!$B$11,Paramètres!$A$1:$I$89,5,0)</f>
        <v>171.31391999999997</v>
      </c>
      <c r="BF152" s="13">
        <f t="shared" si="145"/>
        <v>43.384165964305083</v>
      </c>
      <c r="BG152" s="20">
        <f t="shared" si="115"/>
        <v>373.93249972116456</v>
      </c>
      <c r="BH152" s="59">
        <f t="shared" si="116"/>
        <v>663.21130949847372</v>
      </c>
      <c r="BI152" s="59">
        <f ca="1">AVERAGE(OFFSET($BH$3,0,0,'Données projet'!$E$11+1,1))-AVERAGE(OFFSET($H$3,0,0,'Données projet'!$E$11+1,1))</f>
        <v>332.93090933713466</v>
      </c>
      <c r="BJ152" s="59">
        <f t="shared" si="146"/>
        <v>251.83579649532973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21.075713291432674</v>
      </c>
      <c r="BQ152" s="21">
        <f>EXP(-LN(2)/25)*BQ151+(1-EXP(-LN(2)/25))/(LN(2)/25)*Calculateur!BL152*Calculateur!BN152*VLOOKUP('Données projet'!$B$11,Paramètres!$A$1:$I$89,3,0)*0.475*44/12</f>
        <v>0.25668077825487057</v>
      </c>
      <c r="BR152" s="21">
        <f>EXP(-LN(2)/2)*BR151+(1-EXP(-LN(2)/2))/(LN(2)/2)*BL152*BO152*VLOOKUP('Données projet'!$B$11,Paramètres!$A$1:$I$89,3,0)*0.475*44/12</f>
        <v>3.3006542785218593E-21</v>
      </c>
      <c r="BS152" s="22">
        <f t="shared" si="117"/>
        <v>21.332394069687545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8.7559999999999949</v>
      </c>
      <c r="BY152" s="12">
        <f>IF('Données projet'!$A$114&gt;35,BY151+BX152-CG151,IF(A152&lt;'Données projet'!$A$114,$BV$205^A152,IF(A152='Données projet'!$A$114,'Données projet'!$B$114,BY151+BX152-CG151)))</f>
        <v>502.71000000000026</v>
      </c>
      <c r="BZ152" s="13">
        <f>BY152*VLOOKUP('Données projet'!$B$12,Paramètres!$A$1:$I$89,3,0)*VLOOKUP('Données projet'!$B$12,Paramètres!$A$1:$I$89,5,0)</f>
        <v>572.4861480000003</v>
      </c>
      <c r="CA152" s="13">
        <f t="shared" si="147"/>
        <v>125.98336488388811</v>
      </c>
      <c r="CB152" s="20">
        <f t="shared" si="118"/>
        <v>1216.5010682727723</v>
      </c>
      <c r="CC152" s="59">
        <f t="shared" si="119"/>
        <v>1505.7798780500814</v>
      </c>
      <c r="CD152" s="59">
        <f ca="1">AVERAGE(OFFSET($CC$3,0,0,'Données projet'!$E$12+1,1))-AVERAGE(OFFSET($H$3,0,0,'Données projet'!$E$12+1,1))</f>
        <v>797.57191672067393</v>
      </c>
      <c r="CE152" s="59">
        <f t="shared" si="148"/>
        <v>238.59056544987126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136.45048525118563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136.45048525118563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>
        <f>CT152*VLOOKUP('Données projet'!$B$13,Paramètres!$A$1:$I$89,3,0)*VLOOKUP('Données projet'!$B$13,Paramètres!$A$1:$I$89,5,0)</f>
        <v>0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188.98184340090461</v>
      </c>
      <c r="CZ152" s="59">
        <f t="shared" si="150"/>
        <v>450.74604661797798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5.0371392443894702</v>
      </c>
      <c r="DH152" s="21">
        <f>EXP(-LN(2)/2)*DH151+(1-EXP(-LN(2)/2))/(LN(2)/2)*DB152*DE152*VLOOKUP('Données projet'!$B$13,Paramètres!$A$1:$I$89,3,0)*0.475*44/12</f>
        <v>5.5151958243676612E-20</v>
      </c>
      <c r="DI152" s="22">
        <f t="shared" si="123"/>
        <v>5.0371392443894702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369.00000000000011</v>
      </c>
      <c r="DP152" s="17">
        <f>DO152*VLOOKUP('Données projet'!$B$14,Paramètres!$A$1:$I$89,3,0)*VLOOKUP('Données projet'!$B$14,Paramètres!$A$1:$I$89,5,0)</f>
        <v>333.87120000000004</v>
      </c>
      <c r="DQ152" s="13">
        <f t="shared" si="151"/>
        <v>78.232360111376309</v>
      </c>
      <c r="DR152" s="20">
        <f t="shared" si="124"/>
        <v>717.74703386064709</v>
      </c>
      <c r="DS152" s="59">
        <f t="shared" si="125"/>
        <v>1007.0258436379563</v>
      </c>
      <c r="DT152" s="59">
        <f ca="1">AVERAGE(OFFSET($DS$3,0,0,'Données projet'!$E$14+1,1))-AVERAGE(OFFSET($H$3,0,0,'Données projet'!$E$14+1,1))</f>
        <v>442.34161202733173</v>
      </c>
      <c r="DU152" s="59">
        <f t="shared" si="152"/>
        <v>622.90413492324399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1.001432927844224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1.001432927844224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8.7559999999999949</v>
      </c>
      <c r="EJ152" s="12">
        <f>IF('Données projet'!$A$192&gt;35,EJ151+EI152-ER151,IF(A152&lt;'Données projet'!$A$192,$EG$205^A152,IF(A152='Données projet'!$A$192,'Données projet'!$B$192,EJ151+EI152-ER151)))</f>
        <v>502.71000000000026</v>
      </c>
      <c r="EK152" s="17">
        <f>EJ152*VLOOKUP('Données projet'!$B$15,Paramètres!$A$1:$I$89,3,0)*VLOOKUP('Données projet'!$B$15,Paramètres!$A$1:$I$89,5,0)</f>
        <v>548.95932000000028</v>
      </c>
      <c r="EL152" s="13">
        <f t="shared" si="153"/>
        <v>121.39750265227576</v>
      </c>
      <c r="EM152" s="20">
        <f t="shared" si="127"/>
        <v>1167.5381327860473</v>
      </c>
      <c r="EN152" s="59">
        <f t="shared" si="128"/>
        <v>1456.8169425633564</v>
      </c>
      <c r="EO152" s="59">
        <f ca="1">AVERAGE(OFFSET($EN$3,0,0,'Données projet'!$E$15+1,1))-AVERAGE(OFFSET($H$3,0,0,'Données projet'!$E$15+1,1))</f>
        <v>767.9449852393318</v>
      </c>
      <c r="EP152" s="59">
        <f t="shared" si="154"/>
        <v>230.95605490295961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130.84293106278076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130.84293106278076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68.894220848357037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3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</v>
      </c>
      <c r="H153" s="66">
        <f t="shared" si="110"/>
        <v>212.66666666666666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188.98184340090461</v>
      </c>
      <c r="T153" s="59">
        <f t="shared" si="142"/>
        <v>450.74604661797798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673.13</v>
      </c>
      <c r="AG153" s="12">
        <f>VLOOKUP(A153,'Données projet'!$A$61:$I$81,9,0)</f>
        <v>10.201000000000011</v>
      </c>
      <c r="AH153" s="12">
        <f t="array" ref="AH153">INDEX(AG:AG,MIN(IF(ISNUMBER(AG153:AG349),ROW(AG153:AG349),"")))</f>
        <v>10.201000000000011</v>
      </c>
      <c r="AI153" s="13">
        <f>IF('Données projet'!$A$62&gt;35,AI152+AH153-AQ152,IF(A153&lt;'Données projet'!$A$62,$AF$205^A153,IF(A153='Données projet'!$A$62,'Données projet'!$B$62,AI152+AH153-AQ152)))</f>
        <v>673.12999999999988</v>
      </c>
      <c r="AJ153" s="13">
        <f>AI153*VLOOKUP('Données projet'!$B$10,Paramètres!$A$1:$I$89,3,0)*VLOOKUP('Données projet'!$B$10,Paramètres!$A$1:$I$89,5,0)</f>
        <v>609.04802399999994</v>
      </c>
      <c r="AK153" s="13">
        <f t="shared" si="143"/>
        <v>133.06693825647992</v>
      </c>
      <c r="AL153" s="20">
        <f t="shared" si="112"/>
        <v>1292.5168925967025</v>
      </c>
      <c r="AM153" s="59">
        <f t="shared" si="113"/>
        <v>1581.866039293152</v>
      </c>
      <c r="AN153" s="59">
        <f ca="1">AVERAGE(OFFSET($AM$3,0,0,'Données projet'!$E$10+1,1))-AVERAGE(OFFSET($H$3,0,0,'Données projet'!$E$10+1,1))</f>
        <v>725.60981534362895</v>
      </c>
      <c r="AO153" s="59">
        <f t="shared" si="144"/>
        <v>265.16078167969272</v>
      </c>
      <c r="AP153" s="15">
        <f>IF(ISNA(VLOOKUP(A153,'Données projet'!$A$61:$I$81,3,0)),0,VLOOKUP(A153,'Données projet'!$A$61:$I$81,3,0))</f>
        <v>14</v>
      </c>
      <c r="AQ153" s="15">
        <f>IF(ISNA(VLOOKUP(A153,'Données projet'!$A$61:$I$81,4,0)),0,VLOOKUP(A153,'Données projet'!$A$61:$I$81,4,0))</f>
        <v>234.51</v>
      </c>
      <c r="AR153" s="16">
        <f>IF(ISNA(VLOOKUP(A153,'Données projet'!$A$61:$I$81,5,0)),0%,VLOOKUP(A153,'Données projet'!$A$61:$I$81,5,0)*VLOOKUP('Données projet'!$B$10,Paramètres!$A$1:$I$89,7,0))</f>
        <v>0.43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225.32391253381184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225.32391253381184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149.9</v>
      </c>
      <c r="BB153" s="12">
        <f>VLOOKUP(A153,'Données projet'!$A$87:$I$107,9,0)</f>
        <v>1.1900000000000006</v>
      </c>
      <c r="BC153" s="12">
        <f t="array" ref="BC153">INDEX(BB:BB,MIN(IF(ISNUMBER(BB153:BB349),ROW(BB153:BB349),"")))</f>
        <v>1.1900000000000006</v>
      </c>
      <c r="BD153" s="12">
        <f>IF('Données projet'!$A$88&gt;35,BD152+BC153-BL152,IF(A153&lt;'Données projet'!$A$88,$BA$205^A153,IF(A153='Données projet'!$A$88,'Données projet'!$B$88,BD152+BC153-BL152)))</f>
        <v>149.89999999999998</v>
      </c>
      <c r="BE153" s="13">
        <f>BD153*VLOOKUP('Données projet'!$B$11,Paramètres!$A$1:$I$89,3,0)*VLOOKUP('Données projet'!$B$11,Paramètres!$A$1:$I$89,5,0)</f>
        <v>172.68479999999997</v>
      </c>
      <c r="BF153" s="13">
        <f t="shared" si="145"/>
        <v>43.690780005214812</v>
      </c>
      <c r="BG153" s="20">
        <f t="shared" si="115"/>
        <v>376.85413517574904</v>
      </c>
      <c r="BH153" s="59">
        <f t="shared" si="116"/>
        <v>666.20328187219854</v>
      </c>
      <c r="BI153" s="59">
        <f ca="1">AVERAGE(OFFSET($BH$3,0,0,'Données projet'!$E$11+1,1))-AVERAGE(OFFSET($H$3,0,0,'Données projet'!$E$11+1,1))</f>
        <v>332.93090933713466</v>
      </c>
      <c r="BJ153" s="59">
        <f t="shared" si="146"/>
        <v>251.83579649532973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20.662431408703469</v>
      </c>
      <c r="BQ153" s="21">
        <f>EXP(-LN(2)/25)*BQ152+(1-EXP(-LN(2)/25))/(LN(2)/25)*Calculateur!BL153*Calculateur!BN153*VLOOKUP('Données projet'!$B$11,Paramètres!$A$1:$I$89,3,0)*0.475*44/12</f>
        <v>0.24966182887523566</v>
      </c>
      <c r="BR153" s="21">
        <f>EXP(-LN(2)/2)*BR152+(1-EXP(-LN(2)/2))/(LN(2)/2)*BL153*BO153*VLOOKUP('Données projet'!$B$11,Paramètres!$A$1:$I$89,3,0)*0.475*44/12</f>
        <v>2.3339150226951984E-21</v>
      </c>
      <c r="BS153" s="22">
        <f t="shared" si="117"/>
        <v>20.912093237578706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8.7559999999999949</v>
      </c>
      <c r="BY153" s="12">
        <f>IF('Données projet'!$A$114&gt;35,BY152+BX153-CG152,IF(A153&lt;'Données projet'!$A$114,$BV$205^A153,IF(A153='Données projet'!$A$114,'Données projet'!$B$114,BY152+BX153-CG152)))</f>
        <v>511.46600000000024</v>
      </c>
      <c r="BZ153" s="13">
        <f>BY153*VLOOKUP('Données projet'!$B$12,Paramètres!$A$1:$I$89,3,0)*VLOOKUP('Données projet'!$B$12,Paramètres!$A$1:$I$89,5,0)</f>
        <v>582.45748080000033</v>
      </c>
      <c r="CA153" s="13">
        <f t="shared" si="147"/>
        <v>127.9203197467576</v>
      </c>
      <c r="CB153" s="20">
        <f t="shared" si="118"/>
        <v>1237.24133595227</v>
      </c>
      <c r="CC153" s="59">
        <f t="shared" si="119"/>
        <v>1526.5904826487194</v>
      </c>
      <c r="CD153" s="59">
        <f ca="1">AVERAGE(OFFSET($CC$3,0,0,'Données projet'!$E$12+1,1))-AVERAGE(OFFSET($H$3,0,0,'Données projet'!$E$12+1,1))</f>
        <v>797.57191672067393</v>
      </c>
      <c r="CE153" s="59">
        <f t="shared" si="148"/>
        <v>238.59056544987126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133.77477446198793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133.77477446198793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>
        <f>CT153*VLOOKUP('Données projet'!$B$13,Paramètres!$A$1:$I$89,3,0)*VLOOKUP('Données projet'!$B$13,Paramètres!$A$1:$I$89,5,0)</f>
        <v>0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188.98184340090461</v>
      </c>
      <c r="CZ153" s="59">
        <f t="shared" si="150"/>
        <v>450.74604661797798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4.8993984068599996</v>
      </c>
      <c r="DH153" s="21">
        <f>EXP(-LN(2)/2)*DH152+(1-EXP(-LN(2)/2))/(LN(2)/2)*DB153*DE153*VLOOKUP('Données projet'!$B$13,Paramètres!$A$1:$I$89,3,0)*0.475*44/12</f>
        <v>3.8998323669821044E-20</v>
      </c>
      <c r="DI153" s="22">
        <f t="shared" si="123"/>
        <v>4.8993984068599996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369.00000000000011</v>
      </c>
      <c r="DP153" s="17">
        <f>DO153*VLOOKUP('Données projet'!$B$14,Paramètres!$A$1:$I$89,3,0)*VLOOKUP('Données projet'!$B$14,Paramètres!$A$1:$I$89,5,0)</f>
        <v>333.87120000000004</v>
      </c>
      <c r="DQ153" s="13">
        <f t="shared" si="151"/>
        <v>78.232360111376309</v>
      </c>
      <c r="DR153" s="20">
        <f t="shared" si="124"/>
        <v>717.74703386064709</v>
      </c>
      <c r="DS153" s="59">
        <f t="shared" si="125"/>
        <v>1007.0961805570967</v>
      </c>
      <c r="DT153" s="59">
        <f ca="1">AVERAGE(OFFSET($DS$3,0,0,'Données projet'!$E$14+1,1))-AVERAGE(OFFSET($H$3,0,0,'Données projet'!$E$14+1,1))</f>
        <v>442.34161202733173</v>
      </c>
      <c r="DU153" s="59">
        <f t="shared" si="152"/>
        <v>622.90413492324399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0.98179543894297194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0.98179543894297194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8.7559999999999949</v>
      </c>
      <c r="EJ153" s="12">
        <f>IF('Données projet'!$A$192&gt;35,EJ152+EI153-ER152,IF(A153&lt;'Données projet'!$A$192,$EG$205^A153,IF(A153='Données projet'!$A$192,'Données projet'!$B$192,EJ152+EI153-ER152)))</f>
        <v>511.46600000000024</v>
      </c>
      <c r="EK153" s="17">
        <f>EJ153*VLOOKUP('Données projet'!$B$15,Paramètres!$A$1:$I$89,3,0)*VLOOKUP('Données projet'!$B$15,Paramètres!$A$1:$I$89,5,0)</f>
        <v>558.52087200000017</v>
      </c>
      <c r="EL153" s="13">
        <f t="shared" si="153"/>
        <v>123.26395131650432</v>
      </c>
      <c r="EM153" s="20">
        <f t="shared" si="127"/>
        <v>1187.4419006095786</v>
      </c>
      <c r="EN153" s="59">
        <f t="shared" si="128"/>
        <v>1476.7910473060281</v>
      </c>
      <c r="EO153" s="59">
        <f ca="1">AVERAGE(OFFSET($EN$3,0,0,'Données projet'!$E$15+1,1))-AVERAGE(OFFSET($H$3,0,0,'Données projet'!$E$15+1,1))</f>
        <v>767.9449852393318</v>
      </c>
      <c r="EP153" s="59">
        <f t="shared" si="154"/>
        <v>230.95605490295961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128.27718099094736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128.27718099094736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68.913403644486237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3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</v>
      </c>
      <c r="H154" s="66">
        <f t="shared" si="110"/>
        <v>212.66666666666666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188.98184340090461</v>
      </c>
      <c r="T154" s="59">
        <f t="shared" si="142"/>
        <v>450.74604661797798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-1.216666666666659</v>
      </c>
      <c r="AI154" s="13">
        <f>IF('Données projet'!$A$62&gt;35,AI153+AH154-AQ153,IF(A154&lt;'Données projet'!$A$62,$AF$205^A154,IF(A154='Données projet'!$A$62,'Données projet'!$B$62,AI153+AH154-AQ153)))</f>
        <v>437.40333333333319</v>
      </c>
      <c r="AJ154" s="13">
        <f>AI154*VLOOKUP('Données projet'!$B$10,Paramètres!$A$1:$I$89,3,0)*VLOOKUP('Données projet'!$B$10,Paramètres!$A$1:$I$89,5,0)</f>
        <v>395.76253599999984</v>
      </c>
      <c r="AK154" s="13">
        <f t="shared" ref="AK154:AK203" si="164">EXP(-1.0587+0.8836*LN(AJ154)+0.284)</f>
        <v>90.917052658600085</v>
      </c>
      <c r="AL154" s="20">
        <f t="shared" ref="AL154:AL203" si="165">(AJ154+AK154)*0.475*44/12</f>
        <v>847.63361691372813</v>
      </c>
      <c r="AM154" s="59">
        <f t="shared" si="113"/>
        <v>1137.0518803410207</v>
      </c>
      <c r="AN154" s="59">
        <f ca="1">AVERAGE(OFFSET($AM$3,0,0,'Données projet'!$E$10+1,1))-AVERAGE(OFFSET($H$3,0,0,'Données projet'!$E$10+1,1))</f>
        <v>725.60981534362895</v>
      </c>
      <c r="AO154" s="59">
        <f t="shared" si="144"/>
        <v>265.16078167969272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220.90544804303994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220.90544804303994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149.89999999999998</v>
      </c>
      <c r="BE154" s="13">
        <f>BD154*VLOOKUP('Données projet'!$B$11,Paramètres!$A$1:$I$89,3,0)*VLOOKUP('Données projet'!$B$11,Paramètres!$A$1:$I$89,5,0)</f>
        <v>172.68479999999997</v>
      </c>
      <c r="BF154" s="13">
        <f t="shared" ref="BF154:BF203" si="167">EXP(-1.0587+0.8836*LN(BE154)+0.284)</f>
        <v>43.690780005214812</v>
      </c>
      <c r="BG154" s="20">
        <f t="shared" ref="BG154:BG203" si="168">(BE154+BF154)*0.475*44/12</f>
        <v>376.85413517574904</v>
      </c>
      <c r="BH154" s="59">
        <f t="shared" si="116"/>
        <v>666.27239860304167</v>
      </c>
      <c r="BI154" s="59">
        <f ca="1">AVERAGE(OFFSET($BH$3,0,0,'Données projet'!$E$11+1,1))-AVERAGE(OFFSET($H$3,0,0,'Données projet'!$E$11+1,1))</f>
        <v>332.93090933713466</v>
      </c>
      <c r="BJ154" s="59">
        <f t="shared" si="146"/>
        <v>251.83579649532973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20.257253731617528</v>
      </c>
      <c r="BQ154" s="21">
        <f>EXP(-LN(2)/25)*BQ153+(1-EXP(-LN(2)/25))/(LN(2)/25)*Calculateur!BL154*Calculateur!BN154*VLOOKUP('Données projet'!$B$11,Paramètres!$A$1:$I$89,3,0)*0.475*44/12</f>
        <v>0.24283481303549737</v>
      </c>
      <c r="BR154" s="21">
        <f>EXP(-LN(2)/2)*BR153+(1-EXP(-LN(2)/2))/(LN(2)/2)*BL154*BO154*VLOOKUP('Données projet'!$B$11,Paramètres!$A$1:$I$89,3,0)*0.475*44/12</f>
        <v>1.6503271392609298E-21</v>
      </c>
      <c r="BS154" s="22">
        <f t="shared" ref="BS154:BS203" si="169">SUM(BP154:BR154)</f>
        <v>20.500088544653025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8.7559999999999949</v>
      </c>
      <c r="BY154" s="12">
        <f>IF('Données projet'!$A$114&gt;35,BY153+BX154-CG153,IF(A154&lt;'Données projet'!$A$114,$BV$205^A154,IF(A154='Données projet'!$A$114,'Données projet'!$B$114,BY153+BX154-CG153)))</f>
        <v>520.22200000000021</v>
      </c>
      <c r="BZ154" s="13">
        <f>BY154*VLOOKUP('Données projet'!$B$12,Paramètres!$A$1:$I$89,3,0)*VLOOKUP('Données projet'!$B$12,Paramètres!$A$1:$I$89,5,0)</f>
        <v>592.42881360000024</v>
      </c>
      <c r="CA154" s="13">
        <f t="shared" ref="CA154:CA203" si="170">EXP(-1.0587+0.8836*LN(BZ154)+0.284)</f>
        <v>129.85341848328247</v>
      </c>
      <c r="CB154" s="20">
        <f t="shared" ref="CB154:CB203" si="171">(BZ154+CA154)*0.475*44/12</f>
        <v>1257.9748875450507</v>
      </c>
      <c r="CC154" s="59">
        <f t="shared" si="119"/>
        <v>1547.3931509723434</v>
      </c>
      <c r="CD154" s="59">
        <f ca="1">AVERAGE(OFFSET($CC$3,0,0,'Données projet'!$E$12+1,1))-AVERAGE(OFFSET($H$3,0,0,'Données projet'!$E$12+1,1))</f>
        <v>797.57191672067393</v>
      </c>
      <c r="CE154" s="59">
        <f t="shared" si="148"/>
        <v>238.59056544987126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131.15153272934398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131.15153272934398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>
        <f>CT154*VLOOKUP('Données projet'!$B$13,Paramètres!$A$1:$I$89,3,0)*VLOOKUP('Données projet'!$B$13,Paramètres!$A$1:$I$89,5,0)</f>
        <v>0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188.98184340090461</v>
      </c>
      <c r="CZ154" s="59">
        <f t="shared" si="150"/>
        <v>450.74604661797798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4.765424099776248</v>
      </c>
      <c r="DH154" s="21">
        <f>EXP(-LN(2)/2)*DH153+(1-EXP(-LN(2)/2))/(LN(2)/2)*DB154*DE154*VLOOKUP('Données projet'!$B$13,Paramètres!$A$1:$I$89,3,0)*0.475*44/12</f>
        <v>2.7575979121838306E-20</v>
      </c>
      <c r="DI154" s="22">
        <f t="shared" ref="DI154:DI203" si="175">SUM(DF154:DH154)</f>
        <v>4.765424099776248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369.00000000000011</v>
      </c>
      <c r="DP154" s="17">
        <f>DO154*VLOOKUP('Données projet'!$B$14,Paramètres!$A$1:$I$89,3,0)*VLOOKUP('Données projet'!$B$14,Paramètres!$A$1:$I$89,5,0)</f>
        <v>333.87120000000004</v>
      </c>
      <c r="DQ154" s="13">
        <f t="shared" ref="DQ154:DQ203" si="176">EXP(-1.0587+0.8836*LN(DP154)+0.284)</f>
        <v>78.232360111376309</v>
      </c>
      <c r="DR154" s="20">
        <f t="shared" ref="DR154:DR203" si="177">(DP154+DQ154)*0.475*44/12</f>
        <v>717.74703386064709</v>
      </c>
      <c r="DS154" s="59">
        <f t="shared" si="125"/>
        <v>1007.1652972879397</v>
      </c>
      <c r="DT154" s="59">
        <f ca="1">AVERAGE(OFFSET($DS$3,0,0,'Données projet'!$E$14+1,1))-AVERAGE(OFFSET($H$3,0,0,'Données projet'!$E$14+1,1))</f>
        <v>442.34161202733173</v>
      </c>
      <c r="DU154" s="59">
        <f t="shared" si="152"/>
        <v>622.90413492324399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0.9625430292213879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0.9625430292213879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8.7559999999999949</v>
      </c>
      <c r="EJ154" s="12">
        <f>IF('Données projet'!$A$192&gt;35,EJ153+EI154-ER153,IF(A154&lt;'Données projet'!$A$192,$EG$205^A154,IF(A154='Données projet'!$A$192,'Données projet'!$B$192,EJ153+EI154-ER153)))</f>
        <v>520.22200000000021</v>
      </c>
      <c r="EK154" s="17">
        <f>EJ154*VLOOKUP('Données projet'!$B$15,Paramètres!$A$1:$I$89,3,0)*VLOOKUP('Données projet'!$B$15,Paramètres!$A$1:$I$89,5,0)</f>
        <v>568.08242400000017</v>
      </c>
      <c r="EL154" s="13">
        <f t="shared" ref="EL154:EL203" si="179">EXP(-1.0587+0.8836*LN(EK154)+0.284)</f>
        <v>125.12668421946067</v>
      </c>
      <c r="EM154" s="20">
        <f t="shared" ref="EM154:EM203" si="180">(EK154+EL154)*0.475*44/12</f>
        <v>1207.3391968155609</v>
      </c>
      <c r="EN154" s="59">
        <f t="shared" si="128"/>
        <v>1496.7574602428535</v>
      </c>
      <c r="EO154" s="59">
        <f ca="1">AVERAGE(OFFSET($EN$3,0,0,'Données projet'!$E$15+1,1))-AVERAGE(OFFSET($H$3,0,0,'Données projet'!$E$15+1,1))</f>
        <v>767.9449852393318</v>
      </c>
      <c r="EP154" s="59">
        <f t="shared" si="154"/>
        <v>230.95605490295961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125.76174371306959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125.76174371306959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68.932253661988881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3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11</v>
      </c>
      <c r="H155" s="66">
        <f t="shared" si="110"/>
        <v>212.66666666666666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188.98184340090461</v>
      </c>
      <c r="T155" s="59">
        <f t="shared" si="142"/>
        <v>450.74604661797798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-1.216666666666659</v>
      </c>
      <c r="AI155" s="13">
        <f>IF('Données projet'!$A$62&gt;35,AI154+AH155-AQ154,IF(A155&lt;'Données projet'!$A$62,$AF$205^A155,IF(A155='Données projet'!$A$62,'Données projet'!$B$62,AI154+AH155-AQ154)))</f>
        <v>436.18666666666655</v>
      </c>
      <c r="AJ155" s="13">
        <f>AI155*VLOOKUP('Données projet'!$B$10,Paramètres!$A$1:$I$89,3,0)*VLOOKUP('Données projet'!$B$10,Paramètres!$A$1:$I$89,5,0)</f>
        <v>394.66169599999989</v>
      </c>
      <c r="AK155" s="13">
        <f t="shared" si="164"/>
        <v>90.693561189231957</v>
      </c>
      <c r="AL155" s="20">
        <f t="shared" si="165"/>
        <v>845.32707293791202</v>
      </c>
      <c r="AM155" s="59">
        <f t="shared" si="113"/>
        <v>1134.8132540752893</v>
      </c>
      <c r="AN155" s="59">
        <f ca="1">AVERAGE(OFFSET($AM$3,0,0,'Données projet'!$E$10+1,1))-AVERAGE(OFFSET($H$3,0,0,'Données projet'!$E$10+1,1))</f>
        <v>725.60981534362895</v>
      </c>
      <c r="AO155" s="59">
        <f t="shared" si="144"/>
        <v>265.16078167969272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216.57362694593485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216.57362694593485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149.89999999999998</v>
      </c>
      <c r="BE155" s="13">
        <f>BD155*VLOOKUP('Données projet'!$B$11,Paramètres!$A$1:$I$89,3,0)*VLOOKUP('Données projet'!$B$11,Paramètres!$A$1:$I$89,5,0)</f>
        <v>172.68479999999997</v>
      </c>
      <c r="BF155" s="13">
        <f t="shared" si="167"/>
        <v>43.690780005214812</v>
      </c>
      <c r="BG155" s="20">
        <f t="shared" si="168"/>
        <v>376.85413517574904</v>
      </c>
      <c r="BH155" s="59">
        <f t="shared" si="116"/>
        <v>666.34031631312632</v>
      </c>
      <c r="BI155" s="59">
        <f ca="1">AVERAGE(OFFSET($BH$3,0,0,'Données projet'!$E$11+1,1))-AVERAGE(OFFSET($H$3,0,0,'Données projet'!$E$11+1,1))</f>
        <v>332.93090933713466</v>
      </c>
      <c r="BJ155" s="59">
        <f t="shared" si="146"/>
        <v>251.83579649532973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19.860021341645261</v>
      </c>
      <c r="BQ155" s="21">
        <f>EXP(-LN(2)/25)*BQ154+(1-EXP(-LN(2)/25))/(LN(2)/25)*Calculateur!BL155*Calculateur!BN155*VLOOKUP('Données projet'!$B$11,Paramètres!$A$1:$I$89,3,0)*0.475*44/12</f>
        <v>0.23619448230291387</v>
      </c>
      <c r="BR155" s="21">
        <f>EXP(-LN(2)/2)*BR154+(1-EXP(-LN(2)/2))/(LN(2)/2)*BL155*BO155*VLOOKUP('Données projet'!$B$11,Paramètres!$A$1:$I$89,3,0)*0.475*44/12</f>
        <v>1.1669575113475994E-21</v>
      </c>
      <c r="BS155" s="22">
        <f t="shared" si="169"/>
        <v>20.096215823948175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8.7559999999999949</v>
      </c>
      <c r="BY155" s="12">
        <f>IF('Données projet'!$A$114&gt;35,BY154+BX155-CG154,IF(A155&lt;'Données projet'!$A$114,$BV$205^A155,IF(A155='Données projet'!$A$114,'Données projet'!$B$114,BY154+BX155-CG154)))</f>
        <v>528.97800000000018</v>
      </c>
      <c r="BZ155" s="13">
        <f>BY155*VLOOKUP('Données projet'!$B$12,Paramètres!$A$1:$I$89,3,0)*VLOOKUP('Données projet'!$B$12,Paramètres!$A$1:$I$89,5,0)</f>
        <v>602.40014640000027</v>
      </c>
      <c r="CA155" s="13">
        <f t="shared" si="170"/>
        <v>131.78273348771552</v>
      </c>
      <c r="CB155" s="20">
        <f t="shared" si="171"/>
        <v>1278.7018491377714</v>
      </c>
      <c r="CC155" s="59">
        <f t="shared" si="119"/>
        <v>1568.1880302751488</v>
      </c>
      <c r="CD155" s="59">
        <f ca="1">AVERAGE(OFFSET($CC$3,0,0,'Données projet'!$E$12+1,1))-AVERAGE(OFFSET($H$3,0,0,'Données projet'!$E$12+1,1))</f>
        <v>797.57191672067393</v>
      </c>
      <c r="CE155" s="59">
        <f t="shared" si="148"/>
        <v>238.59056544987126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128.5797311670577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128.5797311670577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>
        <f>CT155*VLOOKUP('Données projet'!$B$13,Paramètres!$A$1:$I$89,3,0)*VLOOKUP('Données projet'!$B$13,Paramètres!$A$1:$I$89,5,0)</f>
        <v>0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188.98184340090461</v>
      </c>
      <c r="CZ155" s="59">
        <f t="shared" si="150"/>
        <v>450.74604661797798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4.6351133271651044</v>
      </c>
      <c r="DH155" s="21">
        <f>EXP(-LN(2)/2)*DH154+(1-EXP(-LN(2)/2))/(LN(2)/2)*DB155*DE155*VLOOKUP('Données projet'!$B$13,Paramètres!$A$1:$I$89,3,0)*0.475*44/12</f>
        <v>1.9499161834910522E-20</v>
      </c>
      <c r="DI155" s="22">
        <f t="shared" si="175"/>
        <v>4.6351133271651044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369.00000000000011</v>
      </c>
      <c r="DP155" s="17">
        <f>DO155*VLOOKUP('Données projet'!$B$14,Paramètres!$A$1:$I$89,3,0)*VLOOKUP('Données projet'!$B$14,Paramètres!$A$1:$I$89,5,0)</f>
        <v>333.87120000000004</v>
      </c>
      <c r="DQ155" s="13">
        <f t="shared" si="176"/>
        <v>78.232360111376309</v>
      </c>
      <c r="DR155" s="20">
        <f t="shared" si="177"/>
        <v>717.74703386064709</v>
      </c>
      <c r="DS155" s="59">
        <f t="shared" si="125"/>
        <v>1007.2332149980243</v>
      </c>
      <c r="DT155" s="59">
        <f ca="1">AVERAGE(OFFSET($DS$3,0,0,'Données projet'!$E$14+1,1))-AVERAGE(OFFSET($H$3,0,0,'Données projet'!$E$14+1,1))</f>
        <v>442.34161202733173</v>
      </c>
      <c r="DU155" s="59">
        <f t="shared" si="152"/>
        <v>622.90413492324399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0.94366814751163364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0.94366814751163364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8.7559999999999949</v>
      </c>
      <c r="EJ155" s="12">
        <f>IF('Données projet'!$A$192&gt;35,EJ154+EI155-ER154,IF(A155&lt;'Données projet'!$A$192,$EG$205^A155,IF(A155='Données projet'!$A$192,'Données projet'!$B$192,EJ154+EI155-ER154)))</f>
        <v>528.97800000000018</v>
      </c>
      <c r="EK155" s="17">
        <f>EJ155*VLOOKUP('Données projet'!$B$15,Paramètres!$A$1:$I$89,3,0)*VLOOKUP('Données projet'!$B$15,Paramètres!$A$1:$I$89,5,0)</f>
        <v>577.64397600000018</v>
      </c>
      <c r="EL155" s="13">
        <f t="shared" si="179"/>
        <v>126.98577112020845</v>
      </c>
      <c r="EM155" s="20">
        <f t="shared" si="180"/>
        <v>1227.2301429010301</v>
      </c>
      <c r="EN155" s="59">
        <f t="shared" si="128"/>
        <v>1516.7163240384075</v>
      </c>
      <c r="EO155" s="59">
        <f ca="1">AVERAGE(OFFSET($EN$3,0,0,'Données projet'!$E$15+1,1))-AVERAGE(OFFSET($H$3,0,0,'Données projet'!$E$15+1,1))</f>
        <v>767.9449852393318</v>
      </c>
      <c r="EP155" s="59">
        <f t="shared" si="154"/>
        <v>230.95605490295961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123.29563262594577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123.29563262594577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68.950776673830177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3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11</v>
      </c>
      <c r="H156" s="66">
        <f t="shared" si="110"/>
        <v>212.66666666666666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188.98184340090461</v>
      </c>
      <c r="T156" s="59">
        <f t="shared" si="142"/>
        <v>450.74604661797798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434.97</v>
      </c>
      <c r="AG156" s="12">
        <f>VLOOKUP(A156,'Données projet'!$A$61:$I$81,9,0)</f>
        <v>-1.216666666666659</v>
      </c>
      <c r="AH156" s="12">
        <f t="array" ref="AH156">INDEX(AG:AG,MIN(IF(ISNUMBER(AG156:AG352),ROW(AG156:AG352),"")))</f>
        <v>-1.216666666666659</v>
      </c>
      <c r="AI156" s="13">
        <f>IF('Données projet'!$A$62&gt;35,AI155+AH156-AQ155,IF(A156&lt;'Données projet'!$A$62,$AF$205^A156,IF(A156='Données projet'!$A$62,'Données projet'!$B$62,AI155+AH156-AQ155)))</f>
        <v>434.96999999999991</v>
      </c>
      <c r="AJ156" s="13">
        <f>AI156*VLOOKUP('Données projet'!$B$10,Paramètres!$A$1:$I$89,3,0)*VLOOKUP('Données projet'!$B$10,Paramètres!$A$1:$I$89,5,0)</f>
        <v>393.56085599999994</v>
      </c>
      <c r="AK156" s="13">
        <f t="shared" si="164"/>
        <v>90.469997145329941</v>
      </c>
      <c r="AL156" s="20">
        <f t="shared" si="165"/>
        <v>843.02040256144949</v>
      </c>
      <c r="AM156" s="59">
        <f t="shared" si="113"/>
        <v>1132.5733231884828</v>
      </c>
      <c r="AN156" s="59">
        <f ca="1">AVERAGE(OFFSET($AM$3,0,0,'Données projet'!$E$10+1,1))-AVERAGE(OFFSET($H$3,0,0,'Données projet'!$E$10+1,1))</f>
        <v>725.60981534362895</v>
      </c>
      <c r="AO156" s="59">
        <f t="shared" si="144"/>
        <v>265.16078167969272</v>
      </c>
      <c r="AP156" s="15">
        <f>IF(ISNA(VLOOKUP(A156,'Données projet'!$A$61:$I$81,3,0)),0,VLOOKUP(A156,'Données projet'!$A$61:$I$81,3,0))</f>
        <v>15</v>
      </c>
      <c r="AQ156" s="15">
        <f>IF(ISNA(VLOOKUP(A156,'Données projet'!$A$61:$I$81,4,0)),0,VLOOKUP(A156,'Données projet'!$A$61:$I$81,4,0))</f>
        <v>141.22</v>
      </c>
      <c r="AR156" s="16">
        <f>IF(ISNA(VLOOKUP(A156,'Données projet'!$A$61:$I$81,5,0)),0%,VLOOKUP(A156,'Données projet'!$A$61:$I$81,5,0)*VLOOKUP('Données projet'!$B$10,Paramètres!$A$1:$I$89,7,0))</f>
        <v>0.43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273.06529255020507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273.06529255020507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149.89999999999998</v>
      </c>
      <c r="BE156" s="13">
        <f>BD156*VLOOKUP('Données projet'!$B$11,Paramètres!$A$1:$I$89,3,0)*VLOOKUP('Données projet'!$B$11,Paramètres!$A$1:$I$89,5,0)</f>
        <v>172.68479999999997</v>
      </c>
      <c r="BF156" s="13">
        <f t="shared" si="167"/>
        <v>43.690780005214812</v>
      </c>
      <c r="BG156" s="20">
        <f t="shared" si="168"/>
        <v>376.85413517574904</v>
      </c>
      <c r="BH156" s="59">
        <f t="shared" si="116"/>
        <v>666.40705580278234</v>
      </c>
      <c r="BI156" s="59">
        <f ca="1">AVERAGE(OFFSET($BH$3,0,0,'Données projet'!$E$11+1,1))-AVERAGE(OFFSET($H$3,0,0,'Données projet'!$E$11+1,1))</f>
        <v>332.93090933713466</v>
      </c>
      <c r="BJ156" s="59">
        <f t="shared" si="146"/>
        <v>251.83579649532973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19.470578436552515</v>
      </c>
      <c r="BQ156" s="21">
        <f>EXP(-LN(2)/25)*BQ155+(1-EXP(-LN(2)/25))/(LN(2)/25)*Calculateur!BL156*Calculateur!BN156*VLOOKUP('Données projet'!$B$11,Paramètres!$A$1:$I$89,3,0)*0.475*44/12</f>
        <v>0.22973573176341269</v>
      </c>
      <c r="BR156" s="21">
        <f>EXP(-LN(2)/2)*BR155+(1-EXP(-LN(2)/2))/(LN(2)/2)*BL156*BO156*VLOOKUP('Données projet'!$B$11,Paramètres!$A$1:$I$89,3,0)*0.475*44/12</f>
        <v>8.251635696304651E-22</v>
      </c>
      <c r="BS156" s="22">
        <f t="shared" si="169"/>
        <v>19.700314168315927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8.7559999999999949</v>
      </c>
      <c r="BY156" s="12">
        <f>IF('Données projet'!$A$114&gt;35,BY155+BX156-CG155,IF(A156&lt;'Données projet'!$A$114,$BV$205^A156,IF(A156='Données projet'!$A$114,'Données projet'!$B$114,BY155+BX156-CG155)))</f>
        <v>537.73400000000015</v>
      </c>
      <c r="BZ156" s="13">
        <f>BY156*VLOOKUP('Données projet'!$B$12,Paramètres!$A$1:$I$89,3,0)*VLOOKUP('Données projet'!$B$12,Paramètres!$A$1:$I$89,5,0)</f>
        <v>612.37147920000018</v>
      </c>
      <c r="CA156" s="13">
        <f t="shared" si="170"/>
        <v>133.7083346202844</v>
      </c>
      <c r="CB156" s="20">
        <f t="shared" si="171"/>
        <v>1299.4223424036622</v>
      </c>
      <c r="CC156" s="59">
        <f t="shared" si="119"/>
        <v>1588.9752630306955</v>
      </c>
      <c r="CD156" s="59">
        <f ca="1">AVERAGE(OFFSET($CC$3,0,0,'Données projet'!$E$12+1,1))-AVERAGE(OFFSET($H$3,0,0,'Données projet'!$E$12+1,1))</f>
        <v>797.57191672067393</v>
      </c>
      <c r="CE156" s="59">
        <f t="shared" si="148"/>
        <v>238.59056544987126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126.0583610647638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126.0583610647638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>
        <f>CT156*VLOOKUP('Données projet'!$B$13,Paramètres!$A$1:$I$89,3,0)*VLOOKUP('Données projet'!$B$13,Paramètres!$A$1:$I$89,5,0)</f>
        <v>0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188.98184340090461</v>
      </c>
      <c r="CZ156" s="59">
        <f t="shared" si="150"/>
        <v>450.74604661797798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4.508365909483758</v>
      </c>
      <c r="DH156" s="21">
        <f>EXP(-LN(2)/2)*DH155+(1-EXP(-LN(2)/2))/(LN(2)/2)*DB156*DE156*VLOOKUP('Données projet'!$B$13,Paramètres!$A$1:$I$89,3,0)*0.475*44/12</f>
        <v>1.3787989560919153E-20</v>
      </c>
      <c r="DI156" s="22">
        <f t="shared" si="175"/>
        <v>4.508365909483758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369.00000000000011</v>
      </c>
      <c r="DP156" s="17">
        <f>DO156*VLOOKUP('Données projet'!$B$14,Paramètres!$A$1:$I$89,3,0)*VLOOKUP('Données projet'!$B$14,Paramètres!$A$1:$I$89,5,0)</f>
        <v>333.87120000000004</v>
      </c>
      <c r="DQ156" s="13">
        <f t="shared" si="176"/>
        <v>78.232360111376309</v>
      </c>
      <c r="DR156" s="20">
        <f t="shared" si="177"/>
        <v>717.74703386064709</v>
      </c>
      <c r="DS156" s="59">
        <f t="shared" si="125"/>
        <v>1007.2999544876805</v>
      </c>
      <c r="DT156" s="59">
        <f ca="1">AVERAGE(OFFSET($DS$3,0,0,'Données projet'!$E$14+1,1))-AVERAGE(OFFSET($H$3,0,0,'Données projet'!$E$14+1,1))</f>
        <v>442.34161202733173</v>
      </c>
      <c r="DU156" s="59">
        <f t="shared" si="152"/>
        <v>622.90413492324399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0.92516339071966658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0.92516339071966658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8.7559999999999949</v>
      </c>
      <c r="EJ156" s="12">
        <f>IF('Données projet'!$A$192&gt;35,EJ155+EI156-ER155,IF(A156&lt;'Données projet'!$A$192,$EG$205^A156,IF(A156='Données projet'!$A$192,'Données projet'!$B$192,EJ155+EI156-ER155)))</f>
        <v>537.73400000000015</v>
      </c>
      <c r="EK156" s="17">
        <f>EJ156*VLOOKUP('Données projet'!$B$15,Paramètres!$A$1:$I$89,3,0)*VLOOKUP('Données projet'!$B$15,Paramètres!$A$1:$I$89,5,0)</f>
        <v>587.20552800000019</v>
      </c>
      <c r="EL156" s="13">
        <f t="shared" si="179"/>
        <v>128.84127933602468</v>
      </c>
      <c r="EM156" s="20">
        <f t="shared" si="180"/>
        <v>1247.1148561102434</v>
      </c>
      <c r="EN156" s="59">
        <f t="shared" si="128"/>
        <v>1536.6677767372767</v>
      </c>
      <c r="EO156" s="59">
        <f ca="1">AVERAGE(OFFSET($EN$3,0,0,'Données projet'!$E$15+1,1))-AVERAGE(OFFSET($H$3,0,0,'Données projet'!$E$15+1,1))</f>
        <v>767.9449852393318</v>
      </c>
      <c r="EP156" s="59">
        <f t="shared" si="154"/>
        <v>230.95605490295961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120.87788047306121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120.87788047306121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68.968978352827264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3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</v>
      </c>
      <c r="H157" s="66">
        <f t="shared" si="110"/>
        <v>212.66666666666666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188.98184340090461</v>
      </c>
      <c r="T157" s="59">
        <f t="shared" si="142"/>
        <v>450.74604661797798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-0.93999999999999773</v>
      </c>
      <c r="AI157" s="13">
        <f>IF('Données projet'!$A$62&gt;35,AI156+AH157-AQ156,IF(A157&lt;'Données projet'!$A$62,$AF$205^A157,IF(A157='Données projet'!$A$62,'Données projet'!$B$62,AI156+AH157-AQ156)))</f>
        <v>292.80999999999995</v>
      </c>
      <c r="AJ157" s="13">
        <f>AI157*VLOOKUP('Données projet'!$B$10,Paramètres!$A$1:$I$89,3,0)*VLOOKUP('Données projet'!$B$10,Paramètres!$A$1:$I$89,5,0)</f>
        <v>264.93448799999993</v>
      </c>
      <c r="AK157" s="13">
        <f t="shared" si="164"/>
        <v>63.7730576950527</v>
      </c>
      <c r="AL157" s="20">
        <f t="shared" si="165"/>
        <v>572.49897541888333</v>
      </c>
      <c r="AM157" s="59">
        <f t="shared" si="113"/>
        <v>862.11747775463436</v>
      </c>
      <c r="AN157" s="59">
        <f ca="1">AVERAGE(OFFSET($AM$3,0,0,'Données projet'!$E$10+1,1))-AVERAGE(OFFSET($H$3,0,0,'Données projet'!$E$10+1,1))</f>
        <v>725.60981534362895</v>
      </c>
      <c r="AO157" s="59">
        <f t="shared" si="144"/>
        <v>265.16078167969272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267.71064871667824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267.71064871667824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149.89999999999998</v>
      </c>
      <c r="BE157" s="13">
        <f>BD157*VLOOKUP('Données projet'!$B$11,Paramètres!$A$1:$I$89,3,0)*VLOOKUP('Données projet'!$B$11,Paramètres!$A$1:$I$89,5,0)</f>
        <v>172.68479999999997</v>
      </c>
      <c r="BF157" s="13">
        <f t="shared" si="167"/>
        <v>43.690780005214812</v>
      </c>
      <c r="BG157" s="20">
        <f t="shared" si="168"/>
        <v>376.85413517574904</v>
      </c>
      <c r="BH157" s="59">
        <f t="shared" si="116"/>
        <v>666.47263751150001</v>
      </c>
      <c r="BI157" s="59">
        <f ca="1">AVERAGE(OFFSET($BH$3,0,0,'Données projet'!$E$11+1,1))-AVERAGE(OFFSET($H$3,0,0,'Données projet'!$E$11+1,1))</f>
        <v>332.93090933713466</v>
      </c>
      <c r="BJ157" s="59">
        <f t="shared" si="146"/>
        <v>251.83579649532973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19.088772269291919</v>
      </c>
      <c r="BQ157" s="21">
        <f>EXP(-LN(2)/25)*BQ156+(1-EXP(-LN(2)/25))/(LN(2)/25)*Calculateur!BL157*Calculateur!BN157*VLOOKUP('Données projet'!$B$11,Paramètres!$A$1:$I$89,3,0)*0.475*44/12</f>
        <v>0.22345359609706511</v>
      </c>
      <c r="BR157" s="21">
        <f>EXP(-LN(2)/2)*BR156+(1-EXP(-LN(2)/2))/(LN(2)/2)*BL157*BO157*VLOOKUP('Données projet'!$B$11,Paramètres!$A$1:$I$89,3,0)*0.475*44/12</f>
        <v>5.8347875567379979E-22</v>
      </c>
      <c r="BS157" s="22">
        <f t="shared" si="169"/>
        <v>19.312225865388985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>
        <f>VLOOKUP(A157,'Données projet'!$A$113:$I$133,2,0)</f>
        <v>546.49</v>
      </c>
      <c r="BW157" s="12">
        <f>VLOOKUP(A157,'Données projet'!$A$113:$I$133,9,0)</f>
        <v>8.7559999999999949</v>
      </c>
      <c r="BX157" s="12">
        <f t="array" ref="BX157">INDEX(BW:BW,MIN(IF(ISNUMBER(BW157:BW353),ROW(BW157:BW353),"")))</f>
        <v>8.7559999999999949</v>
      </c>
      <c r="BY157" s="12">
        <f>IF('Données projet'!$A$114&gt;35,BY156+BX157-CG156,IF(A157&lt;'Données projet'!$A$114,$BV$205^A157,IF(A157='Données projet'!$A$114,'Données projet'!$B$114,BY156+BX157-CG156)))</f>
        <v>546.49000000000012</v>
      </c>
      <c r="BZ157" s="13">
        <f>BY157*VLOOKUP('Données projet'!$B$12,Paramètres!$A$1:$I$89,3,0)*VLOOKUP('Données projet'!$B$12,Paramètres!$A$1:$I$89,5,0)</f>
        <v>622.34281200000009</v>
      </c>
      <c r="CA157" s="13">
        <f t="shared" si="170"/>
        <v>135.63028933568043</v>
      </c>
      <c r="CB157" s="20">
        <f t="shared" si="171"/>
        <v>1320.1364848263104</v>
      </c>
      <c r="CC157" s="59">
        <f t="shared" si="119"/>
        <v>1609.7549871620613</v>
      </c>
      <c r="CD157" s="59">
        <f ca="1">AVERAGE(OFFSET($CC$3,0,0,'Données projet'!$E$12+1,1))-AVERAGE(OFFSET($H$3,0,0,'Données projet'!$E$12+1,1))</f>
        <v>797.57191672067393</v>
      </c>
      <c r="CE157" s="59">
        <f t="shared" si="148"/>
        <v>238.59056544987126</v>
      </c>
      <c r="CF157" s="15">
        <f>IF(ISNA(VLOOKUP(A157,'Données projet'!$A$113:$I$133,3,0)),0,VLOOKUP(A157,'Données projet'!$A$113:$I$133,3,0))</f>
        <v>13</v>
      </c>
      <c r="CG157" s="15">
        <f>IF(ISNA(VLOOKUP(A157,'Données projet'!$A$113:$I$133,4,0)),0,VLOOKUP(A157,'Données projet'!$A$113:$I$133,4,0))</f>
        <v>55.13</v>
      </c>
      <c r="CH157" s="16">
        <f>IF(ISNA(VLOOKUP(A157,'Données projet'!$A$113:$I$133,5,0)),0%,VLOOKUP(A157,'Données projet'!$A$113:$I$133,5,0)*VLOOKUP('Données projet'!$B$12,Paramètres!$A$1:$I$89,7,0))</f>
        <v>0.43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153.43002019596176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153.43002019596176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>
        <f>CT157*VLOOKUP('Données projet'!$B$13,Paramètres!$A$1:$I$89,3,0)*VLOOKUP('Données projet'!$B$13,Paramètres!$A$1:$I$89,5,0)</f>
        <v>0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188.98184340090461</v>
      </c>
      <c r="CZ157" s="59">
        <f t="shared" si="150"/>
        <v>450.74604661797798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4.3850844066042658</v>
      </c>
      <c r="DH157" s="21">
        <f>EXP(-LN(2)/2)*DH156+(1-EXP(-LN(2)/2))/(LN(2)/2)*DB157*DE157*VLOOKUP('Données projet'!$B$13,Paramètres!$A$1:$I$89,3,0)*0.475*44/12</f>
        <v>9.7495809174552611E-21</v>
      </c>
      <c r="DI157" s="22">
        <f t="shared" si="175"/>
        <v>4.3850844066042658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369.00000000000011</v>
      </c>
      <c r="DP157" s="17">
        <f>DO157*VLOOKUP('Données projet'!$B$14,Paramètres!$A$1:$I$89,3,0)*VLOOKUP('Données projet'!$B$14,Paramètres!$A$1:$I$89,5,0)</f>
        <v>333.87120000000004</v>
      </c>
      <c r="DQ157" s="13">
        <f t="shared" si="176"/>
        <v>78.232360111376309</v>
      </c>
      <c r="DR157" s="20">
        <f t="shared" si="177"/>
        <v>717.74703386064709</v>
      </c>
      <c r="DS157" s="59">
        <f t="shared" si="125"/>
        <v>1007.3655361963981</v>
      </c>
      <c r="DT157" s="59">
        <f ca="1">AVERAGE(OFFSET($DS$3,0,0,'Données projet'!$E$14+1,1))-AVERAGE(OFFSET($H$3,0,0,'Données projet'!$E$14+1,1))</f>
        <v>442.34161202733173</v>
      </c>
      <c r="DU157" s="59">
        <f t="shared" si="152"/>
        <v>622.90413492324399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0.90702150092160283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0.90702150092160283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>
        <f>VLOOKUP(A157,'Données projet'!$A$191:$I$211,2,0)</f>
        <v>546.49</v>
      </c>
      <c r="EH157" s="12">
        <f>VLOOKUP(A157,'Données projet'!$A$191:$I$211,9,0)</f>
        <v>8.7559999999999949</v>
      </c>
      <c r="EI157" s="12">
        <f t="array" ref="EI157">INDEX(EH:EH,MIN(IF(ISNUMBER(EH157:EH353),ROW(EH157:EH353),"")))</f>
        <v>8.7559999999999949</v>
      </c>
      <c r="EJ157" s="12">
        <f>IF('Données projet'!$A$192&gt;35,EJ156+EI157-ER156,IF(A157&lt;'Données projet'!$A$192,$EG$205^A157,IF(A157='Données projet'!$A$192,'Données projet'!$B$192,EJ156+EI157-ER156)))</f>
        <v>546.49000000000012</v>
      </c>
      <c r="EK157" s="17">
        <f>EJ157*VLOOKUP('Données projet'!$B$15,Paramètres!$A$1:$I$89,3,0)*VLOOKUP('Données projet'!$B$15,Paramètres!$A$1:$I$89,5,0)</f>
        <v>596.76708000000008</v>
      </c>
      <c r="EL157" s="13">
        <f t="shared" si="179"/>
        <v>130.6932738662143</v>
      </c>
      <c r="EM157" s="20">
        <f t="shared" si="180"/>
        <v>1266.9934496503233</v>
      </c>
      <c r="EN157" s="59">
        <f t="shared" si="128"/>
        <v>1556.6119519860742</v>
      </c>
      <c r="EO157" s="59">
        <f ca="1">AVERAGE(OFFSET($EN$3,0,0,'Données projet'!$E$15+1,1))-AVERAGE(OFFSET($H$3,0,0,'Données projet'!$E$15+1,1))</f>
        <v>767.9449852393318</v>
      </c>
      <c r="EP157" s="59">
        <f t="shared" si="154"/>
        <v>230.95605490295961</v>
      </c>
      <c r="EQ157" s="15">
        <f>IF(ISNA(VLOOKUP(A157,'Données projet'!$A$191:$I$211,3,0)),0,VLOOKUP(A157,'Données projet'!$A$191:$I$211,3,0))</f>
        <v>13</v>
      </c>
      <c r="ER157" s="15">
        <f>IF(ISNA(VLOOKUP(A157,'Données projet'!$A$191:$I$211,4,0)),0,VLOOKUP(A157,'Données projet'!$A$191:$I$211,4,0))</f>
        <v>55.13</v>
      </c>
      <c r="ES157" s="16">
        <f>IF(ISNA(VLOOKUP(A157,'Données projet'!$A$191:$I$211,5,0)),0%,VLOOKUP(A157,'Données projet'!$A$191:$I$211,5,0)*VLOOKUP('Données projet'!$B$15,Paramètres!$A$1:$I$89,7,0))</f>
        <v>0.43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147.12467690023732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147.12467690023732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68.98686427338663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3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</v>
      </c>
      <c r="H158" s="66">
        <f t="shared" si="110"/>
        <v>212.66666666666666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188.98184340090461</v>
      </c>
      <c r="T158" s="59">
        <f t="shared" si="142"/>
        <v>450.74604661797798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-0.93999999999999773</v>
      </c>
      <c r="AI158" s="13">
        <f>IF('Données projet'!$A$62&gt;35,AI157+AH158-AQ157,IF(A158&lt;'Données projet'!$A$62,$AF$205^A158,IF(A158='Données projet'!$A$62,'Données projet'!$B$62,AI157+AH158-AQ157)))</f>
        <v>291.86999999999995</v>
      </c>
      <c r="AJ158" s="13">
        <f>AI158*VLOOKUP('Données projet'!$B$10,Paramètres!$A$1:$I$89,3,0)*VLOOKUP('Données projet'!$B$10,Paramètres!$A$1:$I$89,5,0)</f>
        <v>264.08397599999995</v>
      </c>
      <c r="AK158" s="13">
        <f t="shared" si="164"/>
        <v>63.592125384717555</v>
      </c>
      <c r="AL158" s="20">
        <f t="shared" si="165"/>
        <v>570.7025432450497</v>
      </c>
      <c r="AM158" s="59">
        <f t="shared" si="113"/>
        <v>860.38548959349077</v>
      </c>
      <c r="AN158" s="59">
        <f ca="1">AVERAGE(OFFSET($AM$3,0,0,'Données projet'!$E$10+1,1))-AVERAGE(OFFSET($H$3,0,0,'Données projet'!$E$10+1,1))</f>
        <v>725.60981534362895</v>
      </c>
      <c r="AO158" s="59">
        <f t="shared" si="144"/>
        <v>265.16078167969272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262.46100618271663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262.46100618271663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149.89999999999998</v>
      </c>
      <c r="BE158" s="13">
        <f>BD158*VLOOKUP('Données projet'!$B$11,Paramètres!$A$1:$I$89,3,0)*VLOOKUP('Données projet'!$B$11,Paramètres!$A$1:$I$89,5,0)</f>
        <v>172.68479999999997</v>
      </c>
      <c r="BF158" s="13">
        <f t="shared" si="167"/>
        <v>43.690780005214812</v>
      </c>
      <c r="BG158" s="20">
        <f t="shared" si="168"/>
        <v>376.85413517574904</v>
      </c>
      <c r="BH158" s="59">
        <f t="shared" si="116"/>
        <v>666.53708152419017</v>
      </c>
      <c r="BI158" s="59">
        <f ca="1">AVERAGE(OFFSET($BH$3,0,0,'Données projet'!$E$11+1,1))-AVERAGE(OFFSET($H$3,0,0,'Données projet'!$E$11+1,1))</f>
        <v>332.93090933713466</v>
      </c>
      <c r="BJ158" s="59">
        <f t="shared" si="146"/>
        <v>251.83579649532973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18.714453088092537</v>
      </c>
      <c r="BQ158" s="21">
        <f>EXP(-LN(2)/25)*BQ157+(1-EXP(-LN(2)/25))/(LN(2)/25)*Calculateur!BL158*Calculateur!BN158*VLOOKUP('Données projet'!$B$11,Paramètres!$A$1:$I$89,3,0)*0.475*44/12</f>
        <v>0.21734324576087696</v>
      </c>
      <c r="BR158" s="21">
        <f>EXP(-LN(2)/2)*BR157+(1-EXP(-LN(2)/2))/(LN(2)/2)*BL158*BO158*VLOOKUP('Données projet'!$B$11,Paramètres!$A$1:$I$89,3,0)*0.475*44/12</f>
        <v>4.125817848152326E-22</v>
      </c>
      <c r="BS158" s="22">
        <f t="shared" si="169"/>
        <v>18.931796333853413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8.8960000000000043</v>
      </c>
      <c r="BY158" s="12">
        <f>IF('Données projet'!$A$114&gt;35,BY157+BX158-CG157,IF(A158&lt;'Données projet'!$A$114,$BV$205^A158,IF(A158='Données projet'!$A$114,'Données projet'!$B$114,BY157+BX158-CG157)))</f>
        <v>500.25600000000009</v>
      </c>
      <c r="BZ158" s="13">
        <f>BY158*VLOOKUP('Données projet'!$B$12,Paramètres!$A$1:$I$89,3,0)*VLOOKUP('Données projet'!$B$12,Paramètres!$A$1:$I$89,5,0)</f>
        <v>569.69153280000012</v>
      </c>
      <c r="CA158" s="13">
        <f t="shared" si="170"/>
        <v>125.43980232105393</v>
      </c>
      <c r="CB158" s="20">
        <f t="shared" si="171"/>
        <v>1210.6870753358355</v>
      </c>
      <c r="CC158" s="59">
        <f t="shared" si="119"/>
        <v>1500.3700216842767</v>
      </c>
      <c r="CD158" s="59">
        <f ca="1">AVERAGE(OFFSET($CC$3,0,0,'Données projet'!$E$12+1,1))-AVERAGE(OFFSET($H$3,0,0,'Données projet'!$E$12+1,1))</f>
        <v>797.57191672067393</v>
      </c>
      <c r="CE158" s="59">
        <f t="shared" si="148"/>
        <v>238.59056544987126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150.4213510829907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150.4213510829907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>
        <f>CT158*VLOOKUP('Données projet'!$B$13,Paramètres!$A$1:$I$89,3,0)*VLOOKUP('Données projet'!$B$13,Paramètres!$A$1:$I$89,5,0)</f>
        <v>0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188.98184340090461</v>
      </c>
      <c r="CZ158" s="59">
        <f t="shared" si="150"/>
        <v>450.74604661797798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4.2651740429041052</v>
      </c>
      <c r="DH158" s="21">
        <f>EXP(-LN(2)/2)*DH157+(1-EXP(-LN(2)/2))/(LN(2)/2)*DB158*DE158*VLOOKUP('Données projet'!$B$13,Paramètres!$A$1:$I$89,3,0)*0.475*44/12</f>
        <v>6.8939947804595765E-21</v>
      </c>
      <c r="DI158" s="22">
        <f t="shared" si="175"/>
        <v>4.2651740429041052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369.00000000000011</v>
      </c>
      <c r="DP158" s="17">
        <f>DO158*VLOOKUP('Données projet'!$B$14,Paramètres!$A$1:$I$89,3,0)*VLOOKUP('Données projet'!$B$14,Paramètres!$A$1:$I$89,5,0)</f>
        <v>333.87120000000004</v>
      </c>
      <c r="DQ158" s="13">
        <f t="shared" si="176"/>
        <v>78.232360111376309</v>
      </c>
      <c r="DR158" s="20">
        <f t="shared" si="177"/>
        <v>717.74703386064709</v>
      </c>
      <c r="DS158" s="59">
        <f t="shared" si="125"/>
        <v>1007.4299802090882</v>
      </c>
      <c r="DT158" s="59">
        <f ca="1">AVERAGE(OFFSET($DS$3,0,0,'Données projet'!$E$14+1,1))-AVERAGE(OFFSET($H$3,0,0,'Données projet'!$E$14+1,1))</f>
        <v>442.34161202733173</v>
      </c>
      <c r="DU158" s="59">
        <f t="shared" si="152"/>
        <v>622.90413492324399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0.88923536251701896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0.88923536251701896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8.8960000000000043</v>
      </c>
      <c r="EJ158" s="12">
        <f>IF('Données projet'!$A$192&gt;35,EJ157+EI158-ER157,IF(A158&lt;'Données projet'!$A$192,$EG$205^A158,IF(A158='Données projet'!$A$192,'Données projet'!$B$192,EJ157+EI158-ER157)))</f>
        <v>500.25600000000009</v>
      </c>
      <c r="EK158" s="17">
        <f>EJ158*VLOOKUP('Données projet'!$B$15,Paramètres!$A$1:$I$89,3,0)*VLOOKUP('Données projet'!$B$15,Paramètres!$A$1:$I$89,5,0)</f>
        <v>546.27955200000008</v>
      </c>
      <c r="EL158" s="13">
        <f t="shared" si="179"/>
        <v>120.87372605903938</v>
      </c>
      <c r="EM158" s="20">
        <f t="shared" si="180"/>
        <v>1161.9586259528271</v>
      </c>
      <c r="EN158" s="59">
        <f t="shared" si="128"/>
        <v>1451.6415723012683</v>
      </c>
      <c r="EO158" s="59">
        <f ca="1">AVERAGE(OFFSET($EN$3,0,0,'Données projet'!$E$15+1,1))-AVERAGE(OFFSET($H$3,0,0,'Données projet'!$E$15+1,1))</f>
        <v>767.9449852393318</v>
      </c>
      <c r="EP158" s="59">
        <f t="shared" si="154"/>
        <v>230.95605490295961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144.23965172341576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144.23965172341576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69.004439913211215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3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</v>
      </c>
      <c r="H159" s="66">
        <f t="shared" si="110"/>
        <v>212.66666666666666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188.98184340090461</v>
      </c>
      <c r="T159" s="59">
        <f t="shared" si="142"/>
        <v>450.74604661797798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>
        <f>VLOOKUP(A159,'Données projet'!$A$61:$I$81,2,0)</f>
        <v>290.93</v>
      </c>
      <c r="AG159" s="12">
        <f>VLOOKUP(A159,'Données projet'!$A$61:$I$81,9,0)</f>
        <v>-0.93999999999999773</v>
      </c>
      <c r="AH159" s="12">
        <f t="array" ref="AH159">INDEX(AG:AG,MIN(IF(ISNUMBER(AG159:AG355),ROW(AG159:AG355),"")))</f>
        <v>-0.93999999999999773</v>
      </c>
      <c r="AI159" s="13">
        <f>IF('Données projet'!$A$62&gt;35,AI158+AH159-AQ158,IF(A159&lt;'Données projet'!$A$62,$AF$205^A159,IF(A159='Données projet'!$A$62,'Données projet'!$B$62,AI158+AH159-AQ158)))</f>
        <v>290.92999999999995</v>
      </c>
      <c r="AJ159" s="13">
        <f>AI159*VLOOKUP('Données projet'!$B$10,Paramètres!$A$1:$I$89,3,0)*VLOOKUP('Données projet'!$B$10,Paramètres!$A$1:$I$89,5,0)</f>
        <v>263.23346399999997</v>
      </c>
      <c r="AK159" s="13">
        <f t="shared" si="164"/>
        <v>63.411125233778442</v>
      </c>
      <c r="AL159" s="20">
        <f t="shared" si="165"/>
        <v>568.90599291549734</v>
      </c>
      <c r="AM159" s="59">
        <f t="shared" si="113"/>
        <v>858.65226531708367</v>
      </c>
      <c r="AN159" s="59">
        <f ca="1">AVERAGE(OFFSET($AM$3,0,0,'Données projet'!$E$10+1,1))-AVERAGE(OFFSET($H$3,0,0,'Données projet'!$E$10+1,1))</f>
        <v>725.60981534362895</v>
      </c>
      <c r="AO159" s="59">
        <f t="shared" si="144"/>
        <v>265.16078167969272</v>
      </c>
      <c r="AP159" s="15">
        <f>IF(ISNA(VLOOKUP(A159,'Données projet'!$A$61:$I$81,3,0)),0,VLOOKUP(A159,'Données projet'!$A$61:$I$81,3,0))</f>
        <v>16</v>
      </c>
      <c r="AQ159" s="15">
        <f>IF(ISNA(VLOOKUP(A159,'Données projet'!$A$61:$I$81,4,0)),0,VLOOKUP(A159,'Données projet'!$A$61:$I$81,4,0))</f>
        <v>87.28</v>
      </c>
      <c r="AR159" s="16">
        <f>IF(ISNA(VLOOKUP(A159,'Données projet'!$A$61:$I$81,5,0)),0%,VLOOKUP(A159,'Données projet'!$A$61:$I$81,5,0)*VLOOKUP('Données projet'!$B$10,Paramètres!$A$1:$I$89,7,0))</f>
        <v>0.43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294.85332289425503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294.85332289425503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149.89999999999998</v>
      </c>
      <c r="BE159" s="13">
        <f>BD159*VLOOKUP('Données projet'!$B$11,Paramètres!$A$1:$I$89,3,0)*VLOOKUP('Données projet'!$B$11,Paramètres!$A$1:$I$89,5,0)</f>
        <v>172.68479999999997</v>
      </c>
      <c r="BF159" s="13">
        <f t="shared" si="167"/>
        <v>43.690780005214812</v>
      </c>
      <c r="BG159" s="20">
        <f t="shared" si="168"/>
        <v>376.85413517574904</v>
      </c>
      <c r="BH159" s="59">
        <f t="shared" si="116"/>
        <v>666.60040757733532</v>
      </c>
      <c r="BI159" s="59">
        <f ca="1">AVERAGE(OFFSET($BH$3,0,0,'Données projet'!$E$11+1,1))-AVERAGE(OFFSET($H$3,0,0,'Données projet'!$E$11+1,1))</f>
        <v>332.93090933713466</v>
      </c>
      <c r="BJ159" s="59">
        <f t="shared" si="146"/>
        <v>251.83579649532973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18.347474077724318</v>
      </c>
      <c r="BQ159" s="21">
        <f>EXP(-LN(2)/25)*BQ158+(1-EXP(-LN(2)/25))/(LN(2)/25)*Calculateur!BL159*Calculateur!BN159*VLOOKUP('Données projet'!$B$11,Paramètres!$A$1:$I$89,3,0)*0.475*44/12</f>
        <v>0.21139998327596124</v>
      </c>
      <c r="BR159" s="21">
        <f>EXP(-LN(2)/2)*BR158+(1-EXP(-LN(2)/2))/(LN(2)/2)*BL159*BO159*VLOOKUP('Données projet'!$B$11,Paramètres!$A$1:$I$89,3,0)*0.475*44/12</f>
        <v>2.9173937783689994E-22</v>
      </c>
      <c r="BS159" s="22">
        <f t="shared" si="169"/>
        <v>18.558874061000278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8.8960000000000043</v>
      </c>
      <c r="BY159" s="12">
        <f>IF('Données projet'!$A$114&gt;35,BY158+BX159-CG158,IF(A159&lt;'Données projet'!$A$114,$BV$205^A159,IF(A159='Données projet'!$A$114,'Données projet'!$B$114,BY158+BX159-CG158)))</f>
        <v>509.1520000000001</v>
      </c>
      <c r="BZ159" s="13">
        <f>BY159*VLOOKUP('Données projet'!$B$12,Paramètres!$A$1:$I$89,3,0)*VLOOKUP('Données projet'!$B$12,Paramètres!$A$1:$I$89,5,0)</f>
        <v>579.82229760000018</v>
      </c>
      <c r="CA159" s="13">
        <f t="shared" si="170"/>
        <v>127.40880711666335</v>
      </c>
      <c r="CB159" s="20">
        <f t="shared" si="171"/>
        <v>1231.7608407148557</v>
      </c>
      <c r="CC159" s="59">
        <f t="shared" si="119"/>
        <v>1521.507113116442</v>
      </c>
      <c r="CD159" s="59">
        <f ca="1">AVERAGE(OFFSET($CC$3,0,0,'Données projet'!$E$12+1,1))-AVERAGE(OFFSET($H$3,0,0,'Données projet'!$E$12+1,1))</f>
        <v>797.57191672067393</v>
      </c>
      <c r="CE159" s="59">
        <f t="shared" si="148"/>
        <v>238.59056544987126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147.47168013621805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147.47168013621805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>
        <f>CT159*VLOOKUP('Données projet'!$B$13,Paramètres!$A$1:$I$89,3,0)*VLOOKUP('Données projet'!$B$13,Paramètres!$A$1:$I$89,5,0)</f>
        <v>0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188.98184340090461</v>
      </c>
      <c r="CZ159" s="59">
        <f t="shared" si="150"/>
        <v>450.74604661797798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4.1485426344051373</v>
      </c>
      <c r="DH159" s="21">
        <f>EXP(-LN(2)/2)*DH158+(1-EXP(-LN(2)/2))/(LN(2)/2)*DB159*DE159*VLOOKUP('Données projet'!$B$13,Paramètres!$A$1:$I$89,3,0)*0.475*44/12</f>
        <v>4.8747904587276305E-21</v>
      </c>
      <c r="DI159" s="22">
        <f t="shared" si="175"/>
        <v>4.1485426344051373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369.00000000000011</v>
      </c>
      <c r="DP159" s="17">
        <f>DO159*VLOOKUP('Données projet'!$B$14,Paramètres!$A$1:$I$89,3,0)*VLOOKUP('Données projet'!$B$14,Paramètres!$A$1:$I$89,5,0)</f>
        <v>333.87120000000004</v>
      </c>
      <c r="DQ159" s="13">
        <f t="shared" si="176"/>
        <v>78.232360111376309</v>
      </c>
      <c r="DR159" s="20">
        <f t="shared" si="177"/>
        <v>717.74703386064709</v>
      </c>
      <c r="DS159" s="59">
        <f t="shared" si="125"/>
        <v>1007.4933062622333</v>
      </c>
      <c r="DT159" s="59">
        <f ca="1">AVERAGE(OFFSET($DS$3,0,0,'Données projet'!$E$14+1,1))-AVERAGE(OFFSET($H$3,0,0,'Données projet'!$E$14+1,1))</f>
        <v>442.34161202733173</v>
      </c>
      <c r="DU159" s="59">
        <f t="shared" si="152"/>
        <v>622.90413492324399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0.87179799943807579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0.87179799943807579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8.8960000000000043</v>
      </c>
      <c r="EJ159" s="12">
        <f>IF('Données projet'!$A$192&gt;35,EJ158+EI159-ER158,IF(A159&lt;'Données projet'!$A$192,$EG$205^A159,IF(A159='Données projet'!$A$192,'Données projet'!$B$192,EJ158+EI159-ER158)))</f>
        <v>509.1520000000001</v>
      </c>
      <c r="EK159" s="17">
        <f>EJ159*VLOOKUP('Données projet'!$B$15,Paramètres!$A$1:$I$89,3,0)*VLOOKUP('Données projet'!$B$15,Paramètres!$A$1:$I$89,5,0)</f>
        <v>555.99398400000018</v>
      </c>
      <c r="EL159" s="13">
        <f t="shared" si="179"/>
        <v>122.7710580212207</v>
      </c>
      <c r="EM159" s="20">
        <f t="shared" si="180"/>
        <v>1182.1824481869596</v>
      </c>
      <c r="EN159" s="59">
        <f t="shared" si="128"/>
        <v>1471.928720588546</v>
      </c>
      <c r="EO159" s="59">
        <f ca="1">AVERAGE(OFFSET($EN$3,0,0,'Données projet'!$E$15+1,1))-AVERAGE(OFFSET($H$3,0,0,'Données projet'!$E$15+1,1))</f>
        <v>767.9449852393318</v>
      </c>
      <c r="EP159" s="59">
        <f t="shared" si="154"/>
        <v>230.95605490295961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141.41120013062007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141.41120013062007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69.021710654978079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3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</v>
      </c>
      <c r="H160" s="66">
        <f t="shared" si="110"/>
        <v>212.66666666666666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188.98184340090461</v>
      </c>
      <c r="T160" s="59">
        <f t="shared" si="142"/>
        <v>450.74604661797798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-0.7233333333333386</v>
      </c>
      <c r="AI160" s="13">
        <f>IF('Données projet'!$A$62&gt;35,AI159+AH160-AQ159,IF(A160&lt;'Données projet'!$A$62,$AF$205^A160,IF(A160='Données projet'!$A$62,'Données projet'!$B$62,AI159+AH160-AQ159)))</f>
        <v>202.92666666666659</v>
      </c>
      <c r="AJ160" s="13">
        <f>AI160*VLOOKUP('Données projet'!$B$10,Paramètres!$A$1:$I$89,3,0)*VLOOKUP('Données projet'!$B$10,Paramètres!$A$1:$I$89,5,0)</f>
        <v>183.60804799999991</v>
      </c>
      <c r="AK160" s="13">
        <f t="shared" si="164"/>
        <v>46.123980824578709</v>
      </c>
      <c r="AL160" s="20">
        <f t="shared" si="165"/>
        <v>400.1166168694744</v>
      </c>
      <c r="AM160" s="59">
        <f t="shared" si="113"/>
        <v>689.92511675875971</v>
      </c>
      <c r="AN160" s="59">
        <f ca="1">AVERAGE(OFFSET($AM$3,0,0,'Données projet'!$E$10+1,1))-AVERAGE(OFFSET($H$3,0,0,'Données projet'!$E$10+1,1))</f>
        <v>725.60981534362895</v>
      </c>
      <c r="AO160" s="59">
        <f t="shared" si="144"/>
        <v>265.16078167969272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289.07142907506767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289.07142907506767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149.89999999999998</v>
      </c>
      <c r="BE160" s="13">
        <f>BD160*VLOOKUP('Données projet'!$B$11,Paramètres!$A$1:$I$89,3,0)*VLOOKUP('Données projet'!$B$11,Paramètres!$A$1:$I$89,5,0)</f>
        <v>172.68479999999997</v>
      </c>
      <c r="BF160" s="13">
        <f t="shared" si="167"/>
        <v>43.690780005214812</v>
      </c>
      <c r="BG160" s="20">
        <f t="shared" si="168"/>
        <v>376.85413517574904</v>
      </c>
      <c r="BH160" s="59">
        <f t="shared" si="116"/>
        <v>666.66263506503424</v>
      </c>
      <c r="BI160" s="59">
        <f ca="1">AVERAGE(OFFSET($BH$3,0,0,'Données projet'!$E$11+1,1))-AVERAGE(OFFSET($H$3,0,0,'Données projet'!$E$11+1,1))</f>
        <v>332.93090933713466</v>
      </c>
      <c r="BJ160" s="59">
        <f t="shared" si="146"/>
        <v>251.83579649532973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17.987691301914325</v>
      </c>
      <c r="BQ160" s="21">
        <f>EXP(-LN(2)/25)*BQ159+(1-EXP(-LN(2)/25))/(LN(2)/25)*Calculateur!BL160*Calculateur!BN160*VLOOKUP('Données projet'!$B$11,Paramètres!$A$1:$I$89,3,0)*0.475*44/12</f>
        <v>0.20561923961623813</v>
      </c>
      <c r="BR160" s="21">
        <f>EXP(-LN(2)/2)*BR159+(1-EXP(-LN(2)/2))/(LN(2)/2)*BL160*BO160*VLOOKUP('Données projet'!$B$11,Paramètres!$A$1:$I$89,3,0)*0.475*44/12</f>
        <v>2.0629089240761632E-22</v>
      </c>
      <c r="BS160" s="22">
        <f t="shared" si="169"/>
        <v>18.193310541530561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8.8960000000000043</v>
      </c>
      <c r="BY160" s="12">
        <f>IF('Données projet'!$A$114&gt;35,BY159+BX160-CG159,IF(A160&lt;'Données projet'!$A$114,$BV$205^A160,IF(A160='Données projet'!$A$114,'Données projet'!$B$114,BY159+BX160-CG159)))</f>
        <v>518.04800000000012</v>
      </c>
      <c r="BZ160" s="13">
        <f>BY160*VLOOKUP('Données projet'!$B$12,Paramètres!$A$1:$I$89,3,0)*VLOOKUP('Données projet'!$B$12,Paramètres!$A$1:$I$89,5,0)</f>
        <v>589.95306240000014</v>
      </c>
      <c r="CA160" s="13">
        <f t="shared" si="170"/>
        <v>129.37381127769223</v>
      </c>
      <c r="CB160" s="20">
        <f t="shared" si="171"/>
        <v>1252.8276383219807</v>
      </c>
      <c r="CC160" s="59">
        <f t="shared" si="119"/>
        <v>1542.6361382112659</v>
      </c>
      <c r="CD160" s="59">
        <f ca="1">AVERAGE(OFFSET($CC$3,0,0,'Données projet'!$E$12+1,1))-AVERAGE(OFFSET($H$3,0,0,'Données projet'!$E$12+1,1))</f>
        <v>797.57191672067393</v>
      </c>
      <c r="CE160" s="59">
        <f t="shared" si="148"/>
        <v>238.59056544987126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144.57985043758998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144.57985043758998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>
        <f>CT160*VLOOKUP('Données projet'!$B$13,Paramètres!$A$1:$I$89,3,0)*VLOOKUP('Données projet'!$B$13,Paramètres!$A$1:$I$89,5,0)</f>
        <v>0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188.98184340090461</v>
      </c>
      <c r="CZ160" s="59">
        <f t="shared" si="150"/>
        <v>450.74604661797798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4.0351005179049535</v>
      </c>
      <c r="DH160" s="21">
        <f>EXP(-LN(2)/2)*DH159+(1-EXP(-LN(2)/2))/(LN(2)/2)*DB160*DE160*VLOOKUP('Données projet'!$B$13,Paramètres!$A$1:$I$89,3,0)*0.475*44/12</f>
        <v>3.4469973902297883E-21</v>
      </c>
      <c r="DI160" s="22">
        <f t="shared" si="175"/>
        <v>4.0351005179049535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369.00000000000011</v>
      </c>
      <c r="DP160" s="17">
        <f>DO160*VLOOKUP('Données projet'!$B$14,Paramètres!$A$1:$I$89,3,0)*VLOOKUP('Données projet'!$B$14,Paramètres!$A$1:$I$89,5,0)</f>
        <v>333.87120000000004</v>
      </c>
      <c r="DQ160" s="13">
        <f t="shared" si="176"/>
        <v>78.232360111376309</v>
      </c>
      <c r="DR160" s="20">
        <f t="shared" si="177"/>
        <v>717.74703386064709</v>
      </c>
      <c r="DS160" s="59">
        <f t="shared" si="125"/>
        <v>1007.5555337499324</v>
      </c>
      <c r="DT160" s="59">
        <f ca="1">AVERAGE(OFFSET($DS$3,0,0,'Données projet'!$E$14+1,1))-AVERAGE(OFFSET($H$3,0,0,'Données projet'!$E$14+1,1))</f>
        <v>442.34161202733173</v>
      </c>
      <c r="DU160" s="59">
        <f t="shared" si="152"/>
        <v>622.90413492324399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0.85470257241336944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0.85470257241336944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8.8960000000000043</v>
      </c>
      <c r="EJ160" s="12">
        <f>IF('Données projet'!$A$192&gt;35,EJ159+EI160-ER159,IF(A160&lt;'Données projet'!$A$192,$EG$205^A160,IF(A160='Données projet'!$A$192,'Données projet'!$B$192,EJ159+EI160-ER159)))</f>
        <v>518.04800000000012</v>
      </c>
      <c r="EK160" s="17">
        <f>EJ160*VLOOKUP('Données projet'!$B$15,Paramètres!$A$1:$I$89,3,0)*VLOOKUP('Données projet'!$B$15,Paramètres!$A$1:$I$89,5,0)</f>
        <v>565.70841600000006</v>
      </c>
      <c r="EL160" s="13">
        <f t="shared" si="179"/>
        <v>124.6645349740714</v>
      </c>
      <c r="EM160" s="20">
        <f t="shared" si="180"/>
        <v>1202.3995562798411</v>
      </c>
      <c r="EN160" s="59">
        <f t="shared" si="128"/>
        <v>1492.2080561691264</v>
      </c>
      <c r="EO160" s="59">
        <f ca="1">AVERAGE(OFFSET($EN$3,0,0,'Données projet'!$E$15+1,1))-AVERAGE(OFFSET($H$3,0,0,'Données projet'!$E$15+1,1))</f>
        <v>767.9449852393318</v>
      </c>
      <c r="EP160" s="59">
        <f t="shared" si="154"/>
        <v>230.95605490295961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138.63821274837397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138.63821274837397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69.038681787986889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3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</v>
      </c>
      <c r="H161" s="66">
        <f t="shared" si="110"/>
        <v>212.66666666666666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188.98184340090461</v>
      </c>
      <c r="T161" s="59">
        <f t="shared" si="142"/>
        <v>450.74604661797798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-0.7233333333333386</v>
      </c>
      <c r="AI161" s="13">
        <f>IF('Données projet'!$A$62&gt;35,AI160+AH161-AQ160,IF(A161&lt;'Données projet'!$A$62,$AF$205^A161,IF(A161='Données projet'!$A$62,'Données projet'!$B$62,AI160+AH161-AQ160)))</f>
        <v>202.20333333333326</v>
      </c>
      <c r="AJ161" s="13">
        <f>AI161*VLOOKUP('Données projet'!$B$10,Paramètres!$A$1:$I$89,3,0)*VLOOKUP('Données projet'!$B$10,Paramètres!$A$1:$I$89,5,0)</f>
        <v>182.95357599999991</v>
      </c>
      <c r="AK161" s="13">
        <f t="shared" si="164"/>
        <v>45.978678669970051</v>
      </c>
      <c r="AL161" s="20">
        <f t="shared" si="165"/>
        <v>398.72367688353097</v>
      </c>
      <c r="AM161" s="59">
        <f t="shared" si="113"/>
        <v>688.59332475272345</v>
      </c>
      <c r="AN161" s="59">
        <f ca="1">AVERAGE(OFFSET($AM$3,0,0,'Données projet'!$E$10+1,1))-AVERAGE(OFFSET($H$3,0,0,'Données projet'!$E$10+1,1))</f>
        <v>725.60981534362895</v>
      </c>
      <c r="AO161" s="59">
        <f t="shared" si="144"/>
        <v>265.16078167969272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283.40291466706753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283.40291466706753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149.89999999999998</v>
      </c>
      <c r="BE161" s="13">
        <f>BD161*VLOOKUP('Données projet'!$B$11,Paramètres!$A$1:$I$89,3,0)*VLOOKUP('Données projet'!$B$11,Paramètres!$A$1:$I$89,5,0)</f>
        <v>172.68479999999997</v>
      </c>
      <c r="BF161" s="13">
        <f t="shared" si="167"/>
        <v>43.690780005214812</v>
      </c>
      <c r="BG161" s="20">
        <f t="shared" si="168"/>
        <v>376.85413517574904</v>
      </c>
      <c r="BH161" s="59">
        <f t="shared" si="116"/>
        <v>666.72378304494157</v>
      </c>
      <c r="BI161" s="59">
        <f ca="1">AVERAGE(OFFSET($BH$3,0,0,'Données projet'!$E$11+1,1))-AVERAGE(OFFSET($H$3,0,0,'Données projet'!$E$11+1,1))</f>
        <v>332.93090933713466</v>
      </c>
      <c r="BJ161" s="59">
        <f t="shared" si="146"/>
        <v>251.83579649532973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17.634963646892142</v>
      </c>
      <c r="BQ161" s="21">
        <f>EXP(-LN(2)/25)*BQ160+(1-EXP(-LN(2)/25))/(LN(2)/25)*Calculateur!BL161*Calculateur!BN161*VLOOKUP('Données projet'!$B$11,Paramètres!$A$1:$I$89,3,0)*0.475*44/12</f>
        <v>0.19999657069588622</v>
      </c>
      <c r="BR161" s="21">
        <f>EXP(-LN(2)/2)*BR160+(1-EXP(-LN(2)/2))/(LN(2)/2)*BL161*BO161*VLOOKUP('Données projet'!$B$11,Paramètres!$A$1:$I$89,3,0)*0.475*44/12</f>
        <v>1.4586968891844999E-22</v>
      </c>
      <c r="BS161" s="22">
        <f t="shared" si="169"/>
        <v>17.83496021758803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8.8960000000000043</v>
      </c>
      <c r="BY161" s="12">
        <f>IF('Données projet'!$A$114&gt;35,BY160+BX161-CG160,IF(A161&lt;'Données projet'!$A$114,$BV$205^A161,IF(A161='Données projet'!$A$114,'Données projet'!$B$114,BY160+BX161-CG160)))</f>
        <v>526.94400000000007</v>
      </c>
      <c r="BZ161" s="13">
        <f>BY161*VLOOKUP('Données projet'!$B$12,Paramètres!$A$1:$I$89,3,0)*VLOOKUP('Données projet'!$B$12,Paramètres!$A$1:$I$89,5,0)</f>
        <v>600.08382720000009</v>
      </c>
      <c r="CA161" s="13">
        <f t="shared" si="170"/>
        <v>131.33489143126695</v>
      </c>
      <c r="CB161" s="20">
        <f t="shared" si="171"/>
        <v>1273.8876016161232</v>
      </c>
      <c r="CC161" s="59">
        <f t="shared" si="119"/>
        <v>1563.7572494853157</v>
      </c>
      <c r="CD161" s="59">
        <f ca="1">AVERAGE(OFFSET($CC$3,0,0,'Données projet'!$E$12+1,1))-AVERAGE(OFFSET($H$3,0,0,'Données projet'!$E$12+1,1))</f>
        <v>797.57191672067393</v>
      </c>
      <c r="CE161" s="59">
        <f t="shared" si="148"/>
        <v>238.59056544987126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141.74472775551007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141.74472775551007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>
        <f>CT161*VLOOKUP('Données projet'!$B$13,Paramètres!$A$1:$I$89,3,0)*VLOOKUP('Données projet'!$B$13,Paramètres!$A$1:$I$89,5,0)</f>
        <v>0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188.98184340090461</v>
      </c>
      <c r="CZ161" s="59">
        <f t="shared" si="150"/>
        <v>450.74604661797798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3.9247604820461288</v>
      </c>
      <c r="DH161" s="21">
        <f>EXP(-LN(2)/2)*DH160+(1-EXP(-LN(2)/2))/(LN(2)/2)*DB161*DE161*VLOOKUP('Données projet'!$B$13,Paramètres!$A$1:$I$89,3,0)*0.475*44/12</f>
        <v>2.4373952293638153E-21</v>
      </c>
      <c r="DI161" s="22">
        <f t="shared" si="175"/>
        <v>3.9247604820461288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369.00000000000011</v>
      </c>
      <c r="DP161" s="17">
        <f>DO161*VLOOKUP('Données projet'!$B$14,Paramètres!$A$1:$I$89,3,0)*VLOOKUP('Données projet'!$B$14,Paramètres!$A$1:$I$89,5,0)</f>
        <v>333.87120000000004</v>
      </c>
      <c r="DQ161" s="13">
        <f t="shared" si="176"/>
        <v>78.232360111376309</v>
      </c>
      <c r="DR161" s="20">
        <f t="shared" si="177"/>
        <v>717.74703386064709</v>
      </c>
      <c r="DS161" s="59">
        <f t="shared" si="125"/>
        <v>1007.6166817298397</v>
      </c>
      <c r="DT161" s="59">
        <f ca="1">AVERAGE(OFFSET($DS$3,0,0,'Données projet'!$E$14+1,1))-AVERAGE(OFFSET($H$3,0,0,'Données projet'!$E$14+1,1))</f>
        <v>442.34161202733173</v>
      </c>
      <c r="DU161" s="59">
        <f t="shared" si="152"/>
        <v>622.90413492324399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0.83794237628543666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0.83794237628543666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8.8960000000000043</v>
      </c>
      <c r="EJ161" s="12">
        <f>IF('Données projet'!$A$192&gt;35,EJ160+EI161-ER160,IF(A161&lt;'Données projet'!$A$192,$EG$205^A161,IF(A161='Données projet'!$A$192,'Données projet'!$B$192,EJ160+EI161-ER160)))</f>
        <v>526.94400000000007</v>
      </c>
      <c r="EK161" s="17">
        <f>EJ161*VLOOKUP('Données projet'!$B$15,Paramètres!$A$1:$I$89,3,0)*VLOOKUP('Données projet'!$B$15,Paramètres!$A$1:$I$89,5,0)</f>
        <v>575.42284800000004</v>
      </c>
      <c r="EL161" s="13">
        <f t="shared" si="179"/>
        <v>126.55423075544957</v>
      </c>
      <c r="EM161" s="20">
        <f t="shared" si="180"/>
        <v>1222.6100788324079</v>
      </c>
      <c r="EN161" s="59">
        <f t="shared" si="128"/>
        <v>1512.4797267016004</v>
      </c>
      <c r="EO161" s="59">
        <f ca="1">AVERAGE(OFFSET($EN$3,0,0,'Données projet'!$E$15+1,1))-AVERAGE(OFFSET($H$3,0,0,'Données projet'!$E$15+1,1))</f>
        <v>767.9449852393318</v>
      </c>
      <c r="EP161" s="59">
        <f t="shared" si="154"/>
        <v>230.95605490295961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135.91960195733844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135.91960195733844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69.055358509779779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3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</v>
      </c>
      <c r="H162" s="66">
        <f t="shared" si="110"/>
        <v>212.66666666666666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188.98184340090461</v>
      </c>
      <c r="T162" s="59">
        <f t="shared" si="142"/>
        <v>450.74604661797798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>
        <f>VLOOKUP(A162,'Données projet'!$A$61:$I$81,2,0)</f>
        <v>201.48</v>
      </c>
      <c r="AG162" s="12">
        <f>VLOOKUP(A162,'Données projet'!$A$61:$I$81,9,0)</f>
        <v>-0.7233333333333386</v>
      </c>
      <c r="AH162" s="12">
        <f t="array" ref="AH162">INDEX(AG:AG,MIN(IF(ISNUMBER(AG162:AG358),ROW(AG162:AG358),"")))</f>
        <v>-0.7233333333333386</v>
      </c>
      <c r="AI162" s="13">
        <f>IF('Données projet'!$A$62&gt;35,AI161+AH162-AQ161,IF(A162&lt;'Données projet'!$A$62,$AF$205^A162,IF(A162='Données projet'!$A$62,'Données projet'!$B$62,AI161+AH162-AQ161)))</f>
        <v>201.47999999999993</v>
      </c>
      <c r="AJ162" s="13">
        <f>AI162*VLOOKUP('Données projet'!$B$10,Paramètres!$A$1:$I$89,3,0)*VLOOKUP('Données projet'!$B$10,Paramètres!$A$1:$I$89,5,0)</f>
        <v>182.29910399999991</v>
      </c>
      <c r="AK162" s="13">
        <f t="shared" si="164"/>
        <v>45.833315999864332</v>
      </c>
      <c r="AL162" s="20">
        <f t="shared" si="165"/>
        <v>397.33063149976351</v>
      </c>
      <c r="AM162" s="59">
        <f t="shared" si="113"/>
        <v>687.26036656811823</v>
      </c>
      <c r="AN162" s="59">
        <f ca="1">AVERAGE(OFFSET($AM$3,0,0,'Données projet'!$E$10+1,1))-AVERAGE(OFFSET($H$3,0,0,'Données projet'!$E$10+1,1))</f>
        <v>725.60981534362895</v>
      </c>
      <c r="AO162" s="59">
        <f t="shared" si="144"/>
        <v>265.16078167969272</v>
      </c>
      <c r="AP162" s="15">
        <f>IF(ISNA(VLOOKUP(A162,'Données projet'!$A$61:$I$81,3,0)),0,VLOOKUP(A162,'Données projet'!$A$61:$I$81,3,0))</f>
        <v>17</v>
      </c>
      <c r="AQ162" s="15">
        <f>IF(ISNA(VLOOKUP(A162,'Données projet'!$A$61:$I$81,4,0)),0,VLOOKUP(A162,'Données projet'!$A$61:$I$81,4,0))</f>
        <v>180.6</v>
      </c>
      <c r="AR162" s="16">
        <f>IF(ISNA(VLOOKUP(A162,'Données projet'!$A$61:$I$81,5,0)),0%,VLOOKUP(A162,'Données projet'!$A$61:$I$81,5,0)*VLOOKUP('Données projet'!$B$10,Paramètres!$A$1:$I$89,7,0))</f>
        <v>0.43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355.52138659947087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355.52138659947087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149.89999999999998</v>
      </c>
      <c r="BE162" s="13">
        <f>BD162*VLOOKUP('Données projet'!$B$11,Paramètres!$A$1:$I$89,3,0)*VLOOKUP('Données projet'!$B$11,Paramètres!$A$1:$I$89,5,0)</f>
        <v>172.68479999999997</v>
      </c>
      <c r="BF162" s="13">
        <f t="shared" si="167"/>
        <v>43.690780005214812</v>
      </c>
      <c r="BG162" s="20">
        <f t="shared" si="168"/>
        <v>376.85413517574904</v>
      </c>
      <c r="BH162" s="59">
        <f t="shared" si="116"/>
        <v>666.78387024410381</v>
      </c>
      <c r="BI162" s="59">
        <f ca="1">AVERAGE(OFFSET($BH$3,0,0,'Données projet'!$E$11+1,1))-AVERAGE(OFFSET($H$3,0,0,'Données projet'!$E$11+1,1))</f>
        <v>332.93090933713466</v>
      </c>
      <c r="BJ162" s="59">
        <f t="shared" si="146"/>
        <v>251.83579649532973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17.289152766042321</v>
      </c>
      <c r="BQ162" s="21">
        <f>EXP(-LN(2)/25)*BQ161+(1-EXP(-LN(2)/25))/(LN(2)/25)*Calculateur!BL162*Calculateur!BN162*VLOOKUP('Données projet'!$B$11,Paramètres!$A$1:$I$89,3,0)*0.475*44/12</f>
        <v>0.19452765395284466</v>
      </c>
      <c r="BR162" s="21">
        <f>EXP(-LN(2)/2)*BR161+(1-EXP(-LN(2)/2))/(LN(2)/2)*BL162*BO162*VLOOKUP('Données projet'!$B$11,Paramètres!$A$1:$I$89,3,0)*0.475*44/12</f>
        <v>1.0314544620380818E-22</v>
      </c>
      <c r="BS162" s="22">
        <f t="shared" si="169"/>
        <v>17.483680419995167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8.8960000000000043</v>
      </c>
      <c r="BY162" s="12">
        <f>IF('Données projet'!$A$114&gt;35,BY161+BX162-CG161,IF(A162&lt;'Données projet'!$A$114,$BV$205^A162,IF(A162='Données projet'!$A$114,'Données projet'!$B$114,BY161+BX162-CG161)))</f>
        <v>535.84</v>
      </c>
      <c r="BZ162" s="13">
        <f>BY162*VLOOKUP('Données projet'!$B$12,Paramètres!$A$1:$I$89,3,0)*VLOOKUP('Données projet'!$B$12,Paramètres!$A$1:$I$89,5,0)</f>
        <v>610.21459200000004</v>
      </c>
      <c r="CA162" s="13">
        <f t="shared" si="170"/>
        <v>133.2921214689573</v>
      </c>
      <c r="CB162" s="20">
        <f t="shared" si="171"/>
        <v>1294.9408592917673</v>
      </c>
      <c r="CC162" s="59">
        <f t="shared" si="119"/>
        <v>1584.8705943601221</v>
      </c>
      <c r="CD162" s="59">
        <f ca="1">AVERAGE(OFFSET($CC$3,0,0,'Données projet'!$E$12+1,1))-AVERAGE(OFFSET($H$3,0,0,'Données projet'!$E$12+1,1))</f>
        <v>797.57191672067393</v>
      </c>
      <c r="CE162" s="59">
        <f t="shared" si="148"/>
        <v>238.59056544987126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138.96520009997164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138.96520009997164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>
        <f>CT162*VLOOKUP('Données projet'!$B$13,Paramètres!$A$1:$I$89,3,0)*VLOOKUP('Données projet'!$B$13,Paramètres!$A$1:$I$89,5,0)</f>
        <v>0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188.98184340090461</v>
      </c>
      <c r="CZ162" s="59">
        <f t="shared" si="150"/>
        <v>450.74604661797798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3.8174377002703936</v>
      </c>
      <c r="DH162" s="21">
        <f>EXP(-LN(2)/2)*DH161+(1-EXP(-LN(2)/2))/(LN(2)/2)*DB162*DE162*VLOOKUP('Données projet'!$B$13,Paramètres!$A$1:$I$89,3,0)*0.475*44/12</f>
        <v>1.7234986951148941E-21</v>
      </c>
      <c r="DI162" s="22">
        <f t="shared" si="175"/>
        <v>3.8174377002703936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369.00000000000011</v>
      </c>
      <c r="DP162" s="17">
        <f>DO162*VLOOKUP('Données projet'!$B$14,Paramètres!$A$1:$I$89,3,0)*VLOOKUP('Données projet'!$B$14,Paramètres!$A$1:$I$89,5,0)</f>
        <v>333.87120000000004</v>
      </c>
      <c r="DQ162" s="13">
        <f t="shared" si="176"/>
        <v>78.232360111376309</v>
      </c>
      <c r="DR162" s="20">
        <f t="shared" si="177"/>
        <v>717.74703386064709</v>
      </c>
      <c r="DS162" s="59">
        <f t="shared" si="125"/>
        <v>1007.6767689290018</v>
      </c>
      <c r="DT162" s="59">
        <f ca="1">AVERAGE(OFFSET($DS$3,0,0,'Données projet'!$E$14+1,1))-AVERAGE(OFFSET($H$3,0,0,'Données projet'!$E$14+1,1))</f>
        <v>442.34161202733173</v>
      </c>
      <c r="DU162" s="59">
        <f t="shared" si="152"/>
        <v>622.90413492324399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0.82151083738086239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0.82151083738086239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8.8960000000000043</v>
      </c>
      <c r="EJ162" s="12">
        <f>IF('Données projet'!$A$192&gt;35,EJ161+EI162-ER161,IF(A162&lt;'Données projet'!$A$192,$EG$205^A162,IF(A162='Données projet'!$A$192,'Données projet'!$B$192,EJ161+EI162-ER161)))</f>
        <v>535.84</v>
      </c>
      <c r="EK162" s="17">
        <f>EJ162*VLOOKUP('Données projet'!$B$15,Paramètres!$A$1:$I$89,3,0)*VLOOKUP('Données projet'!$B$15,Paramètres!$A$1:$I$89,5,0)</f>
        <v>585.13728000000003</v>
      </c>
      <c r="EL162" s="13">
        <f t="shared" si="179"/>
        <v>128.44021656723217</v>
      </c>
      <c r="EM162" s="20">
        <f t="shared" si="180"/>
        <v>1242.8141398545961</v>
      </c>
      <c r="EN162" s="59">
        <f t="shared" si="128"/>
        <v>1532.7438749229509</v>
      </c>
      <c r="EO162" s="59">
        <f ca="1">AVERAGE(OFFSET($EN$3,0,0,'Données projet'!$E$15+1,1))-AVERAGE(OFFSET($H$3,0,0,'Données projet'!$E$15+1,1))</f>
        <v>767.9449852393318</v>
      </c>
      <c r="EP162" s="59">
        <f t="shared" si="154"/>
        <v>230.95605490295961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133.25430146572626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133.25430146572626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69.071745927733105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3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</v>
      </c>
      <c r="H163" s="66">
        <f t="shared" si="110"/>
        <v>212.66666666666666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188.98184340090461</v>
      </c>
      <c r="T163" s="59">
        <f t="shared" si="142"/>
        <v>450.74604661797798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20.879999999999939</v>
      </c>
      <c r="AJ163" s="13">
        <f>AI163*VLOOKUP('Données projet'!$B$10,Paramètres!$A$1:$I$89,3,0)*VLOOKUP('Données projet'!$B$10,Paramètres!$A$1:$I$89,5,0)</f>
        <v>18.892223999999942</v>
      </c>
      <c r="AK163" s="13">
        <f t="shared" si="164"/>
        <v>6.184089977612083</v>
      </c>
      <c r="AL163" s="20">
        <f t="shared" si="165"/>
        <v>43.674580177674272</v>
      </c>
      <c r="AM163" s="59">
        <f t="shared" si="113"/>
        <v>333.66336006662061</v>
      </c>
      <c r="AN163" s="59">
        <f ca="1">AVERAGE(OFFSET($AM$3,0,0,'Données projet'!$E$10+1,1))-AVERAGE(OFFSET($H$3,0,0,'Données projet'!$E$10+1,1))</f>
        <v>725.60981534362895</v>
      </c>
      <c r="AO163" s="59">
        <f t="shared" si="144"/>
        <v>265.16078167969272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348.54982905488924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348.54982905488924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149.89999999999998</v>
      </c>
      <c r="BE163" s="13">
        <f>BD163*VLOOKUP('Données projet'!$B$11,Paramètres!$A$1:$I$89,3,0)*VLOOKUP('Données projet'!$B$11,Paramètres!$A$1:$I$89,5,0)</f>
        <v>172.68479999999997</v>
      </c>
      <c r="BF163" s="13">
        <f t="shared" si="167"/>
        <v>43.690780005214812</v>
      </c>
      <c r="BG163" s="20">
        <f t="shared" si="168"/>
        <v>376.85413517574904</v>
      </c>
      <c r="BH163" s="59">
        <f t="shared" si="116"/>
        <v>666.84291506469538</v>
      </c>
      <c r="BI163" s="59">
        <f ca="1">AVERAGE(OFFSET($BH$3,0,0,'Données projet'!$E$11+1,1))-AVERAGE(OFFSET($H$3,0,0,'Données projet'!$E$11+1,1))</f>
        <v>332.93090933713466</v>
      </c>
      <c r="BJ163" s="59">
        <f t="shared" si="146"/>
        <v>251.83579649532973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16.950123025642153</v>
      </c>
      <c r="BQ163" s="21">
        <f>EXP(-LN(2)/25)*BQ162+(1-EXP(-LN(2)/25))/(LN(2)/25)*Calculateur!BL163*Calculateur!BN163*VLOOKUP('Données projet'!$B$11,Paramètres!$A$1:$I$89,3,0)*0.475*44/12</f>
        <v>0.18920828502573939</v>
      </c>
      <c r="BR163" s="21">
        <f>EXP(-LN(2)/2)*BR162+(1-EXP(-LN(2)/2))/(LN(2)/2)*BL163*BO163*VLOOKUP('Données projet'!$B$11,Paramètres!$A$1:$I$89,3,0)*0.475*44/12</f>
        <v>7.2934844459225008E-23</v>
      </c>
      <c r="BS163" s="22">
        <f t="shared" si="169"/>
        <v>17.139331310667892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8.8960000000000043</v>
      </c>
      <c r="BY163" s="12">
        <f>IF('Données projet'!$A$114&gt;35,BY162+BX163-CG162,IF(A163&lt;'Données projet'!$A$114,$BV$205^A163,IF(A163='Données projet'!$A$114,'Données projet'!$B$114,BY162+BX163-CG162)))</f>
        <v>544.73599999999999</v>
      </c>
      <c r="BZ163" s="13">
        <f>BY163*VLOOKUP('Données projet'!$B$12,Paramètres!$A$1:$I$89,3,0)*VLOOKUP('Données projet'!$B$12,Paramètres!$A$1:$I$89,5,0)</f>
        <v>620.34535679999999</v>
      </c>
      <c r="CA163" s="13">
        <f t="shared" si="170"/>
        <v>135.24557268819967</v>
      </c>
      <c r="CB163" s="20">
        <f t="shared" si="171"/>
        <v>1315.9875355252809</v>
      </c>
      <c r="CC163" s="59">
        <f t="shared" si="119"/>
        <v>1605.9763154142272</v>
      </c>
      <c r="CD163" s="59">
        <f ca="1">AVERAGE(OFFSET($CC$3,0,0,'Données projet'!$E$12+1,1))-AVERAGE(OFFSET($H$3,0,0,'Données projet'!$E$12+1,1))</f>
        <v>797.57191672067393</v>
      </c>
      <c r="CE163" s="59">
        <f t="shared" si="148"/>
        <v>238.59056544987126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136.24017728641385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136.24017728641385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>
        <f>CT163*VLOOKUP('Données projet'!$B$13,Paramètres!$A$1:$I$89,3,0)*VLOOKUP('Données projet'!$B$13,Paramètres!$A$1:$I$89,5,0)</f>
        <v>0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188.98184340090461</v>
      </c>
      <c r="CZ163" s="59">
        <f t="shared" si="150"/>
        <v>450.74604661797798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3.7130496656061758</v>
      </c>
      <c r="DH163" s="21">
        <f>EXP(-LN(2)/2)*DH162+(1-EXP(-LN(2)/2))/(LN(2)/2)*DB163*DE163*VLOOKUP('Données projet'!$B$13,Paramètres!$A$1:$I$89,3,0)*0.475*44/12</f>
        <v>1.2186976146819076E-21</v>
      </c>
      <c r="DI163" s="22">
        <f t="shared" si="175"/>
        <v>3.7130496656061758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369.00000000000011</v>
      </c>
      <c r="DP163" s="17">
        <f>DO163*VLOOKUP('Données projet'!$B$14,Paramètres!$A$1:$I$89,3,0)*VLOOKUP('Données projet'!$B$14,Paramètres!$A$1:$I$89,5,0)</f>
        <v>333.87120000000004</v>
      </c>
      <c r="DQ163" s="13">
        <f t="shared" si="176"/>
        <v>78.232360111376309</v>
      </c>
      <c r="DR163" s="20">
        <f t="shared" si="177"/>
        <v>717.74703386064709</v>
      </c>
      <c r="DS163" s="59">
        <f t="shared" si="125"/>
        <v>1007.7358137495935</v>
      </c>
      <c r="DT163" s="59">
        <f ca="1">AVERAGE(OFFSET($DS$3,0,0,'Données projet'!$E$14+1,1))-AVERAGE(OFFSET($H$3,0,0,'Données projet'!$E$14+1,1))</f>
        <v>442.34161202733173</v>
      </c>
      <c r="DU163" s="59">
        <f t="shared" si="152"/>
        <v>622.90413492324399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0.80540151093195766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0.80540151093195766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8.8960000000000043</v>
      </c>
      <c r="EJ163" s="12">
        <f>IF('Données projet'!$A$192&gt;35,EJ162+EI163-ER162,IF(A163&lt;'Données projet'!$A$192,$EG$205^A163,IF(A163='Données projet'!$A$192,'Données projet'!$B$192,EJ162+EI163-ER162)))</f>
        <v>544.73599999999999</v>
      </c>
      <c r="EK163" s="17">
        <f>EJ163*VLOOKUP('Données projet'!$B$15,Paramètres!$A$1:$I$89,3,0)*VLOOKUP('Données projet'!$B$15,Paramètres!$A$1:$I$89,5,0)</f>
        <v>594.85171199999991</v>
      </c>
      <c r="EL163" s="13">
        <f t="shared" si="179"/>
        <v>130.32256111159032</v>
      </c>
      <c r="EM163" s="20">
        <f t="shared" si="180"/>
        <v>1263.0118590026862</v>
      </c>
      <c r="EN163" s="59">
        <f t="shared" si="128"/>
        <v>1553.0006388916324</v>
      </c>
      <c r="EO163" s="59">
        <f ca="1">AVERAGE(OFFSET($EN$3,0,0,'Données projet'!$E$15+1,1))-AVERAGE(OFFSET($H$3,0,0,'Données projet'!$E$15+1,1))</f>
        <v>767.9449852393318</v>
      </c>
      <c r="EP163" s="59">
        <f t="shared" si="154"/>
        <v>230.95605490295961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130.64126589108182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130.64126589108182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69.087849060621721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3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</v>
      </c>
      <c r="H164" s="66">
        <f t="shared" si="110"/>
        <v>212.66666666666666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188.98184340090461</v>
      </c>
      <c r="T164" s="59">
        <f t="shared" si="142"/>
        <v>450.74604661797798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20.879999999999939</v>
      </c>
      <c r="AJ164" s="13">
        <f>AI164*VLOOKUP('Données projet'!$B$10,Paramètres!$A$1:$I$89,3,0)*VLOOKUP('Données projet'!$B$10,Paramètres!$A$1:$I$89,5,0)</f>
        <v>18.892223999999942</v>
      </c>
      <c r="AK164" s="13">
        <f t="shared" si="164"/>
        <v>6.184089977612083</v>
      </c>
      <c r="AL164" s="20">
        <f t="shared" si="165"/>
        <v>43.674580177674272</v>
      </c>
      <c r="AM164" s="59">
        <f t="shared" si="113"/>
        <v>333.72138059157942</v>
      </c>
      <c r="AN164" s="59">
        <f ca="1">AVERAGE(OFFSET($AM$3,0,0,'Données projet'!$E$10+1,1))-AVERAGE(OFFSET($H$3,0,0,'Données projet'!$E$10+1,1))</f>
        <v>725.60981534362895</v>
      </c>
      <c r="AO164" s="59">
        <f t="shared" si="144"/>
        <v>265.16078167969272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341.71497950152661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341.71497950152661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149.89999999999998</v>
      </c>
      <c r="BE164" s="13">
        <f>BD164*VLOOKUP('Données projet'!$B$11,Paramètres!$A$1:$I$89,3,0)*VLOOKUP('Données projet'!$B$11,Paramètres!$A$1:$I$89,5,0)</f>
        <v>172.68479999999997</v>
      </c>
      <c r="BF164" s="13">
        <f t="shared" si="167"/>
        <v>43.690780005214812</v>
      </c>
      <c r="BG164" s="20">
        <f t="shared" si="168"/>
        <v>376.85413517574904</v>
      </c>
      <c r="BH164" s="59">
        <f t="shared" si="116"/>
        <v>666.90093558965418</v>
      </c>
      <c r="BI164" s="59">
        <f ca="1">AVERAGE(OFFSET($BH$3,0,0,'Données projet'!$E$11+1,1))-AVERAGE(OFFSET($H$3,0,0,'Données projet'!$E$11+1,1))</f>
        <v>332.93090933713466</v>
      </c>
      <c r="BJ164" s="59">
        <f t="shared" si="146"/>
        <v>251.83579649532973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16.617741451663509</v>
      </c>
      <c r="BQ164" s="21">
        <f>EXP(-LN(2)/25)*BQ163+(1-EXP(-LN(2)/25))/(LN(2)/25)*Calculateur!BL164*Calculateur!BN164*VLOOKUP('Données projet'!$B$11,Paramètres!$A$1:$I$89,3,0)*0.475*44/12</f>
        <v>0.18403437452167928</v>
      </c>
      <c r="BR164" s="21">
        <f>EXP(-LN(2)/2)*BR163+(1-EXP(-LN(2)/2))/(LN(2)/2)*BL164*BO164*VLOOKUP('Données projet'!$B$11,Paramètres!$A$1:$I$89,3,0)*0.475*44/12</f>
        <v>5.1572723101904098E-23</v>
      </c>
      <c r="BS164" s="22">
        <f t="shared" si="169"/>
        <v>16.801775826185189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8.8960000000000043</v>
      </c>
      <c r="BY164" s="12">
        <f>IF('Données projet'!$A$114&gt;35,BY163+BX164-CG163,IF(A164&lt;'Données projet'!$A$114,$BV$205^A164,IF(A164='Données projet'!$A$114,'Données projet'!$B$114,BY163+BX164-CG163)))</f>
        <v>553.63199999999995</v>
      </c>
      <c r="BZ164" s="13">
        <f>BY164*VLOOKUP('Données projet'!$B$12,Paramètres!$A$1:$I$89,3,0)*VLOOKUP('Données projet'!$B$12,Paramètres!$A$1:$I$89,5,0)</f>
        <v>630.47612159999994</v>
      </c>
      <c r="CA164" s="13">
        <f t="shared" si="170"/>
        <v>137.19531392421899</v>
      </c>
      <c r="CB164" s="20">
        <f t="shared" si="171"/>
        <v>1337.0277502046813</v>
      </c>
      <c r="CC164" s="59">
        <f t="shared" si="119"/>
        <v>1627.0745506185865</v>
      </c>
      <c r="CD164" s="59">
        <f ca="1">AVERAGE(OFFSET($CC$3,0,0,'Données projet'!$E$12+1,1))-AVERAGE(OFFSET($H$3,0,0,'Données projet'!$E$12+1,1))</f>
        <v>797.57191672067393</v>
      </c>
      <c r="CE164" s="59">
        <f t="shared" si="148"/>
        <v>238.59056544987126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133.56859050813014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133.56859050813014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>
        <f>CT164*VLOOKUP('Données projet'!$B$13,Paramètres!$A$1:$I$89,3,0)*VLOOKUP('Données projet'!$B$13,Paramètres!$A$1:$I$89,5,0)</f>
        <v>0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188.98184340090461</v>
      </c>
      <c r="CZ164" s="59">
        <f t="shared" si="150"/>
        <v>450.74604661797798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3.6115161272393794</v>
      </c>
      <c r="DH164" s="21">
        <f>EXP(-LN(2)/2)*DH163+(1-EXP(-LN(2)/2))/(LN(2)/2)*DB164*DE164*VLOOKUP('Données projet'!$B$13,Paramètres!$A$1:$I$89,3,0)*0.475*44/12</f>
        <v>8.6174934755744706E-22</v>
      </c>
      <c r="DI164" s="22">
        <f t="shared" si="175"/>
        <v>3.6115161272393794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369.00000000000011</v>
      </c>
      <c r="DP164" s="17">
        <f>DO164*VLOOKUP('Données projet'!$B$14,Paramètres!$A$1:$I$89,3,0)*VLOOKUP('Données projet'!$B$14,Paramètres!$A$1:$I$89,5,0)</f>
        <v>333.87120000000004</v>
      </c>
      <c r="DQ164" s="13">
        <f t="shared" si="176"/>
        <v>78.232360111376309</v>
      </c>
      <c r="DR164" s="20">
        <f t="shared" si="177"/>
        <v>717.74703386064709</v>
      </c>
      <c r="DS164" s="59">
        <f t="shared" si="125"/>
        <v>1007.7938342745522</v>
      </c>
      <c r="DT164" s="59">
        <f ca="1">AVERAGE(OFFSET($DS$3,0,0,'Données projet'!$E$14+1,1))-AVERAGE(OFFSET($H$3,0,0,'Données projet'!$E$14+1,1))</f>
        <v>442.34161202733173</v>
      </c>
      <c r="DU164" s="59">
        <f t="shared" si="152"/>
        <v>622.90413492324399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0.78960807854899706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0.78960807854899706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8.8960000000000043</v>
      </c>
      <c r="EJ164" s="12">
        <f>IF('Données projet'!$A$192&gt;35,EJ163+EI164-ER163,IF(A164&lt;'Données projet'!$A$192,$EG$205^A164,IF(A164='Données projet'!$A$192,'Données projet'!$B$192,EJ163+EI164-ER163)))</f>
        <v>553.63199999999995</v>
      </c>
      <c r="EK164" s="17">
        <f>EJ164*VLOOKUP('Données projet'!$B$15,Paramètres!$A$1:$I$89,3,0)*VLOOKUP('Données projet'!$B$15,Paramètres!$A$1:$I$89,5,0)</f>
        <v>604.56614399999989</v>
      </c>
      <c r="EL164" s="13">
        <f t="shared" si="179"/>
        <v>132.20133071810972</v>
      </c>
      <c r="EM164" s="20">
        <f t="shared" si="180"/>
        <v>1283.2033518007074</v>
      </c>
      <c r="EN164" s="59">
        <f t="shared" si="128"/>
        <v>1573.2501522146126</v>
      </c>
      <c r="EO164" s="59">
        <f ca="1">AVERAGE(OFFSET($EN$3,0,0,'Données projet'!$E$15+1,1))-AVERAGE(OFFSET($H$3,0,0,'Données projet'!$E$15+1,1))</f>
        <v>767.9449852393318</v>
      </c>
      <c r="EP164" s="59">
        <f t="shared" si="154"/>
        <v>230.95605490295961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128.07947035026183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128.07947035026183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69.103672840155951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3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</v>
      </c>
      <c r="H165" s="66">
        <f t="shared" si="110"/>
        <v>212.66666666666666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188.98184340090461</v>
      </c>
      <c r="T165" s="59">
        <f t="shared" si="142"/>
        <v>450.74604661797798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20.879999999999939</v>
      </c>
      <c r="AJ165" s="13">
        <f>AI165*VLOOKUP('Données projet'!$B$10,Paramètres!$A$1:$I$89,3,0)*VLOOKUP('Données projet'!$B$10,Paramètres!$A$1:$I$89,5,0)</f>
        <v>18.892223999999942</v>
      </c>
      <c r="AK165" s="13">
        <f t="shared" si="164"/>
        <v>6.184089977612083</v>
      </c>
      <c r="AL165" s="20">
        <f t="shared" si="165"/>
        <v>43.674580177674272</v>
      </c>
      <c r="AM165" s="59">
        <f t="shared" si="113"/>
        <v>333.77839459014461</v>
      </c>
      <c r="AN165" s="59">
        <f ca="1">AVERAGE(OFFSET($AM$3,0,0,'Données projet'!$E$10+1,1))-AVERAGE(OFFSET($H$3,0,0,'Données projet'!$E$10+1,1))</f>
        <v>725.60981534362895</v>
      </c>
      <c r="AO165" s="59">
        <f t="shared" si="144"/>
        <v>265.16078167969272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335.01415717905888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335.01415717905888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149.89999999999998</v>
      </c>
      <c r="BE165" s="13">
        <f>BD165*VLOOKUP('Données projet'!$B$11,Paramètres!$A$1:$I$89,3,0)*VLOOKUP('Données projet'!$B$11,Paramètres!$A$1:$I$89,5,0)</f>
        <v>172.68479999999997</v>
      </c>
      <c r="BF165" s="13">
        <f t="shared" si="167"/>
        <v>43.690780005214812</v>
      </c>
      <c r="BG165" s="20">
        <f t="shared" si="168"/>
        <v>376.85413517574904</v>
      </c>
      <c r="BH165" s="59">
        <f t="shared" si="116"/>
        <v>666.95794958821944</v>
      </c>
      <c r="BI165" s="59">
        <f ca="1">AVERAGE(OFFSET($BH$3,0,0,'Données projet'!$E$11+1,1))-AVERAGE(OFFSET($H$3,0,0,'Données projet'!$E$11+1,1))</f>
        <v>332.93090933713466</v>
      </c>
      <c r="BJ165" s="59">
        <f t="shared" si="146"/>
        <v>251.83579649532973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16.291877677617844</v>
      </c>
      <c r="BQ165" s="21">
        <f>EXP(-LN(2)/25)*BQ164+(1-EXP(-LN(2)/25))/(LN(2)/25)*Calculateur!BL165*Calculateur!BN165*VLOOKUP('Données projet'!$B$11,Paramètres!$A$1:$I$89,3,0)*0.475*44/12</f>
        <v>0.17900194487243681</v>
      </c>
      <c r="BR165" s="21">
        <f>EXP(-LN(2)/2)*BR164+(1-EXP(-LN(2)/2))/(LN(2)/2)*BL165*BO165*VLOOKUP('Données projet'!$B$11,Paramètres!$A$1:$I$89,3,0)*0.475*44/12</f>
        <v>3.646742222961251E-23</v>
      </c>
      <c r="BS165" s="22">
        <f t="shared" si="169"/>
        <v>16.47087962249028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8.8960000000000043</v>
      </c>
      <c r="BY165" s="12">
        <f>IF('Données projet'!$A$114&gt;35,BY164+BX165-CG164,IF(A165&lt;'Données projet'!$A$114,$BV$205^A165,IF(A165='Données projet'!$A$114,'Données projet'!$B$114,BY164+BX165-CG164)))</f>
        <v>562.52799999999991</v>
      </c>
      <c r="BZ165" s="13">
        <f>BY165*VLOOKUP('Données projet'!$B$12,Paramètres!$A$1:$I$89,3,0)*VLOOKUP('Données projet'!$B$12,Paramètres!$A$1:$I$89,5,0)</f>
        <v>640.60688639999989</v>
      </c>
      <c r="CA165" s="13">
        <f t="shared" si="170"/>
        <v>139.14141167323112</v>
      </c>
      <c r="CB165" s="20">
        <f t="shared" si="171"/>
        <v>1358.0616191442107</v>
      </c>
      <c r="CC165" s="59">
        <f t="shared" si="119"/>
        <v>1648.1654335566809</v>
      </c>
      <c r="CD165" s="59">
        <f ca="1">AVERAGE(OFFSET($CC$3,0,0,'Données projet'!$E$12+1,1))-AVERAGE(OFFSET($H$3,0,0,'Données projet'!$E$12+1,1))</f>
        <v>797.57191672067393</v>
      </c>
      <c r="CE165" s="59">
        <f t="shared" si="148"/>
        <v>238.59056544987126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130.94939191706155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130.94939191706155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>
        <f>CT165*VLOOKUP('Données projet'!$B$13,Paramètres!$A$1:$I$89,3,0)*VLOOKUP('Données projet'!$B$13,Paramètres!$A$1:$I$89,5,0)</f>
        <v>0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188.98184340090461</v>
      </c>
      <c r="CZ165" s="59">
        <f t="shared" si="150"/>
        <v>450.74604661797798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3.5127590288186399</v>
      </c>
      <c r="DH165" s="21">
        <f>EXP(-LN(2)/2)*DH164+(1-EXP(-LN(2)/2))/(LN(2)/2)*DB165*DE165*VLOOKUP('Données projet'!$B$13,Paramètres!$A$1:$I$89,3,0)*0.475*44/12</f>
        <v>6.0934880734095382E-22</v>
      </c>
      <c r="DI165" s="22">
        <f t="shared" si="175"/>
        <v>3.5127590288186399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369.00000000000011</v>
      </c>
      <c r="DP165" s="17">
        <f>DO165*VLOOKUP('Données projet'!$B$14,Paramètres!$A$1:$I$89,3,0)*VLOOKUP('Données projet'!$B$14,Paramètres!$A$1:$I$89,5,0)</f>
        <v>333.87120000000004</v>
      </c>
      <c r="DQ165" s="13">
        <f t="shared" si="176"/>
        <v>78.232360111376309</v>
      </c>
      <c r="DR165" s="20">
        <f t="shared" si="177"/>
        <v>717.74703386064709</v>
      </c>
      <c r="DS165" s="59">
        <f t="shared" si="125"/>
        <v>1007.8508482731174</v>
      </c>
      <c r="DT165" s="59">
        <f ca="1">AVERAGE(OFFSET($DS$3,0,0,'Données projet'!$E$14+1,1))-AVERAGE(OFFSET($H$3,0,0,'Données projet'!$E$14+1,1))</f>
        <v>442.34161202733173</v>
      </c>
      <c r="DU165" s="59">
        <f t="shared" si="152"/>
        <v>622.90413492324399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0.77412434574202382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0.77412434574202382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8.8960000000000043</v>
      </c>
      <c r="EJ165" s="12">
        <f>IF('Données projet'!$A$192&gt;35,EJ164+EI165-ER164,IF(A165&lt;'Données projet'!$A$192,$EG$205^A165,IF(A165='Données projet'!$A$192,'Données projet'!$B$192,EJ164+EI165-ER164)))</f>
        <v>562.52799999999991</v>
      </c>
      <c r="EK165" s="17">
        <f>EJ165*VLOOKUP('Données projet'!$B$15,Paramètres!$A$1:$I$89,3,0)*VLOOKUP('Données projet'!$B$15,Paramètres!$A$1:$I$89,5,0)</f>
        <v>614.28057599999988</v>
      </c>
      <c r="EL165" s="13">
        <f t="shared" si="179"/>
        <v>134.07658946250868</v>
      </c>
      <c r="EM165" s="20">
        <f t="shared" si="180"/>
        <v>1303.3887298472023</v>
      </c>
      <c r="EN165" s="59">
        <f t="shared" si="128"/>
        <v>1593.4925442596727</v>
      </c>
      <c r="EO165" s="59">
        <f ca="1">AVERAGE(OFFSET($EN$3,0,0,'Données projet'!$E$15+1,1))-AVERAGE(OFFSET($H$3,0,0,'Données projet'!$E$15+1,1))</f>
        <v>767.9449852393318</v>
      </c>
      <c r="EP165" s="59">
        <f t="shared" si="154"/>
        <v>230.95605490295961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125.56791005745632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125.56791005745632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69.119222112491912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3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</v>
      </c>
      <c r="H166" s="66">
        <f t="shared" si="110"/>
        <v>212.66666666666666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188.98184340090461</v>
      </c>
      <c r="T166" s="59">
        <f t="shared" si="142"/>
        <v>450.74604661797798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20.879999999999939</v>
      </c>
      <c r="AJ166" s="13">
        <f>AI166*VLOOKUP('Données projet'!$B$10,Paramètres!$A$1:$I$89,3,0)*VLOOKUP('Données projet'!$B$10,Paramètres!$A$1:$I$89,5,0)</f>
        <v>18.892223999999942</v>
      </c>
      <c r="AK166" s="13">
        <f t="shared" si="164"/>
        <v>6.184089977612083</v>
      </c>
      <c r="AL166" s="20">
        <f t="shared" si="165"/>
        <v>43.674580177674272</v>
      </c>
      <c r="AM166" s="59">
        <f t="shared" si="113"/>
        <v>333.83441952329895</v>
      </c>
      <c r="AN166" s="59">
        <f ca="1">AVERAGE(OFFSET($AM$3,0,0,'Données projet'!$E$10+1,1))-AVERAGE(OFFSET($H$3,0,0,'Données projet'!$E$10+1,1))</f>
        <v>725.60981534362895</v>
      </c>
      <c r="AO166" s="59">
        <f t="shared" si="144"/>
        <v>265.16078167969272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328.44473389523665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328.44473389523665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149.89999999999998</v>
      </c>
      <c r="BE166" s="13">
        <f>BD166*VLOOKUP('Données projet'!$B$11,Paramètres!$A$1:$I$89,3,0)*VLOOKUP('Données projet'!$B$11,Paramètres!$A$1:$I$89,5,0)</f>
        <v>172.68479999999997</v>
      </c>
      <c r="BF166" s="13">
        <f t="shared" si="167"/>
        <v>43.690780005214812</v>
      </c>
      <c r="BG166" s="20">
        <f t="shared" si="168"/>
        <v>376.85413517574904</v>
      </c>
      <c r="BH166" s="59">
        <f t="shared" si="116"/>
        <v>667.01397452137371</v>
      </c>
      <c r="BI166" s="59">
        <f ca="1">AVERAGE(OFFSET($BH$3,0,0,'Données projet'!$E$11+1,1))-AVERAGE(OFFSET($H$3,0,0,'Données projet'!$E$11+1,1))</f>
        <v>332.93090933713466</v>
      </c>
      <c r="BJ166" s="59">
        <f t="shared" si="146"/>
        <v>251.83579649532973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15.972403893423937</v>
      </c>
      <c r="BQ166" s="21">
        <f>EXP(-LN(2)/25)*BQ165+(1-EXP(-LN(2)/25))/(LN(2)/25)*Calculateur!BL166*Calculateur!BN166*VLOOKUP('Données projet'!$B$11,Paramètres!$A$1:$I$89,3,0)*0.475*44/12</f>
        <v>0.17410712727659686</v>
      </c>
      <c r="BR166" s="21">
        <f>EXP(-LN(2)/2)*BR165+(1-EXP(-LN(2)/2))/(LN(2)/2)*BL166*BO166*VLOOKUP('Données projet'!$B$11,Paramètres!$A$1:$I$89,3,0)*0.475*44/12</f>
        <v>2.5786361550952055E-23</v>
      </c>
      <c r="BS166" s="22">
        <f t="shared" si="169"/>
        <v>16.146511020700533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8.8960000000000043</v>
      </c>
      <c r="BY166" s="12">
        <f>IF('Données projet'!$A$114&gt;35,BY165+BX166-CG165,IF(A166&lt;'Données projet'!$A$114,$BV$205^A166,IF(A166='Données projet'!$A$114,'Données projet'!$B$114,BY165+BX166-CG165)))</f>
        <v>571.42399999999986</v>
      </c>
      <c r="BZ166" s="13">
        <f>BY166*VLOOKUP('Données projet'!$B$12,Paramètres!$A$1:$I$89,3,0)*VLOOKUP('Données projet'!$B$12,Paramètres!$A$1:$I$89,5,0)</f>
        <v>650.73765119999985</v>
      </c>
      <c r="CA166" s="13">
        <f t="shared" si="170"/>
        <v>141.08393020763194</v>
      </c>
      <c r="CB166" s="20">
        <f t="shared" si="171"/>
        <v>1379.0892542849588</v>
      </c>
      <c r="CC166" s="59">
        <f t="shared" si="119"/>
        <v>1669.2490936305835</v>
      </c>
      <c r="CD166" s="59">
        <f ca="1">AVERAGE(OFFSET($CC$3,0,0,'Données projet'!$E$12+1,1))-AVERAGE(OFFSET($H$3,0,0,'Données projet'!$E$12+1,1))</f>
        <v>797.57191672067393</v>
      </c>
      <c r="CE166" s="59">
        <f t="shared" si="148"/>
        <v>238.59056544987126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128.38155421281041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128.38155421281041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>
        <f>CT166*VLOOKUP('Données projet'!$B$13,Paramètres!$A$1:$I$89,3,0)*VLOOKUP('Données projet'!$B$13,Paramètres!$A$1:$I$89,5,0)</f>
        <v>0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188.98184340090461</v>
      </c>
      <c r="CZ166" s="59">
        <f t="shared" si="150"/>
        <v>450.74604661797798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3.4167024484476252</v>
      </c>
      <c r="DH166" s="21">
        <f>EXP(-LN(2)/2)*DH165+(1-EXP(-LN(2)/2))/(LN(2)/2)*DB166*DE166*VLOOKUP('Données projet'!$B$13,Paramètres!$A$1:$I$89,3,0)*0.475*44/12</f>
        <v>4.3087467377872353E-22</v>
      </c>
      <c r="DI166" s="22">
        <f t="shared" si="175"/>
        <v>3.4167024484476252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369.00000000000011</v>
      </c>
      <c r="DP166" s="17">
        <f>DO166*VLOOKUP('Données projet'!$B$14,Paramètres!$A$1:$I$89,3,0)*VLOOKUP('Données projet'!$B$14,Paramètres!$A$1:$I$89,5,0)</f>
        <v>333.87120000000004</v>
      </c>
      <c r="DQ166" s="13">
        <f t="shared" si="176"/>
        <v>78.232360111376309</v>
      </c>
      <c r="DR166" s="20">
        <f t="shared" si="177"/>
        <v>717.74703386064709</v>
      </c>
      <c r="DS166" s="59">
        <f t="shared" si="125"/>
        <v>1007.9068732062717</v>
      </c>
      <c r="DT166" s="59">
        <f ca="1">AVERAGE(OFFSET($DS$3,0,0,'Données projet'!$E$14+1,1))-AVERAGE(OFFSET($H$3,0,0,'Données projet'!$E$14+1,1))</f>
        <v>442.34161202733173</v>
      </c>
      <c r="DU166" s="59">
        <f t="shared" si="152"/>
        <v>622.90413492324399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0.75894423949125078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0.75894423949125078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8.8960000000000043</v>
      </c>
      <c r="EJ166" s="12">
        <f>IF('Données projet'!$A$192&gt;35,EJ165+EI166-ER165,IF(A166&lt;'Données projet'!$A$192,$EG$205^A166,IF(A166='Données projet'!$A$192,'Données projet'!$B$192,EJ165+EI166-ER165)))</f>
        <v>571.42399999999986</v>
      </c>
      <c r="EK166" s="17">
        <f>EJ166*VLOOKUP('Données projet'!$B$15,Paramètres!$A$1:$I$89,3,0)*VLOOKUP('Données projet'!$B$15,Paramètres!$A$1:$I$89,5,0)</f>
        <v>623.99500799999987</v>
      </c>
      <c r="EL166" s="13">
        <f t="shared" si="179"/>
        <v>135.94839927763263</v>
      </c>
      <c r="EM166" s="20">
        <f t="shared" si="180"/>
        <v>1323.5681010085434</v>
      </c>
      <c r="EN166" s="59">
        <f t="shared" si="128"/>
        <v>1613.7279403541681</v>
      </c>
      <c r="EO166" s="59">
        <f ca="1">AVERAGE(OFFSET($EN$3,0,0,'Données projet'!$E$15+1,1))-AVERAGE(OFFSET($H$3,0,0,'Données projet'!$E$15+1,1))</f>
        <v>767.9449852393318</v>
      </c>
      <c r="EP166" s="59">
        <f t="shared" si="154"/>
        <v>230.95605490295961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123.10559993009221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123.10559993009221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69.134501639715822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3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</v>
      </c>
      <c r="H167" s="66">
        <f t="shared" si="110"/>
        <v>212.66666666666666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188.98184340090461</v>
      </c>
      <c r="T167" s="59">
        <f t="shared" si="142"/>
        <v>450.74604661797798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20.879999999999939</v>
      </c>
      <c r="AJ167" s="13">
        <f>AI167*VLOOKUP('Données projet'!$B$10,Paramètres!$A$1:$I$89,3,0)*VLOOKUP('Données projet'!$B$10,Paramètres!$A$1:$I$89,5,0)</f>
        <v>18.892223999999942</v>
      </c>
      <c r="AK167" s="13">
        <f t="shared" si="164"/>
        <v>6.184089977612083</v>
      </c>
      <c r="AL167" s="20">
        <f t="shared" si="165"/>
        <v>43.674580177674272</v>
      </c>
      <c r="AM167" s="59">
        <f t="shared" si="113"/>
        <v>333.88947254911602</v>
      </c>
      <c r="AN167" s="59">
        <f ca="1">AVERAGE(OFFSET($AM$3,0,0,'Données projet'!$E$10+1,1))-AVERAGE(OFFSET($H$3,0,0,'Données projet'!$E$10+1,1))</f>
        <v>725.60981534362895</v>
      </c>
      <c r="AO167" s="59">
        <f t="shared" si="144"/>
        <v>265.16078167969272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322.00413299505766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322.00413299505766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149.89999999999998</v>
      </c>
      <c r="BE167" s="13">
        <f>BD167*VLOOKUP('Données projet'!$B$11,Paramètres!$A$1:$I$89,3,0)*VLOOKUP('Données projet'!$B$11,Paramètres!$A$1:$I$89,5,0)</f>
        <v>172.68479999999997</v>
      </c>
      <c r="BF167" s="13">
        <f t="shared" si="167"/>
        <v>43.690780005214812</v>
      </c>
      <c r="BG167" s="20">
        <f t="shared" si="168"/>
        <v>376.85413517574904</v>
      </c>
      <c r="BH167" s="59">
        <f t="shared" si="116"/>
        <v>667.06902754719079</v>
      </c>
      <c r="BI167" s="59">
        <f ca="1">AVERAGE(OFFSET($BH$3,0,0,'Données projet'!$E$11+1,1))-AVERAGE(OFFSET($H$3,0,0,'Données projet'!$E$11+1,1))</f>
        <v>332.93090933713466</v>
      </c>
      <c r="BJ167" s="59">
        <f t="shared" si="146"/>
        <v>251.83579649532973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15.659194795278307</v>
      </c>
      <c r="BQ167" s="21">
        <f>EXP(-LN(2)/25)*BQ166+(1-EXP(-LN(2)/25))/(LN(2)/25)*Calculateur!BL167*Calculateur!BN167*VLOOKUP('Données projet'!$B$11,Paramètres!$A$1:$I$89,3,0)*0.475*44/12</f>
        <v>0.16934615872532241</v>
      </c>
      <c r="BR167" s="21">
        <f>EXP(-LN(2)/2)*BR166+(1-EXP(-LN(2)/2))/(LN(2)/2)*BL167*BO167*VLOOKUP('Données projet'!$B$11,Paramètres!$A$1:$I$89,3,0)*0.475*44/12</f>
        <v>1.8233711114806258E-23</v>
      </c>
      <c r="BS167" s="22">
        <f t="shared" si="169"/>
        <v>15.828540954003628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>
        <f>VLOOKUP(A167,'Données projet'!$A$113:$I$133,2,0)</f>
        <v>580.32000000000005</v>
      </c>
      <c r="BW167" s="12">
        <f>VLOOKUP(A167,'Données projet'!$A$113:$I$133,9,0)</f>
        <v>8.8960000000000043</v>
      </c>
      <c r="BX167" s="12">
        <f t="array" ref="BX167">INDEX(BW:BW,MIN(IF(ISNUMBER(BW167:BW363),ROW(BW167:BW363),"")))</f>
        <v>8.8960000000000043</v>
      </c>
      <c r="BY167" s="12">
        <f>IF('Données projet'!$A$114&gt;35,BY166+BX167-CG166,IF(A167&lt;'Données projet'!$A$114,$BV$205^A167,IF(A167='Données projet'!$A$114,'Données projet'!$B$114,BY166+BX167-CG166)))</f>
        <v>580.31999999999982</v>
      </c>
      <c r="BZ167" s="13">
        <f>BY167*VLOOKUP('Données projet'!$B$12,Paramètres!$A$1:$I$89,3,0)*VLOOKUP('Données projet'!$B$12,Paramètres!$A$1:$I$89,5,0)</f>
        <v>660.8684159999998</v>
      </c>
      <c r="CA167" s="13">
        <f t="shared" si="170"/>
        <v>143.0229316838082</v>
      </c>
      <c r="CB167" s="20">
        <f t="shared" si="171"/>
        <v>1400.1107638826322</v>
      </c>
      <c r="CC167" s="59">
        <f t="shared" si="119"/>
        <v>1690.3256562540739</v>
      </c>
      <c r="CD167" s="59">
        <f ca="1">AVERAGE(OFFSET($CC$3,0,0,'Données projet'!$E$12+1,1))-AVERAGE(OFFSET($H$3,0,0,'Données projet'!$E$12+1,1))</f>
        <v>797.57191672067393</v>
      </c>
      <c r="CE167" s="59">
        <f t="shared" si="148"/>
        <v>238.59056544987126</v>
      </c>
      <c r="CF167" s="15">
        <f>IF(ISNA(VLOOKUP(A167,'Données projet'!$A$113:$I$133,3,0)),0,VLOOKUP(A167,'Données projet'!$A$113:$I$133,3,0))</f>
        <v>14</v>
      </c>
      <c r="CG167" s="15">
        <f>IF(ISNA(VLOOKUP(A167,'Données projet'!$A$113:$I$133,4,0)),0,VLOOKUP(A167,'Données projet'!$A$113:$I$133,4,0))</f>
        <v>59.58</v>
      </c>
      <c r="CH167" s="16">
        <f>IF(ISNA(VLOOKUP(A167,'Données projet'!$A$113:$I$133,5,0)),0%,VLOOKUP(A167,'Données projet'!$A$113:$I$133,5,0)*VLOOKUP('Données projet'!$B$12,Paramètres!$A$1:$I$89,7,0))</f>
        <v>0.43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158.11658059350697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158.11658059350697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>
        <f>CT167*VLOOKUP('Données projet'!$B$13,Paramètres!$A$1:$I$89,3,0)*VLOOKUP('Données projet'!$B$13,Paramètres!$A$1:$I$89,5,0)</f>
        <v>0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188.98184340090461</v>
      </c>
      <c r="CZ167" s="59">
        <f t="shared" si="150"/>
        <v>450.74604661797798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3.3232725403182521</v>
      </c>
      <c r="DH167" s="21">
        <f>EXP(-LN(2)/2)*DH166+(1-EXP(-LN(2)/2))/(LN(2)/2)*DB167*DE167*VLOOKUP('Données projet'!$B$13,Paramètres!$A$1:$I$89,3,0)*0.475*44/12</f>
        <v>3.0467440367047691E-22</v>
      </c>
      <c r="DI167" s="22">
        <f t="shared" si="175"/>
        <v>3.3232725403182521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369.00000000000011</v>
      </c>
      <c r="DP167" s="17">
        <f>DO167*VLOOKUP('Données projet'!$B$14,Paramètres!$A$1:$I$89,3,0)*VLOOKUP('Données projet'!$B$14,Paramètres!$A$1:$I$89,5,0)</f>
        <v>333.87120000000004</v>
      </c>
      <c r="DQ167" s="13">
        <f t="shared" si="176"/>
        <v>78.232360111376309</v>
      </c>
      <c r="DR167" s="20">
        <f t="shared" si="177"/>
        <v>717.74703386064709</v>
      </c>
      <c r="DS167" s="59">
        <f t="shared" si="125"/>
        <v>1007.9619262320889</v>
      </c>
      <c r="DT167" s="59">
        <f ca="1">AVERAGE(OFFSET($DS$3,0,0,'Données projet'!$E$14+1,1))-AVERAGE(OFFSET($H$3,0,0,'Données projet'!$E$14+1,1))</f>
        <v>442.34161202733173</v>
      </c>
      <c r="DU167" s="59">
        <f t="shared" si="152"/>
        <v>622.90413492324399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0.74406180586510484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0.74406180586510484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>
        <f>VLOOKUP(A167,'Données projet'!$A$191:$I$211,2,0)</f>
        <v>580.32000000000005</v>
      </c>
      <c r="EH167" s="12">
        <f>VLOOKUP(A167,'Données projet'!$A$191:$I$211,9,0)</f>
        <v>8.8960000000000043</v>
      </c>
      <c r="EI167" s="12">
        <f t="array" ref="EI167">INDEX(EH:EH,MIN(IF(ISNUMBER(EH167:EH363),ROW(EH167:EH363),"")))</f>
        <v>8.8960000000000043</v>
      </c>
      <c r="EJ167" s="12">
        <f>IF('Données projet'!$A$192&gt;35,EJ166+EI167-ER166,IF(A167&lt;'Données projet'!$A$192,$EG$205^A167,IF(A167='Données projet'!$A$192,'Données projet'!$B$192,EJ166+EI167-ER166)))</f>
        <v>580.31999999999982</v>
      </c>
      <c r="EK167" s="17">
        <f>EJ167*VLOOKUP('Données projet'!$B$15,Paramètres!$A$1:$I$89,3,0)*VLOOKUP('Données projet'!$B$15,Paramètres!$A$1:$I$89,5,0)</f>
        <v>633.70943999999986</v>
      </c>
      <c r="EL167" s="13">
        <f t="shared" si="179"/>
        <v>137.81682005734277</v>
      </c>
      <c r="EM167" s="20">
        <f t="shared" si="180"/>
        <v>1343.7415695998716</v>
      </c>
      <c r="EN167" s="59">
        <f t="shared" si="128"/>
        <v>1633.9564619713133</v>
      </c>
      <c r="EO167" s="59">
        <f ca="1">AVERAGE(OFFSET($EN$3,0,0,'Données projet'!$E$15+1,1))-AVERAGE(OFFSET($H$3,0,0,'Données projet'!$E$15+1,1))</f>
        <v>767.9449852393318</v>
      </c>
      <c r="EP167" s="59">
        <f t="shared" si="154"/>
        <v>230.95605490295961</v>
      </c>
      <c r="EQ167" s="15">
        <f>IF(ISNA(VLOOKUP(A167,'Données projet'!$A$191:$I$211,3,0)),0,VLOOKUP(A167,'Données projet'!$A$191:$I$211,3,0))</f>
        <v>14</v>
      </c>
      <c r="ER167" s="15">
        <f>IF(ISNA(VLOOKUP(A167,'Données projet'!$A$191:$I$211,4,0)),0,VLOOKUP(A167,'Données projet'!$A$191:$I$211,4,0))</f>
        <v>59.58</v>
      </c>
      <c r="ES167" s="16">
        <f>IF(ISNA(VLOOKUP(A167,'Données projet'!$A$191:$I$211,5,0)),0%,VLOOKUP(A167,'Données projet'!$A$191:$I$211,5,0)*VLOOKUP('Données projet'!$B$15,Paramètres!$A$1:$I$89,7,0))</f>
        <v>0.43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151.61863892528069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151.61863892528069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69.149516101302297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3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</v>
      </c>
      <c r="H168" s="66">
        <f t="shared" si="110"/>
        <v>212.66666666666666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188.98184340090461</v>
      </c>
      <c r="T168" s="59">
        <f t="shared" si="142"/>
        <v>450.74604661797798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20.879999999999939</v>
      </c>
      <c r="AJ168" s="13">
        <f>AI168*VLOOKUP('Données projet'!$B$10,Paramètres!$A$1:$I$89,3,0)*VLOOKUP('Données projet'!$B$10,Paramètres!$A$1:$I$89,5,0)</f>
        <v>18.892223999999942</v>
      </c>
      <c r="AK168" s="13">
        <f t="shared" si="164"/>
        <v>6.184089977612083</v>
      </c>
      <c r="AL168" s="20">
        <f t="shared" si="165"/>
        <v>43.674580177674272</v>
      </c>
      <c r="AM168" s="59">
        <f t="shared" si="113"/>
        <v>333.9435705280153</v>
      </c>
      <c r="AN168" s="59">
        <f ca="1">AVERAGE(OFFSET($AM$3,0,0,'Données projet'!$E$10+1,1))-AVERAGE(OFFSET($H$3,0,0,'Données projet'!$E$10+1,1))</f>
        <v>725.60981534362895</v>
      </c>
      <c r="AO168" s="59">
        <f t="shared" si="144"/>
        <v>265.16078167969272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315.68982835015248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315.68982835015248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149.89999999999998</v>
      </c>
      <c r="BE168" s="13">
        <f>BD168*VLOOKUP('Données projet'!$B$11,Paramètres!$A$1:$I$89,3,0)*VLOOKUP('Données projet'!$B$11,Paramètres!$A$1:$I$89,5,0)</f>
        <v>172.68479999999997</v>
      </c>
      <c r="BF168" s="13">
        <f t="shared" si="167"/>
        <v>43.690780005214812</v>
      </c>
      <c r="BG168" s="20">
        <f t="shared" si="168"/>
        <v>376.85413517574904</v>
      </c>
      <c r="BH168" s="59">
        <f t="shared" si="116"/>
        <v>667.12312552609001</v>
      </c>
      <c r="BI168" s="59">
        <f ca="1">AVERAGE(OFFSET($BH$3,0,0,'Données projet'!$E$11+1,1))-AVERAGE(OFFSET($H$3,0,0,'Données projet'!$E$11+1,1))</f>
        <v>332.93090933713466</v>
      </c>
      <c r="BJ168" s="59">
        <f t="shared" si="146"/>
        <v>251.83579649532973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15.352127536508625</v>
      </c>
      <c r="BQ168" s="21">
        <f>EXP(-LN(2)/25)*BQ167+(1-EXP(-LN(2)/25))/(LN(2)/25)*Calculateur!BL168*Calculateur!BN168*VLOOKUP('Données projet'!$B$11,Paramètres!$A$1:$I$89,3,0)*0.475*44/12</f>
        <v>0.16471537910945103</v>
      </c>
      <c r="BR168" s="21">
        <f>EXP(-LN(2)/2)*BR167+(1-EXP(-LN(2)/2))/(LN(2)/2)*BL168*BO168*VLOOKUP('Données projet'!$B$11,Paramètres!$A$1:$I$89,3,0)*0.475*44/12</f>
        <v>1.2893180775476029E-23</v>
      </c>
      <c r="BS168" s="22">
        <f t="shared" si="169"/>
        <v>15.516842915618076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8.977999999999998</v>
      </c>
      <c r="BY168" s="12">
        <f>IF('Données projet'!$A$114&gt;35,BY167+BX168-CG167,IF(A168&lt;'Données projet'!$A$114,$BV$205^A168,IF(A168='Données projet'!$A$114,'Données projet'!$B$114,BY167+BX168-CG167)))</f>
        <v>529.71799999999973</v>
      </c>
      <c r="BZ168" s="13">
        <f>BY168*VLOOKUP('Données projet'!$B$12,Paramètres!$A$1:$I$89,3,0)*VLOOKUP('Données projet'!$B$12,Paramètres!$A$1:$I$89,5,0)</f>
        <v>603.2428583999997</v>
      </c>
      <c r="CA168" s="13">
        <f t="shared" si="170"/>
        <v>131.94561544750891</v>
      </c>
      <c r="CB168" s="20">
        <f t="shared" si="171"/>
        <v>1280.453258617744</v>
      </c>
      <c r="CC168" s="59">
        <f t="shared" si="119"/>
        <v>1570.7222489680851</v>
      </c>
      <c r="CD168" s="59">
        <f ca="1">AVERAGE(OFFSET($CC$3,0,0,'Données projet'!$E$12+1,1))-AVERAGE(OFFSET($H$3,0,0,'Données projet'!$E$12+1,1))</f>
        <v>797.57191672067393</v>
      </c>
      <c r="CE168" s="59">
        <f t="shared" si="148"/>
        <v>238.59056544987126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155.01601088965964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155.01601088965964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>
        <f>CT168*VLOOKUP('Données projet'!$B$13,Paramètres!$A$1:$I$89,3,0)*VLOOKUP('Données projet'!$B$13,Paramètres!$A$1:$I$89,5,0)</f>
        <v>0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188.98184340090461</v>
      </c>
      <c r="CZ168" s="59">
        <f t="shared" si="150"/>
        <v>450.74604661797798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3.232397477939942</v>
      </c>
      <c r="DH168" s="21">
        <f>EXP(-LN(2)/2)*DH167+(1-EXP(-LN(2)/2))/(LN(2)/2)*DB168*DE168*VLOOKUP('Données projet'!$B$13,Paramètres!$A$1:$I$89,3,0)*0.475*44/12</f>
        <v>2.1543733688936177E-22</v>
      </c>
      <c r="DI168" s="22">
        <f t="shared" si="175"/>
        <v>3.232397477939942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369.00000000000011</v>
      </c>
      <c r="DP168" s="17">
        <f>DO168*VLOOKUP('Données projet'!$B$14,Paramètres!$A$1:$I$89,3,0)*VLOOKUP('Données projet'!$B$14,Paramètres!$A$1:$I$89,5,0)</f>
        <v>333.87120000000004</v>
      </c>
      <c r="DQ168" s="13">
        <f t="shared" si="176"/>
        <v>78.232360111376309</v>
      </c>
      <c r="DR168" s="20">
        <f t="shared" si="177"/>
        <v>717.74703386064709</v>
      </c>
      <c r="DS168" s="59">
        <f t="shared" si="125"/>
        <v>1008.0160242109881</v>
      </c>
      <c r="DT168" s="59">
        <f ca="1">AVERAGE(OFFSET($DS$3,0,0,'Données projet'!$E$14+1,1))-AVERAGE(OFFSET($H$3,0,0,'Données projet'!$E$14+1,1))</f>
        <v>442.34161202733173</v>
      </c>
      <c r="DU168" s="59">
        <f t="shared" si="152"/>
        <v>622.90413492324399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0.72947120768497942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0.72947120768497942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8.977999999999998</v>
      </c>
      <c r="EJ168" s="12">
        <f>IF('Données projet'!$A$192&gt;35,EJ167+EI168-ER167,IF(A168&lt;'Données projet'!$A$192,$EG$205^A168,IF(A168='Données projet'!$A$192,'Données projet'!$B$192,EJ167+EI168-ER167)))</f>
        <v>529.71799999999973</v>
      </c>
      <c r="EK168" s="17">
        <f>EJ168*VLOOKUP('Données projet'!$B$15,Paramètres!$A$1:$I$89,3,0)*VLOOKUP('Données projet'!$B$15,Paramètres!$A$1:$I$89,5,0)</f>
        <v>578.45205599999974</v>
      </c>
      <c r="EL168" s="13">
        <f t="shared" si="179"/>
        <v>127.14272408907243</v>
      </c>
      <c r="EM168" s="20">
        <f t="shared" si="180"/>
        <v>1228.9109086551341</v>
      </c>
      <c r="EN168" s="59">
        <f t="shared" si="128"/>
        <v>1519.1798990054751</v>
      </c>
      <c r="EO168" s="59">
        <f ca="1">AVERAGE(OFFSET($EN$3,0,0,'Données projet'!$E$15+1,1))-AVERAGE(OFFSET($H$3,0,0,'Données projet'!$E$15+1,1))</f>
        <v>767.9449852393318</v>
      </c>
      <c r="EP168" s="59">
        <f t="shared" si="154"/>
        <v>230.95605490295961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148.64548989419421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148.64548989419421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69.16427009554755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3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</v>
      </c>
      <c r="H169" s="66">
        <f t="shared" si="110"/>
        <v>212.66666666666666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188.98184340090461</v>
      </c>
      <c r="T169" s="59">
        <f t="shared" si="142"/>
        <v>450.74604661797798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20.879999999999939</v>
      </c>
      <c r="AJ169" s="13">
        <f>AI169*VLOOKUP('Données projet'!$B$10,Paramètres!$A$1:$I$89,3,0)*VLOOKUP('Données projet'!$B$10,Paramètres!$A$1:$I$89,5,0)</f>
        <v>18.892223999999942</v>
      </c>
      <c r="AK169" s="13">
        <f t="shared" si="164"/>
        <v>6.184089977612083</v>
      </c>
      <c r="AL169" s="20">
        <f t="shared" si="165"/>
        <v>43.674580177674272</v>
      </c>
      <c r="AM169" s="59">
        <f t="shared" si="113"/>
        <v>333.99673002792565</v>
      </c>
      <c r="AN169" s="59">
        <f ca="1">AVERAGE(OFFSET($AM$3,0,0,'Données projet'!$E$10+1,1))-AVERAGE(OFFSET($H$3,0,0,'Données projet'!$E$10+1,1))</f>
        <v>725.60981534362895</v>
      </c>
      <c r="AO169" s="59">
        <f t="shared" si="144"/>
        <v>265.16078167969272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309.49934336798839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309.49934336798839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149.89999999999998</v>
      </c>
      <c r="BE169" s="13">
        <f>BD169*VLOOKUP('Données projet'!$B$11,Paramètres!$A$1:$I$89,3,0)*VLOOKUP('Données projet'!$B$11,Paramètres!$A$1:$I$89,5,0)</f>
        <v>172.68479999999997</v>
      </c>
      <c r="BF169" s="13">
        <f t="shared" si="167"/>
        <v>43.690780005214812</v>
      </c>
      <c r="BG169" s="20">
        <f t="shared" si="168"/>
        <v>376.85413517574904</v>
      </c>
      <c r="BH169" s="59">
        <f t="shared" si="116"/>
        <v>667.17628502600041</v>
      </c>
      <c r="BI169" s="59">
        <f ca="1">AVERAGE(OFFSET($BH$3,0,0,'Données projet'!$E$11+1,1))-AVERAGE(OFFSET($H$3,0,0,'Données projet'!$E$11+1,1))</f>
        <v>332.93090933713466</v>
      </c>
      <c r="BJ169" s="59">
        <f t="shared" si="146"/>
        <v>251.83579649532973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15.051081679390883</v>
      </c>
      <c r="BQ169" s="21">
        <f>EXP(-LN(2)/25)*BQ168+(1-EXP(-LN(2)/25))/(LN(2)/25)*Calculateur!BL169*Calculateur!BN169*VLOOKUP('Données projet'!$B$11,Paramètres!$A$1:$I$89,3,0)*0.475*44/12</f>
        <v>0.16021122840569776</v>
      </c>
      <c r="BR169" s="21">
        <f>EXP(-LN(2)/2)*BR168+(1-EXP(-LN(2)/2))/(LN(2)/2)*BL169*BO169*VLOOKUP('Données projet'!$B$11,Paramètres!$A$1:$I$89,3,0)*0.475*44/12</f>
        <v>9.1168555574031305E-24</v>
      </c>
      <c r="BS169" s="22">
        <f t="shared" si="169"/>
        <v>15.211292907796581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8.977999999999998</v>
      </c>
      <c r="BY169" s="12">
        <f>IF('Données projet'!$A$114&gt;35,BY168+BX169-CG168,IF(A169&lt;'Données projet'!$A$114,$BV$205^A169,IF(A169='Données projet'!$A$114,'Données projet'!$B$114,BY168+BX169-CG168)))</f>
        <v>538.69599999999969</v>
      </c>
      <c r="BZ169" s="13">
        <f>BY169*VLOOKUP('Données projet'!$B$12,Paramètres!$A$1:$I$89,3,0)*VLOOKUP('Données projet'!$B$12,Paramètres!$A$1:$I$89,5,0)</f>
        <v>613.4670047999997</v>
      </c>
      <c r="CA169" s="13">
        <f t="shared" si="170"/>
        <v>133.91967212293693</v>
      </c>
      <c r="CB169" s="20">
        <f t="shared" si="171"/>
        <v>1301.6984623074479</v>
      </c>
      <c r="CC169" s="59">
        <f t="shared" si="119"/>
        <v>1592.0206121576994</v>
      </c>
      <c r="CD169" s="59">
        <f ca="1">AVERAGE(OFFSET($CC$3,0,0,'Données projet'!$E$12+1,1))-AVERAGE(OFFSET($H$3,0,0,'Données projet'!$E$12+1,1))</f>
        <v>797.57191672067393</v>
      </c>
      <c r="CE169" s="59">
        <f t="shared" si="148"/>
        <v>238.59056544987126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151.97624146654397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151.97624146654397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>
        <f>CT169*VLOOKUP('Données projet'!$B$13,Paramètres!$A$1:$I$89,3,0)*VLOOKUP('Données projet'!$B$13,Paramètres!$A$1:$I$89,5,0)</f>
        <v>0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188.98184340090461</v>
      </c>
      <c r="CZ169" s="59">
        <f t="shared" si="150"/>
        <v>450.74604661797798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3.1440073989212789</v>
      </c>
      <c r="DH169" s="21">
        <f>EXP(-LN(2)/2)*DH168+(1-EXP(-LN(2)/2))/(LN(2)/2)*DB169*DE169*VLOOKUP('Données projet'!$B$13,Paramètres!$A$1:$I$89,3,0)*0.475*44/12</f>
        <v>1.5233720183523845E-22</v>
      </c>
      <c r="DI169" s="22">
        <f t="shared" si="175"/>
        <v>3.1440073989212789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369.00000000000011</v>
      </c>
      <c r="DP169" s="17">
        <f>DO169*VLOOKUP('Données projet'!$B$14,Paramètres!$A$1:$I$89,3,0)*VLOOKUP('Données projet'!$B$14,Paramètres!$A$1:$I$89,5,0)</f>
        <v>333.87120000000004</v>
      </c>
      <c r="DQ169" s="13">
        <f t="shared" si="176"/>
        <v>78.232360111376309</v>
      </c>
      <c r="DR169" s="20">
        <f t="shared" si="177"/>
        <v>717.74703386064709</v>
      </c>
      <c r="DS169" s="59">
        <f t="shared" si="125"/>
        <v>1008.0691837108984</v>
      </c>
      <c r="DT169" s="59">
        <f ca="1">AVERAGE(OFFSET($DS$3,0,0,'Données projet'!$E$14+1,1))-AVERAGE(OFFSET($H$3,0,0,'Données projet'!$E$14+1,1))</f>
        <v>442.34161202733173</v>
      </c>
      <c r="DU169" s="59">
        <f t="shared" si="152"/>
        <v>622.90413492324399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0.71516672223578015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0.71516672223578015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8.977999999999998</v>
      </c>
      <c r="EJ169" s="12">
        <f>IF('Données projet'!$A$192&gt;35,EJ168+EI169-ER168,IF(A169&lt;'Données projet'!$A$192,$EG$205^A169,IF(A169='Données projet'!$A$192,'Données projet'!$B$192,EJ168+EI169-ER168)))</f>
        <v>538.69599999999969</v>
      </c>
      <c r="EK169" s="17">
        <f>EJ169*VLOOKUP('Données projet'!$B$15,Paramètres!$A$1:$I$89,3,0)*VLOOKUP('Données projet'!$B$15,Paramètres!$A$1:$I$89,5,0)</f>
        <v>588.25603199999966</v>
      </c>
      <c r="EL169" s="13">
        <f t="shared" si="179"/>
        <v>129.04492403993021</v>
      </c>
      <c r="EM169" s="20">
        <f t="shared" si="180"/>
        <v>1249.2991651028776</v>
      </c>
      <c r="EN169" s="59">
        <f t="shared" si="128"/>
        <v>1539.6213149531291</v>
      </c>
      <c r="EO169" s="59">
        <f ca="1">AVERAGE(OFFSET($EN$3,0,0,'Données projet'!$E$15+1,1))-AVERAGE(OFFSET($H$3,0,0,'Données projet'!$E$15+1,1))</f>
        <v>767.9449852393318</v>
      </c>
      <c r="EP169" s="59">
        <f t="shared" si="154"/>
        <v>230.95605490295961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145.73064250216549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145.73064250216549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69.178768140977638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3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</v>
      </c>
      <c r="H170" s="66">
        <f t="shared" si="110"/>
        <v>212.66666666666666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188.98184340090461</v>
      </c>
      <c r="T170" s="59">
        <f t="shared" si="142"/>
        <v>450.74604661797798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20.879999999999939</v>
      </c>
      <c r="AJ170" s="13">
        <f>AI170*VLOOKUP('Données projet'!$B$10,Paramètres!$A$1:$I$89,3,0)*VLOOKUP('Données projet'!$B$10,Paramètres!$A$1:$I$89,5,0)</f>
        <v>18.892223999999942</v>
      </c>
      <c r="AK170" s="13">
        <f t="shared" si="164"/>
        <v>6.184089977612083</v>
      </c>
      <c r="AL170" s="20">
        <f t="shared" si="165"/>
        <v>43.674580177674272</v>
      </c>
      <c r="AM170" s="59">
        <f t="shared" si="113"/>
        <v>334.04896732935936</v>
      </c>
      <c r="AN170" s="59">
        <f ca="1">AVERAGE(OFFSET($AM$3,0,0,'Données projet'!$E$10+1,1))-AVERAGE(OFFSET($H$3,0,0,'Données projet'!$E$10+1,1))</f>
        <v>725.60981534362895</v>
      </c>
      <c r="AO170" s="59">
        <f t="shared" si="144"/>
        <v>265.16078167969272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303.43025002050149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303.43025002050149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149.89999999999998</v>
      </c>
      <c r="BE170" s="13">
        <f>BD170*VLOOKUP('Données projet'!$B$11,Paramètres!$A$1:$I$89,3,0)*VLOOKUP('Données projet'!$B$11,Paramètres!$A$1:$I$89,5,0)</f>
        <v>172.68479999999997</v>
      </c>
      <c r="BF170" s="13">
        <f t="shared" si="167"/>
        <v>43.690780005214812</v>
      </c>
      <c r="BG170" s="20">
        <f t="shared" si="168"/>
        <v>376.85413517574904</v>
      </c>
      <c r="BH170" s="59">
        <f t="shared" si="116"/>
        <v>667.22852232743412</v>
      </c>
      <c r="BI170" s="59">
        <f ca="1">AVERAGE(OFFSET($BH$3,0,0,'Données projet'!$E$11+1,1))-AVERAGE(OFFSET($H$3,0,0,'Données projet'!$E$11+1,1))</f>
        <v>332.93090933713466</v>
      </c>
      <c r="BJ170" s="59">
        <f t="shared" si="146"/>
        <v>251.83579649532973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14.755939147911377</v>
      </c>
      <c r="BQ170" s="21">
        <f>EXP(-LN(2)/25)*BQ169+(1-EXP(-LN(2)/25))/(LN(2)/25)*Calculateur!BL170*Calculateur!BN170*VLOOKUP('Données projet'!$B$11,Paramètres!$A$1:$I$89,3,0)*0.475*44/12</f>
        <v>0.15583024393980163</v>
      </c>
      <c r="BR170" s="21">
        <f>EXP(-LN(2)/2)*BR169+(1-EXP(-LN(2)/2))/(LN(2)/2)*BL170*BO170*VLOOKUP('Données projet'!$B$11,Paramètres!$A$1:$I$89,3,0)*0.475*44/12</f>
        <v>6.4465903877380159E-24</v>
      </c>
      <c r="BS170" s="22">
        <f t="shared" si="169"/>
        <v>14.911769391851179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8.977999999999998</v>
      </c>
      <c r="BY170" s="12">
        <f>IF('Données projet'!$A$114&gt;35,BY169+BX170-CG169,IF(A170&lt;'Données projet'!$A$114,$BV$205^A170,IF(A170='Données projet'!$A$114,'Données projet'!$B$114,BY169+BX170-CG169)))</f>
        <v>547.67399999999964</v>
      </c>
      <c r="BZ170" s="13">
        <f>BY170*VLOOKUP('Données projet'!$B$12,Paramètres!$A$1:$I$89,3,0)*VLOOKUP('Données projet'!$B$12,Paramètres!$A$1:$I$89,5,0)</f>
        <v>623.69115119999958</v>
      </c>
      <c r="CA170" s="13">
        <f t="shared" si="170"/>
        <v>135.88990276705948</v>
      </c>
      <c r="CB170" s="20">
        <f t="shared" si="171"/>
        <v>1322.937002325961</v>
      </c>
      <c r="CC170" s="59">
        <f t="shared" si="119"/>
        <v>1613.3113894776461</v>
      </c>
      <c r="CD170" s="59">
        <f ca="1">AVERAGE(OFFSET($CC$3,0,0,'Données projet'!$E$12+1,1))-AVERAGE(OFFSET($H$3,0,0,'Données projet'!$E$12+1,1))</f>
        <v>797.57191672067393</v>
      </c>
      <c r="CE170" s="59">
        <f t="shared" si="148"/>
        <v>238.59056544987126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148.99608006773934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148.99608006773934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>
        <f>CT170*VLOOKUP('Données projet'!$B$13,Paramètres!$A$1:$I$89,3,0)*VLOOKUP('Données projet'!$B$13,Paramètres!$A$1:$I$89,5,0)</f>
        <v>0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188.98184340090461</v>
      </c>
      <c r="CZ170" s="59">
        <f t="shared" si="150"/>
        <v>450.74604661797798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3.0580343512616133</v>
      </c>
      <c r="DH170" s="21">
        <f>EXP(-LN(2)/2)*DH169+(1-EXP(-LN(2)/2))/(LN(2)/2)*DB170*DE170*VLOOKUP('Données projet'!$B$13,Paramètres!$A$1:$I$89,3,0)*0.475*44/12</f>
        <v>1.0771866844468088E-22</v>
      </c>
      <c r="DI170" s="22">
        <f t="shared" si="175"/>
        <v>3.0580343512616133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369.00000000000011</v>
      </c>
      <c r="DP170" s="17">
        <f>DO170*VLOOKUP('Données projet'!$B$14,Paramètres!$A$1:$I$89,3,0)*VLOOKUP('Données projet'!$B$14,Paramètres!$A$1:$I$89,5,0)</f>
        <v>333.87120000000004</v>
      </c>
      <c r="DQ170" s="13">
        <f t="shared" si="176"/>
        <v>78.232360111376309</v>
      </c>
      <c r="DR170" s="20">
        <f t="shared" si="177"/>
        <v>717.74703386064709</v>
      </c>
      <c r="DS170" s="59">
        <f t="shared" si="125"/>
        <v>1008.1214210123321</v>
      </c>
      <c r="DT170" s="59">
        <f ca="1">AVERAGE(OFFSET($DS$3,0,0,'Données projet'!$E$14+1,1))-AVERAGE(OFFSET($H$3,0,0,'Données projet'!$E$14+1,1))</f>
        <v>442.34161202733173</v>
      </c>
      <c r="DU170" s="59">
        <f t="shared" si="152"/>
        <v>622.90413492324399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0.70114273902136504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0.70114273902136504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8.977999999999998</v>
      </c>
      <c r="EJ170" s="12">
        <f>IF('Données projet'!$A$192&gt;35,EJ169+EI170-ER169,IF(A170&lt;'Données projet'!$A$192,$EG$205^A170,IF(A170='Données projet'!$A$192,'Données projet'!$B$192,EJ169+EI170-ER169)))</f>
        <v>547.67399999999964</v>
      </c>
      <c r="EK170" s="17">
        <f>EJ170*VLOOKUP('Données projet'!$B$15,Paramètres!$A$1:$I$89,3,0)*VLOOKUP('Données projet'!$B$15,Paramètres!$A$1:$I$89,5,0)</f>
        <v>598.06000799999958</v>
      </c>
      <c r="EL170" s="13">
        <f t="shared" si="179"/>
        <v>130.94343722907945</v>
      </c>
      <c r="EM170" s="20">
        <f t="shared" si="180"/>
        <v>1269.6810004406459</v>
      </c>
      <c r="EN170" s="59">
        <f t="shared" si="128"/>
        <v>1560.055387592331</v>
      </c>
      <c r="EO170" s="59">
        <f ca="1">AVERAGE(OFFSET($EN$3,0,0,'Données projet'!$E$15+1,1))-AVERAGE(OFFSET($H$3,0,0,'Données projet'!$E$15+1,1))</f>
        <v>767.9449852393318</v>
      </c>
      <c r="EP170" s="59">
        <f t="shared" si="154"/>
        <v>230.95605490295961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142.87295348961311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142.87295348961311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69.193014677732293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3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11</v>
      </c>
      <c r="H171" s="66">
        <f t="shared" si="110"/>
        <v>212.66666666666666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188.98184340090461</v>
      </c>
      <c r="T171" s="59">
        <f t="shared" si="142"/>
        <v>450.74604661797798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20.879999999999939</v>
      </c>
      <c r="AJ171" s="13">
        <f>AI171*VLOOKUP('Données projet'!$B$10,Paramètres!$A$1:$I$89,3,0)*VLOOKUP('Données projet'!$B$10,Paramètres!$A$1:$I$89,5,0)</f>
        <v>18.892223999999942</v>
      </c>
      <c r="AK171" s="13">
        <f t="shared" si="164"/>
        <v>6.184089977612083</v>
      </c>
      <c r="AL171" s="20">
        <f t="shared" si="165"/>
        <v>43.674580177674272</v>
      </c>
      <c r="AM171" s="59">
        <f t="shared" si="113"/>
        <v>334.10029843039831</v>
      </c>
      <c r="AN171" s="59">
        <f ca="1">AVERAGE(OFFSET($AM$3,0,0,'Données projet'!$E$10+1,1))-AVERAGE(OFFSET($H$3,0,0,'Données projet'!$E$10+1,1))</f>
        <v>725.60981534362895</v>
      </c>
      <c r="AO171" s="59">
        <f t="shared" si="144"/>
        <v>265.16078167969272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297.4801678917774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297.4801678917774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149.89999999999998</v>
      </c>
      <c r="BE171" s="13">
        <f>BD171*VLOOKUP('Données projet'!$B$11,Paramètres!$A$1:$I$89,3,0)*VLOOKUP('Données projet'!$B$11,Paramètres!$A$1:$I$89,5,0)</f>
        <v>172.68479999999997</v>
      </c>
      <c r="BF171" s="13">
        <f t="shared" si="167"/>
        <v>43.690780005214812</v>
      </c>
      <c r="BG171" s="20">
        <f t="shared" si="168"/>
        <v>376.85413517574904</v>
      </c>
      <c r="BH171" s="59">
        <f t="shared" si="116"/>
        <v>667.27985342847307</v>
      </c>
      <c r="BI171" s="59">
        <f ca="1">AVERAGE(OFFSET($BH$3,0,0,'Données projet'!$E$11+1,1))-AVERAGE(OFFSET($H$3,0,0,'Données projet'!$E$11+1,1))</f>
        <v>332.93090933713466</v>
      </c>
      <c r="BJ171" s="59">
        <f t="shared" si="146"/>
        <v>251.83579649532973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14.466584181455016</v>
      </c>
      <c r="BQ171" s="21">
        <f>EXP(-LN(2)/25)*BQ170+(1-EXP(-LN(2)/25))/(LN(2)/25)*Calculateur!BL171*Calculateur!BN171*VLOOKUP('Données projet'!$B$11,Paramètres!$A$1:$I$89,3,0)*0.475*44/12</f>
        <v>0.15156905772451137</v>
      </c>
      <c r="BR171" s="21">
        <f>EXP(-LN(2)/2)*BR170+(1-EXP(-LN(2)/2))/(LN(2)/2)*BL171*BO171*VLOOKUP('Données projet'!$B$11,Paramètres!$A$1:$I$89,3,0)*0.475*44/12</f>
        <v>4.558427778701566E-24</v>
      </c>
      <c r="BS171" s="22">
        <f t="shared" si="169"/>
        <v>14.618153239179527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8.977999999999998</v>
      </c>
      <c r="BY171" s="12">
        <f>IF('Données projet'!$A$114&gt;35,BY170+BX171-CG170,IF(A171&lt;'Données projet'!$A$114,$BV$205^A171,IF(A171='Données projet'!$A$114,'Données projet'!$B$114,BY170+BX171-CG170)))</f>
        <v>556.65199999999959</v>
      </c>
      <c r="BZ171" s="13">
        <f>BY171*VLOOKUP('Données projet'!$B$12,Paramètres!$A$1:$I$89,3,0)*VLOOKUP('Données projet'!$B$12,Paramètres!$A$1:$I$89,5,0)</f>
        <v>633.91529759999958</v>
      </c>
      <c r="CA171" s="13">
        <f t="shared" si="170"/>
        <v>137.85637734002734</v>
      </c>
      <c r="CB171" s="20">
        <f t="shared" si="171"/>
        <v>1344.1690005205469</v>
      </c>
      <c r="CC171" s="59">
        <f t="shared" si="119"/>
        <v>1634.5947187732709</v>
      </c>
      <c r="CD171" s="59">
        <f ca="1">AVERAGE(OFFSET($CC$3,0,0,'Données projet'!$E$12+1,1))-AVERAGE(OFFSET($H$3,0,0,'Données projet'!$E$12+1,1))</f>
        <v>797.57191672067393</v>
      </c>
      <c r="CE171" s="59">
        <f t="shared" si="148"/>
        <v>238.59056544987126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146.07435781624631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146.07435781624631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>
        <f>CT171*VLOOKUP('Données projet'!$B$13,Paramètres!$A$1:$I$89,3,0)*VLOOKUP('Données projet'!$B$13,Paramètres!$A$1:$I$89,5,0)</f>
        <v>0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188.98184340090461</v>
      </c>
      <c r="CZ171" s="59">
        <f t="shared" si="150"/>
        <v>450.74604661797798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2.974412241111327</v>
      </c>
      <c r="DH171" s="21">
        <f>EXP(-LN(2)/2)*DH170+(1-EXP(-LN(2)/2))/(LN(2)/2)*DB171*DE171*VLOOKUP('Données projet'!$B$13,Paramètres!$A$1:$I$89,3,0)*0.475*44/12</f>
        <v>7.6168600917619227E-23</v>
      </c>
      <c r="DI171" s="22">
        <f t="shared" si="175"/>
        <v>2.974412241111327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369.00000000000011</v>
      </c>
      <c r="DP171" s="17">
        <f>DO171*VLOOKUP('Données projet'!$B$14,Paramètres!$A$1:$I$89,3,0)*VLOOKUP('Données projet'!$B$14,Paramètres!$A$1:$I$89,5,0)</f>
        <v>333.87120000000004</v>
      </c>
      <c r="DQ171" s="13">
        <f t="shared" si="176"/>
        <v>78.232360111376309</v>
      </c>
      <c r="DR171" s="20">
        <f t="shared" si="177"/>
        <v>717.74703386064709</v>
      </c>
      <c r="DS171" s="59">
        <f t="shared" si="125"/>
        <v>1008.1727521133712</v>
      </c>
      <c r="DT171" s="59">
        <f ca="1">AVERAGE(OFFSET($DS$3,0,0,'Données projet'!$E$14+1,1))-AVERAGE(OFFSET($H$3,0,0,'Données projet'!$E$14+1,1))</f>
        <v>442.34161202733173</v>
      </c>
      <c r="DU171" s="59">
        <f t="shared" si="152"/>
        <v>622.90413492324399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0.68739375756399945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0.68739375756399945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8.977999999999998</v>
      </c>
      <c r="EJ171" s="12">
        <f>IF('Données projet'!$A$192&gt;35,EJ170+EI171-ER170,IF(A171&lt;'Données projet'!$A$192,$EG$205^A171,IF(A171='Données projet'!$A$192,'Données projet'!$B$192,EJ170+EI171-ER170)))</f>
        <v>556.65199999999959</v>
      </c>
      <c r="EK171" s="17">
        <f>EJ171*VLOOKUP('Données projet'!$B$15,Paramètres!$A$1:$I$89,3,0)*VLOOKUP('Données projet'!$B$15,Paramètres!$A$1:$I$89,5,0)</f>
        <v>607.8639839999995</v>
      </c>
      <c r="EL171" s="13">
        <f t="shared" si="179"/>
        <v>132.8383310700838</v>
      </c>
      <c r="EM171" s="20">
        <f t="shared" si="180"/>
        <v>1290.0565320803951</v>
      </c>
      <c r="EN171" s="59">
        <f t="shared" si="128"/>
        <v>1580.4822503331191</v>
      </c>
      <c r="EO171" s="59">
        <f ca="1">AVERAGE(OFFSET($EN$3,0,0,'Données projet'!$E$15+1,1))-AVERAGE(OFFSET($H$3,0,0,'Données projet'!$E$15+1,1))</f>
        <v>767.9449852393318</v>
      </c>
      <c r="EP171" s="59">
        <f t="shared" si="154"/>
        <v>230.95605490295961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140.07130201557868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140.07130201557868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69.207014068924735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3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11</v>
      </c>
      <c r="H172" s="66">
        <f t="shared" si="110"/>
        <v>212.66666666666666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188.98184340090461</v>
      </c>
      <c r="T172" s="59">
        <f t="shared" si="142"/>
        <v>450.74604661797798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20.879999999999939</v>
      </c>
      <c r="AJ172" s="13">
        <f>AI172*VLOOKUP('Données projet'!$B$10,Paramètres!$A$1:$I$89,3,0)*VLOOKUP('Données projet'!$B$10,Paramètres!$A$1:$I$89,5,0)</f>
        <v>18.892223999999942</v>
      </c>
      <c r="AK172" s="13">
        <f t="shared" si="164"/>
        <v>6.184089977612083</v>
      </c>
      <c r="AL172" s="20">
        <f t="shared" si="165"/>
        <v>43.674580177674272</v>
      </c>
      <c r="AM172" s="59">
        <f t="shared" si="113"/>
        <v>334.15073905159346</v>
      </c>
      <c r="AN172" s="59">
        <f ca="1">AVERAGE(OFFSET($AM$3,0,0,'Données projet'!$E$10+1,1))-AVERAGE(OFFSET($H$3,0,0,'Données projet'!$E$10+1,1))</f>
        <v>725.60981534362895</v>
      </c>
      <c r="AO172" s="59">
        <f t="shared" si="144"/>
        <v>265.16078167969272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291.64676324440586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291.64676324440586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149.89999999999998</v>
      </c>
      <c r="BE172" s="13">
        <f>BD172*VLOOKUP('Données projet'!$B$11,Paramètres!$A$1:$I$89,3,0)*VLOOKUP('Données projet'!$B$11,Paramètres!$A$1:$I$89,5,0)</f>
        <v>172.68479999999997</v>
      </c>
      <c r="BF172" s="13">
        <f t="shared" si="167"/>
        <v>43.690780005214812</v>
      </c>
      <c r="BG172" s="20">
        <f t="shared" si="168"/>
        <v>376.85413517574904</v>
      </c>
      <c r="BH172" s="59">
        <f t="shared" si="116"/>
        <v>667.33029404966828</v>
      </c>
      <c r="BI172" s="59">
        <f ca="1">AVERAGE(OFFSET($BH$3,0,0,'Données projet'!$E$11+1,1))-AVERAGE(OFFSET($H$3,0,0,'Données projet'!$E$11+1,1))</f>
        <v>332.93090933713466</v>
      </c>
      <c r="BJ172" s="59">
        <f t="shared" si="146"/>
        <v>251.83579649532973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14.182903289401761</v>
      </c>
      <c r="BQ172" s="21">
        <f>EXP(-LN(2)/25)*BQ171+(1-EXP(-LN(2)/25))/(LN(2)/25)*Calculateur!BL172*Calculateur!BN172*VLOOKUP('Données projet'!$B$11,Paramètres!$A$1:$I$89,3,0)*0.475*44/12</f>
        <v>0.14742439387036427</v>
      </c>
      <c r="BR172" s="21">
        <f>EXP(-LN(2)/2)*BR171+(1-EXP(-LN(2)/2))/(LN(2)/2)*BL172*BO172*VLOOKUP('Données projet'!$B$11,Paramètres!$A$1:$I$89,3,0)*0.475*44/12</f>
        <v>3.2232951938690083E-24</v>
      </c>
      <c r="BS172" s="22">
        <f t="shared" si="169"/>
        <v>14.330327683272126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8.977999999999998</v>
      </c>
      <c r="BY172" s="12">
        <f>IF('Données projet'!$A$114&gt;35,BY171+BX172-CG171,IF(A172&lt;'Données projet'!$A$114,$BV$205^A172,IF(A172='Données projet'!$A$114,'Données projet'!$B$114,BY171+BX172-CG171)))</f>
        <v>565.62999999999954</v>
      </c>
      <c r="BZ172" s="13">
        <f>BY172*VLOOKUP('Données projet'!$B$12,Paramètres!$A$1:$I$89,3,0)*VLOOKUP('Données projet'!$B$12,Paramètres!$A$1:$I$89,5,0)</f>
        <v>644.13944399999946</v>
      </c>
      <c r="CA172" s="13">
        <f t="shared" si="170"/>
        <v>139.81916341586702</v>
      </c>
      <c r="CB172" s="20">
        <f t="shared" si="171"/>
        <v>1365.394574582634</v>
      </c>
      <c r="CC172" s="59">
        <f t="shared" si="119"/>
        <v>1655.8707334565534</v>
      </c>
      <c r="CD172" s="59">
        <f ca="1">AVERAGE(OFFSET($CC$3,0,0,'Données projet'!$E$12+1,1))-AVERAGE(OFFSET($H$3,0,0,'Données projet'!$E$12+1,1))</f>
        <v>797.57191672067393</v>
      </c>
      <c r="CE172" s="59">
        <f t="shared" si="148"/>
        <v>238.59056544987126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143.20992875603042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143.20992875603042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>
        <f>CT172*VLOOKUP('Données projet'!$B$13,Paramètres!$A$1:$I$89,3,0)*VLOOKUP('Données projet'!$B$13,Paramètres!$A$1:$I$89,5,0)</f>
        <v>0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188.98184340090461</v>
      </c>
      <c r="CZ172" s="59">
        <f t="shared" si="150"/>
        <v>450.74604661797798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2.893076781960596</v>
      </c>
      <c r="DH172" s="21">
        <f>EXP(-LN(2)/2)*DH171+(1-EXP(-LN(2)/2))/(LN(2)/2)*DB172*DE172*VLOOKUP('Données projet'!$B$13,Paramètres!$A$1:$I$89,3,0)*0.475*44/12</f>
        <v>5.3859334222340442E-23</v>
      </c>
      <c r="DI172" s="22">
        <f t="shared" si="175"/>
        <v>2.893076781960596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369.00000000000011</v>
      </c>
      <c r="DP172" s="17">
        <f>DO172*VLOOKUP('Données projet'!$B$14,Paramètres!$A$1:$I$89,3,0)*VLOOKUP('Données projet'!$B$14,Paramètres!$A$1:$I$89,5,0)</f>
        <v>333.87120000000004</v>
      </c>
      <c r="DQ172" s="13">
        <f t="shared" si="176"/>
        <v>78.232360111376309</v>
      </c>
      <c r="DR172" s="20">
        <f t="shared" si="177"/>
        <v>717.74703386064709</v>
      </c>
      <c r="DS172" s="59">
        <f t="shared" si="125"/>
        <v>1008.2231927345663</v>
      </c>
      <c r="DT172" s="59">
        <f ca="1">AVERAGE(OFFSET($DS$3,0,0,'Données projet'!$E$14+1,1))-AVERAGE(OFFSET($H$3,0,0,'Données projet'!$E$14+1,1))</f>
        <v>442.34161202733173</v>
      </c>
      <c r="DU172" s="59">
        <f t="shared" si="152"/>
        <v>622.90413492324399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0.67391438524696223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0.67391438524696223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8.977999999999998</v>
      </c>
      <c r="EJ172" s="12">
        <f>IF('Données projet'!$A$192&gt;35,EJ171+EI172-ER171,IF(A172&lt;'Données projet'!$A$192,$EG$205^A172,IF(A172='Données projet'!$A$192,'Données projet'!$B$192,EJ171+EI172-ER171)))</f>
        <v>565.62999999999954</v>
      </c>
      <c r="EK172" s="17">
        <f>EJ172*VLOOKUP('Données projet'!$B$15,Paramètres!$A$1:$I$89,3,0)*VLOOKUP('Données projet'!$B$15,Paramètres!$A$1:$I$89,5,0)</f>
        <v>617.66795999999943</v>
      </c>
      <c r="EL172" s="13">
        <f t="shared" si="179"/>
        <v>134.72967067723914</v>
      </c>
      <c r="EM172" s="20">
        <f t="shared" si="180"/>
        <v>1310.4258734295238</v>
      </c>
      <c r="EN172" s="59">
        <f t="shared" si="128"/>
        <v>1600.9020323034429</v>
      </c>
      <c r="EO172" s="59">
        <f ca="1">AVERAGE(OFFSET($EN$3,0,0,'Données projet'!$E$15+1,1))-AVERAGE(OFFSET($H$3,0,0,'Données projet'!$E$15+1,1))</f>
        <v>767.9449852393318</v>
      </c>
      <c r="EP172" s="59">
        <f t="shared" si="154"/>
        <v>230.95605490295961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137.32458921811141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137.32458921811141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69.220770601977961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3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11</v>
      </c>
      <c r="H173" s="66">
        <f t="shared" si="110"/>
        <v>212.66666666666666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188.98184340090461</v>
      </c>
      <c r="T173" s="59">
        <f t="shared" si="142"/>
        <v>450.74604661797798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20.879999999999939</v>
      </c>
      <c r="AJ173" s="13">
        <f>AI173*VLOOKUP('Données projet'!$B$10,Paramètres!$A$1:$I$89,3,0)*VLOOKUP('Données projet'!$B$10,Paramètres!$A$1:$I$89,5,0)</f>
        <v>18.892223999999942</v>
      </c>
      <c r="AK173" s="13">
        <f t="shared" si="164"/>
        <v>6.184089977612083</v>
      </c>
      <c r="AL173" s="20">
        <f t="shared" si="165"/>
        <v>43.674580177674272</v>
      </c>
      <c r="AM173" s="59">
        <f t="shared" si="113"/>
        <v>334.20030464077911</v>
      </c>
      <c r="AN173" s="59">
        <f ca="1">AVERAGE(OFFSET($AM$3,0,0,'Données projet'!$E$10+1,1))-AVERAGE(OFFSET($H$3,0,0,'Données projet'!$E$10+1,1))</f>
        <v>725.60981534362895</v>
      </c>
      <c r="AO173" s="59">
        <f t="shared" si="144"/>
        <v>265.16078167969272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285.92774810414375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285.92774810414375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149.89999999999998</v>
      </c>
      <c r="BE173" s="13">
        <f>BD173*VLOOKUP('Données projet'!$B$11,Paramètres!$A$1:$I$89,3,0)*VLOOKUP('Données projet'!$B$11,Paramètres!$A$1:$I$89,5,0)</f>
        <v>172.68479999999997</v>
      </c>
      <c r="BF173" s="13">
        <f t="shared" si="167"/>
        <v>43.690780005214812</v>
      </c>
      <c r="BG173" s="20">
        <f t="shared" si="168"/>
        <v>376.85413517574904</v>
      </c>
      <c r="BH173" s="59">
        <f t="shared" si="116"/>
        <v>667.37985963885387</v>
      </c>
      <c r="BI173" s="59">
        <f ca="1">AVERAGE(OFFSET($BH$3,0,0,'Données projet'!$E$11+1,1))-AVERAGE(OFFSET($H$3,0,0,'Données projet'!$E$11+1,1))</f>
        <v>332.93090933713466</v>
      </c>
      <c r="BJ173" s="59">
        <f t="shared" si="146"/>
        <v>251.83579649532973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13.904785206613411</v>
      </c>
      <c r="BQ173" s="21">
        <f>EXP(-LN(2)/25)*BQ172+(1-EXP(-LN(2)/25))/(LN(2)/25)*Calculateur!BL173*Calculateur!BN173*VLOOKUP('Données projet'!$B$11,Paramètres!$A$1:$I$89,3,0)*0.475*44/12</f>
        <v>0.14339306606726723</v>
      </c>
      <c r="BR173" s="21">
        <f>EXP(-LN(2)/2)*BR172+(1-EXP(-LN(2)/2))/(LN(2)/2)*BL173*BO173*VLOOKUP('Données projet'!$B$11,Paramètres!$A$1:$I$89,3,0)*0.475*44/12</f>
        <v>2.2792138893507834E-24</v>
      </c>
      <c r="BS173" s="22">
        <f t="shared" si="169"/>
        <v>14.048178272680678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8.977999999999998</v>
      </c>
      <c r="BY173" s="12">
        <f>IF('Données projet'!$A$114&gt;35,BY172+BX173-CG172,IF(A173&lt;'Données projet'!$A$114,$BV$205^A173,IF(A173='Données projet'!$A$114,'Données projet'!$B$114,BY172+BX173-CG172)))</f>
        <v>574.60799999999949</v>
      </c>
      <c r="BZ173" s="13">
        <f>BY173*VLOOKUP('Données projet'!$B$12,Paramètres!$A$1:$I$89,3,0)*VLOOKUP('Données projet'!$B$12,Paramètres!$A$1:$I$89,5,0)</f>
        <v>654.36359039999945</v>
      </c>
      <c r="CA173" s="13">
        <f t="shared" si="170"/>
        <v>141.77832630042258</v>
      </c>
      <c r="CB173" s="20">
        <f t="shared" si="171"/>
        <v>1386.6138382532347</v>
      </c>
      <c r="CC173" s="59">
        <f t="shared" si="119"/>
        <v>1677.1395627163395</v>
      </c>
      <c r="CD173" s="59">
        <f ca="1">AVERAGE(OFFSET($CC$3,0,0,'Données projet'!$E$12+1,1))-AVERAGE(OFFSET($H$3,0,0,'Données projet'!$E$12+1,1))</f>
        <v>797.57191672067393</v>
      </c>
      <c r="CE173" s="59">
        <f t="shared" si="148"/>
        <v>238.59056544987126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140.40166940255617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140.40166940255617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>
        <f>CT173*VLOOKUP('Données projet'!$B$13,Paramètres!$A$1:$I$89,3,0)*VLOOKUP('Données projet'!$B$13,Paramètres!$A$1:$I$89,5,0)</f>
        <v>0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188.98184340090461</v>
      </c>
      <c r="CZ173" s="59">
        <f t="shared" si="150"/>
        <v>450.74604661797798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2.8139654452175877</v>
      </c>
      <c r="DH173" s="21">
        <f>EXP(-LN(2)/2)*DH172+(1-EXP(-LN(2)/2))/(LN(2)/2)*DB173*DE173*VLOOKUP('Données projet'!$B$13,Paramètres!$A$1:$I$89,3,0)*0.475*44/12</f>
        <v>3.8084300458809614E-23</v>
      </c>
      <c r="DI173" s="22">
        <f t="shared" si="175"/>
        <v>2.8139654452175877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369.00000000000011</v>
      </c>
      <c r="DP173" s="17">
        <f>DO173*VLOOKUP('Données projet'!$B$14,Paramètres!$A$1:$I$89,3,0)*VLOOKUP('Données projet'!$B$14,Paramètres!$A$1:$I$89,5,0)</f>
        <v>333.87120000000004</v>
      </c>
      <c r="DQ173" s="13">
        <f t="shared" si="176"/>
        <v>78.232360111376309</v>
      </c>
      <c r="DR173" s="20">
        <f t="shared" si="177"/>
        <v>717.74703386064709</v>
      </c>
      <c r="DS173" s="59">
        <f t="shared" si="125"/>
        <v>1008.272758323752</v>
      </c>
      <c r="DT173" s="59">
        <f ca="1">AVERAGE(OFFSET($DS$3,0,0,'Données projet'!$E$14+1,1))-AVERAGE(OFFSET($H$3,0,0,'Données projet'!$E$14+1,1))</f>
        <v>442.34161202733173</v>
      </c>
      <c r="DU173" s="59">
        <f t="shared" si="152"/>
        <v>622.90413492324399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0.66069933519945678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0.66069933519945678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8.977999999999998</v>
      </c>
      <c r="EJ173" s="12">
        <f>IF('Données projet'!$A$192&gt;35,EJ172+EI173-ER172,IF(A173&lt;'Données projet'!$A$192,$EG$205^A173,IF(A173='Données projet'!$A$192,'Données projet'!$B$192,EJ172+EI173-ER172)))</f>
        <v>574.60799999999949</v>
      </c>
      <c r="EK173" s="17">
        <f>EJ173*VLOOKUP('Données projet'!$B$15,Paramètres!$A$1:$I$89,3,0)*VLOOKUP('Données projet'!$B$15,Paramètres!$A$1:$I$89,5,0)</f>
        <v>627.47193599999946</v>
      </c>
      <c r="EL173" s="13">
        <f t="shared" si="179"/>
        <v>136.61751897922173</v>
      </c>
      <c r="EM173" s="20">
        <f t="shared" si="180"/>
        <v>1330.7891340888102</v>
      </c>
      <c r="EN173" s="59">
        <f t="shared" si="128"/>
        <v>1621.314858551915</v>
      </c>
      <c r="EO173" s="59">
        <f ca="1">AVERAGE(OFFSET($EN$3,0,0,'Données projet'!$E$15+1,1))-AVERAGE(OFFSET($H$3,0,0,'Données projet'!$E$15+1,1))</f>
        <v>767.9449852393318</v>
      </c>
      <c r="EP173" s="59">
        <f t="shared" si="154"/>
        <v>230.95605490295961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134.63173778327308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134.63173778327308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69.234288489937683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3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11</v>
      </c>
      <c r="H174" s="66">
        <f t="shared" si="110"/>
        <v>212.66666666666666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188.98184340090461</v>
      </c>
      <c r="T174" s="59">
        <f t="shared" si="142"/>
        <v>450.74604661797798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20.879999999999939</v>
      </c>
      <c r="AJ174" s="13">
        <f>AI174*VLOOKUP('Données projet'!$B$10,Paramètres!$A$1:$I$89,3,0)*VLOOKUP('Données projet'!$B$10,Paramètres!$A$1:$I$89,5,0)</f>
        <v>18.892223999999942</v>
      </c>
      <c r="AK174" s="13">
        <f t="shared" si="164"/>
        <v>6.184089977612083</v>
      </c>
      <c r="AL174" s="20">
        <f t="shared" si="165"/>
        <v>43.674580177674272</v>
      </c>
      <c r="AM174" s="59">
        <f t="shared" si="113"/>
        <v>334.2490103778045</v>
      </c>
      <c r="AN174" s="59">
        <f ca="1">AVERAGE(OFFSET($AM$3,0,0,'Données projet'!$E$10+1,1))-AVERAGE(OFFSET($H$3,0,0,'Données projet'!$E$10+1,1))</f>
        <v>725.60981534362895</v>
      </c>
      <c r="AO174" s="59">
        <f t="shared" si="144"/>
        <v>265.16078167969272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280.32087936252736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280.32087936252736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149.89999999999998</v>
      </c>
      <c r="BE174" s="13">
        <f>BD174*VLOOKUP('Données projet'!$B$11,Paramètres!$A$1:$I$89,3,0)*VLOOKUP('Données projet'!$B$11,Paramètres!$A$1:$I$89,5,0)</f>
        <v>172.68479999999997</v>
      </c>
      <c r="BF174" s="13">
        <f t="shared" si="167"/>
        <v>43.690780005214812</v>
      </c>
      <c r="BG174" s="20">
        <f t="shared" si="168"/>
        <v>376.85413517574904</v>
      </c>
      <c r="BH174" s="59">
        <f t="shared" si="116"/>
        <v>667.42856537587932</v>
      </c>
      <c r="BI174" s="59">
        <f ca="1">AVERAGE(OFFSET($BH$3,0,0,'Données projet'!$E$11+1,1))-AVERAGE(OFFSET($H$3,0,0,'Données projet'!$E$11+1,1))</f>
        <v>332.93090933713466</v>
      </c>
      <c r="BJ174" s="59">
        <f t="shared" si="146"/>
        <v>251.83579649532973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13.63212084979326</v>
      </c>
      <c r="BQ174" s="21">
        <f>EXP(-LN(2)/25)*BQ173+(1-EXP(-LN(2)/25))/(LN(2)/25)*Calculateur!BL174*Calculateur!BN174*VLOOKUP('Données projet'!$B$11,Paramètres!$A$1:$I$89,3,0)*0.475*44/12</f>
        <v>0.13947197513494419</v>
      </c>
      <c r="BR174" s="21">
        <f>EXP(-LN(2)/2)*BR173+(1-EXP(-LN(2)/2))/(LN(2)/2)*BL174*BO174*VLOOKUP('Données projet'!$B$11,Paramètres!$A$1:$I$89,3,0)*0.475*44/12</f>
        <v>1.6116475969345044E-24</v>
      </c>
      <c r="BS174" s="22">
        <f t="shared" si="169"/>
        <v>13.771592824928204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8.977999999999998</v>
      </c>
      <c r="BY174" s="12">
        <f>IF('Données projet'!$A$114&gt;35,BY173+BX174-CG173,IF(A174&lt;'Données projet'!$A$114,$BV$205^A174,IF(A174='Données projet'!$A$114,'Données projet'!$B$114,BY173+BX174-CG173)))</f>
        <v>583.58599999999944</v>
      </c>
      <c r="BZ174" s="13">
        <f>BY174*VLOOKUP('Données projet'!$B$12,Paramètres!$A$1:$I$89,3,0)*VLOOKUP('Données projet'!$B$12,Paramètres!$A$1:$I$89,5,0)</f>
        <v>664.58773679999933</v>
      </c>
      <c r="CA174" s="13">
        <f t="shared" si="170"/>
        <v>143.73392914171606</v>
      </c>
      <c r="CB174" s="20">
        <f t="shared" si="171"/>
        <v>1407.8269015151543</v>
      </c>
      <c r="CC174" s="59">
        <f t="shared" si="119"/>
        <v>1698.4013317152844</v>
      </c>
      <c r="CD174" s="59">
        <f ca="1">AVERAGE(OFFSET($CC$3,0,0,'Données projet'!$E$12+1,1))-AVERAGE(OFFSET($H$3,0,0,'Données projet'!$E$12+1,1))</f>
        <v>797.57191672067393</v>
      </c>
      <c r="CE174" s="59">
        <f t="shared" si="148"/>
        <v>238.59056544987126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137.64847830213446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137.64847830213446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>
        <f>CT174*VLOOKUP('Données projet'!$B$13,Paramètres!$A$1:$I$89,3,0)*VLOOKUP('Données projet'!$B$13,Paramètres!$A$1:$I$89,5,0)</f>
        <v>0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188.98184340090461</v>
      </c>
      <c r="CZ174" s="59">
        <f t="shared" si="150"/>
        <v>450.74604661797798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2.7370174121381012</v>
      </c>
      <c r="DH174" s="21">
        <f>EXP(-LN(2)/2)*DH173+(1-EXP(-LN(2)/2))/(LN(2)/2)*DB174*DE174*VLOOKUP('Données projet'!$B$13,Paramètres!$A$1:$I$89,3,0)*0.475*44/12</f>
        <v>2.6929667111170221E-23</v>
      </c>
      <c r="DI174" s="22">
        <f t="shared" si="175"/>
        <v>2.7370174121381012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369.00000000000011</v>
      </c>
      <c r="DP174" s="17">
        <f>DO174*VLOOKUP('Données projet'!$B$14,Paramètres!$A$1:$I$89,3,0)*VLOOKUP('Données projet'!$B$14,Paramètres!$A$1:$I$89,5,0)</f>
        <v>333.87120000000004</v>
      </c>
      <c r="DQ174" s="13">
        <f t="shared" si="176"/>
        <v>78.232360111376309</v>
      </c>
      <c r="DR174" s="20">
        <f t="shared" si="177"/>
        <v>717.74703386064709</v>
      </c>
      <c r="DS174" s="59">
        <f t="shared" si="125"/>
        <v>1008.3214640607773</v>
      </c>
      <c r="DT174" s="59">
        <f ca="1">AVERAGE(OFFSET($DS$3,0,0,'Données projet'!$E$14+1,1))-AVERAGE(OFFSET($H$3,0,0,'Données projet'!$E$14+1,1))</f>
        <v>442.34161202733173</v>
      </c>
      <c r="DU174" s="59">
        <f t="shared" si="152"/>
        <v>622.90413492324399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0.64774342422299824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0.64774342422299824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8.977999999999998</v>
      </c>
      <c r="EJ174" s="12">
        <f>IF('Données projet'!$A$192&gt;35,EJ173+EI174-ER173,IF(A174&lt;'Données projet'!$A$192,$EG$205^A174,IF(A174='Données projet'!$A$192,'Données projet'!$B$192,EJ173+EI174-ER173)))</f>
        <v>583.58599999999944</v>
      </c>
      <c r="EK174" s="17">
        <f>EJ174*VLOOKUP('Données projet'!$B$15,Paramètres!$A$1:$I$89,3,0)*VLOOKUP('Données projet'!$B$15,Paramètres!$A$1:$I$89,5,0)</f>
        <v>637.27591199999938</v>
      </c>
      <c r="EL174" s="13">
        <f t="shared" si="179"/>
        <v>138.5019368254311</v>
      </c>
      <c r="EM174" s="20">
        <f t="shared" si="180"/>
        <v>1351.1464200376247</v>
      </c>
      <c r="EN174" s="59">
        <f t="shared" si="128"/>
        <v>1641.7208502377548</v>
      </c>
      <c r="EO174" s="59">
        <f ca="1">AVERAGE(OFFSET($EN$3,0,0,'Données projet'!$E$15+1,1))-AVERAGE(OFFSET($H$3,0,0,'Données projet'!$E$15+1,1))</f>
        <v>767.9449852393318</v>
      </c>
      <c r="EP174" s="59">
        <f t="shared" si="154"/>
        <v>230.95605490295961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131.99169152259475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131.99169152259475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69.247571872762791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3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11</v>
      </c>
      <c r="H175" s="66">
        <f t="shared" si="110"/>
        <v>212.66666666666666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188.98184340090461</v>
      </c>
      <c r="T175" s="59">
        <f t="shared" si="142"/>
        <v>450.74604661797798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20.879999999999939</v>
      </c>
      <c r="AJ175" s="13">
        <f>AI175*VLOOKUP('Données projet'!$B$10,Paramètres!$A$1:$I$89,3,0)*VLOOKUP('Données projet'!$B$10,Paramètres!$A$1:$I$89,5,0)</f>
        <v>18.892223999999942</v>
      </c>
      <c r="AK175" s="13">
        <f t="shared" si="164"/>
        <v>6.184089977612083</v>
      </c>
      <c r="AL175" s="20">
        <f t="shared" si="165"/>
        <v>43.674580177674272</v>
      </c>
      <c r="AM175" s="59">
        <f t="shared" si="113"/>
        <v>334.29687117918218</v>
      </c>
      <c r="AN175" s="59">
        <f ca="1">AVERAGE(OFFSET($AM$3,0,0,'Données projet'!$E$10+1,1))-AVERAGE(OFFSET($H$3,0,0,'Données projet'!$E$10+1,1))</f>
        <v>725.60981534362895</v>
      </c>
      <c r="AO175" s="59">
        <f t="shared" si="144"/>
        <v>265.16078167969272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274.82395789708187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274.82395789708187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149.89999999999998</v>
      </c>
      <c r="BE175" s="13">
        <f>BD175*VLOOKUP('Données projet'!$B$11,Paramètres!$A$1:$I$89,3,0)*VLOOKUP('Données projet'!$B$11,Paramètres!$A$1:$I$89,5,0)</f>
        <v>172.68479999999997</v>
      </c>
      <c r="BF175" s="13">
        <f t="shared" si="167"/>
        <v>43.690780005214812</v>
      </c>
      <c r="BG175" s="20">
        <f t="shared" si="168"/>
        <v>376.85413517574904</v>
      </c>
      <c r="BH175" s="59">
        <f t="shared" si="116"/>
        <v>667.47642617725694</v>
      </c>
      <c r="BI175" s="59">
        <f ca="1">AVERAGE(OFFSET($BH$3,0,0,'Données projet'!$E$11+1,1))-AVERAGE(OFFSET($H$3,0,0,'Données projet'!$E$11+1,1))</f>
        <v>332.93090933713466</v>
      </c>
      <c r="BJ175" s="59">
        <f t="shared" si="146"/>
        <v>251.83579649532973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13.364803274701517</v>
      </c>
      <c r="BQ175" s="21">
        <f>EXP(-LN(2)/25)*BQ174+(1-EXP(-LN(2)/25))/(LN(2)/25)*Calculateur!BL175*Calculateur!BN175*VLOOKUP('Données projet'!$B$11,Paramètres!$A$1:$I$89,3,0)*0.475*44/12</f>
        <v>0.13565810664036673</v>
      </c>
      <c r="BR175" s="21">
        <f>EXP(-LN(2)/2)*BR174+(1-EXP(-LN(2)/2))/(LN(2)/2)*BL175*BO175*VLOOKUP('Données projet'!$B$11,Paramètres!$A$1:$I$89,3,0)*0.475*44/12</f>
        <v>1.1396069446753919E-24</v>
      </c>
      <c r="BS175" s="22">
        <f t="shared" si="169"/>
        <v>13.500461381341884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8.977999999999998</v>
      </c>
      <c r="BY175" s="12">
        <f>IF('Données projet'!$A$114&gt;35,BY174+BX175-CG174,IF(A175&lt;'Données projet'!$A$114,$BV$205^A175,IF(A175='Données projet'!$A$114,'Données projet'!$B$114,BY174+BX175-CG174)))</f>
        <v>592.5639999999994</v>
      </c>
      <c r="BZ175" s="13">
        <f>BY175*VLOOKUP('Données projet'!$B$12,Paramètres!$A$1:$I$89,3,0)*VLOOKUP('Données projet'!$B$12,Paramètres!$A$1:$I$89,5,0)</f>
        <v>674.81188319999933</v>
      </c>
      <c r="CA175" s="13">
        <f t="shared" si="170"/>
        <v>145.68603303332364</v>
      </c>
      <c r="CB175" s="20">
        <f t="shared" si="171"/>
        <v>1429.0338707730373</v>
      </c>
      <c r="CC175" s="59">
        <f t="shared" si="119"/>
        <v>1719.6561617745451</v>
      </c>
      <c r="CD175" s="59">
        <f ca="1">AVERAGE(OFFSET($CC$3,0,0,'Données projet'!$E$12+1,1))-AVERAGE(OFFSET($H$3,0,0,'Données projet'!$E$12+1,1))</f>
        <v>797.57191672067393</v>
      </c>
      <c r="CE175" s="59">
        <f t="shared" si="148"/>
        <v>238.59056544987126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134.94927559991129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134.94927559991129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>
        <f>CT175*VLOOKUP('Données projet'!$B$13,Paramètres!$A$1:$I$89,3,0)*VLOOKUP('Données projet'!$B$13,Paramètres!$A$1:$I$89,5,0)</f>
        <v>0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188.98184340090461</v>
      </c>
      <c r="CZ175" s="59">
        <f t="shared" si="150"/>
        <v>450.74604661797798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2.6621735270696947</v>
      </c>
      <c r="DH175" s="21">
        <f>EXP(-LN(2)/2)*DH174+(1-EXP(-LN(2)/2))/(LN(2)/2)*DB175*DE175*VLOOKUP('Données projet'!$B$13,Paramètres!$A$1:$I$89,3,0)*0.475*44/12</f>
        <v>1.9042150229404807E-23</v>
      </c>
      <c r="DI175" s="22">
        <f t="shared" si="175"/>
        <v>2.6621735270696947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369.00000000000011</v>
      </c>
      <c r="DP175" s="17">
        <f>DO175*VLOOKUP('Données projet'!$B$14,Paramètres!$A$1:$I$89,3,0)*VLOOKUP('Données projet'!$B$14,Paramètres!$A$1:$I$89,5,0)</f>
        <v>333.87120000000004</v>
      </c>
      <c r="DQ175" s="13">
        <f t="shared" si="176"/>
        <v>78.232360111376309</v>
      </c>
      <c r="DR175" s="20">
        <f t="shared" si="177"/>
        <v>717.74703386064709</v>
      </c>
      <c r="DS175" s="59">
        <f t="shared" si="125"/>
        <v>1008.3693248621551</v>
      </c>
      <c r="DT175" s="59">
        <f ca="1">AVERAGE(OFFSET($DS$3,0,0,'Données projet'!$E$14+1,1))-AVERAGE(OFFSET($H$3,0,0,'Données projet'!$E$14+1,1))</f>
        <v>442.34161202733173</v>
      </c>
      <c r="DU175" s="59">
        <f t="shared" si="152"/>
        <v>622.90413492324399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0.63504157075846268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0.63504157075846268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8.977999999999998</v>
      </c>
      <c r="EJ175" s="12">
        <f>IF('Données projet'!$A$192&gt;35,EJ174+EI175-ER174,IF(A175&lt;'Données projet'!$A$192,$EG$205^A175,IF(A175='Données projet'!$A$192,'Données projet'!$B$192,EJ174+EI175-ER174)))</f>
        <v>592.5639999999994</v>
      </c>
      <c r="EK175" s="17">
        <f>EJ175*VLOOKUP('Données projet'!$B$15,Paramètres!$A$1:$I$89,3,0)*VLOOKUP('Données projet'!$B$15,Paramètres!$A$1:$I$89,5,0)</f>
        <v>647.0798879999993</v>
      </c>
      <c r="EL175" s="13">
        <f t="shared" si="179"/>
        <v>140.38298308560479</v>
      </c>
      <c r="EM175" s="20">
        <f t="shared" si="180"/>
        <v>1371.497833807427</v>
      </c>
      <c r="EN175" s="59">
        <f t="shared" si="128"/>
        <v>1662.1201248089349</v>
      </c>
      <c r="EO175" s="59">
        <f ca="1">AVERAGE(OFFSET($EN$3,0,0,'Données projet'!$E$15+1,1))-AVERAGE(OFFSET($H$3,0,0,'Données projet'!$E$15+1,1))</f>
        <v>767.9449852393318</v>
      </c>
      <c r="EP175" s="59">
        <f t="shared" si="154"/>
        <v>230.95605490295961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129.4034149588191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129.4034149588191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69.260624818593072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3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11</v>
      </c>
      <c r="H176" s="66">
        <f t="shared" si="110"/>
        <v>212.66666666666666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188.98184340090461</v>
      </c>
      <c r="T176" s="59">
        <f t="shared" si="142"/>
        <v>450.74604661797798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20.879999999999939</v>
      </c>
      <c r="AJ176" s="13">
        <f>AI176*VLOOKUP('Données projet'!$B$10,Paramètres!$A$1:$I$89,3,0)*VLOOKUP('Données projet'!$B$10,Paramètres!$A$1:$I$89,5,0)</f>
        <v>18.892223999999942</v>
      </c>
      <c r="AK176" s="13">
        <f t="shared" si="164"/>
        <v>6.184089977612083</v>
      </c>
      <c r="AL176" s="20">
        <f t="shared" si="165"/>
        <v>43.674580177674272</v>
      </c>
      <c r="AM176" s="59">
        <f t="shared" si="113"/>
        <v>334.34390170265669</v>
      </c>
      <c r="AN176" s="59">
        <f ca="1">AVERAGE(OFFSET($AM$3,0,0,'Données projet'!$E$10+1,1))-AVERAGE(OFFSET($H$3,0,0,'Données projet'!$E$10+1,1))</f>
        <v>725.60981534362895</v>
      </c>
      <c r="AO176" s="59">
        <f t="shared" si="144"/>
        <v>265.16078167969272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269.43482770878273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269.43482770878273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149.89999999999998</v>
      </c>
      <c r="BE176" s="13">
        <f>BD176*VLOOKUP('Données projet'!$B$11,Paramètres!$A$1:$I$89,3,0)*VLOOKUP('Données projet'!$B$11,Paramètres!$A$1:$I$89,5,0)</f>
        <v>172.68479999999997</v>
      </c>
      <c r="BF176" s="13">
        <f t="shared" si="167"/>
        <v>43.690780005214812</v>
      </c>
      <c r="BG176" s="20">
        <f t="shared" si="168"/>
        <v>376.85413517574904</v>
      </c>
      <c r="BH176" s="59">
        <f t="shared" si="116"/>
        <v>667.52345670073146</v>
      </c>
      <c r="BI176" s="59">
        <f ca="1">AVERAGE(OFFSET($BH$3,0,0,'Données projet'!$E$11+1,1))-AVERAGE(OFFSET($H$3,0,0,'Données projet'!$E$11+1,1))</f>
        <v>332.93090933713466</v>
      </c>
      <c r="BJ176" s="59">
        <f t="shared" si="146"/>
        <v>251.83579649532973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13.102727634209701</v>
      </c>
      <c r="BQ176" s="21">
        <f>EXP(-LN(2)/25)*BQ175+(1-EXP(-LN(2)/25))/(LN(2)/25)*Calculateur!BL176*Calculateur!BN176*VLOOKUP('Données projet'!$B$11,Paramètres!$A$1:$I$89,3,0)*0.475*44/12</f>
        <v>0.13194852858033612</v>
      </c>
      <c r="BR176" s="21">
        <f>EXP(-LN(2)/2)*BR175+(1-EXP(-LN(2)/2))/(LN(2)/2)*BL176*BO176*VLOOKUP('Données projet'!$B$11,Paramètres!$A$1:$I$89,3,0)*0.475*44/12</f>
        <v>8.0582379846725236E-25</v>
      </c>
      <c r="BS176" s="22">
        <f t="shared" si="169"/>
        <v>13.234676162790038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8.977999999999998</v>
      </c>
      <c r="BY176" s="12">
        <f>IF('Données projet'!$A$114&gt;35,BY175+BX176-CG175,IF(A176&lt;'Données projet'!$A$114,$BV$205^A176,IF(A176='Données projet'!$A$114,'Données projet'!$B$114,BY175+BX176-CG175)))</f>
        <v>601.54199999999935</v>
      </c>
      <c r="BZ176" s="13">
        <f>BY176*VLOOKUP('Données projet'!$B$12,Paramètres!$A$1:$I$89,3,0)*VLOOKUP('Données projet'!$B$12,Paramètres!$A$1:$I$89,5,0)</f>
        <v>685.03602959999932</v>
      </c>
      <c r="CA176" s="13">
        <f t="shared" si="170"/>
        <v>147.63469711131015</v>
      </c>
      <c r="CB176" s="20">
        <f t="shared" si="171"/>
        <v>1450.2348490221973</v>
      </c>
      <c r="CC176" s="59">
        <f t="shared" si="119"/>
        <v>1740.9041705471798</v>
      </c>
      <c r="CD176" s="59">
        <f ca="1">AVERAGE(OFFSET($CC$3,0,0,'Données projet'!$E$12+1,1))-AVERAGE(OFFSET($H$3,0,0,'Données projet'!$E$12+1,1))</f>
        <v>797.57191672067393</v>
      </c>
      <c r="CE176" s="59">
        <f t="shared" si="148"/>
        <v>238.59056544987126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132.3030026163276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132.3030026163276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>
        <f>CT176*VLOOKUP('Données projet'!$B$13,Paramètres!$A$1:$I$89,3,0)*VLOOKUP('Données projet'!$B$13,Paramètres!$A$1:$I$89,5,0)</f>
        <v>0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188.98184340090461</v>
      </c>
      <c r="CZ176" s="59">
        <f t="shared" si="150"/>
        <v>450.74604661797798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2.5893762519743526</v>
      </c>
      <c r="DH176" s="21">
        <f>EXP(-LN(2)/2)*DH175+(1-EXP(-LN(2)/2))/(LN(2)/2)*DB176*DE176*VLOOKUP('Données projet'!$B$13,Paramètres!$A$1:$I$89,3,0)*0.475*44/12</f>
        <v>1.346483355558511E-23</v>
      </c>
      <c r="DI176" s="22">
        <f t="shared" si="175"/>
        <v>2.5893762519743526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369.00000000000011</v>
      </c>
      <c r="DP176" s="17">
        <f>DO176*VLOOKUP('Données projet'!$B$14,Paramètres!$A$1:$I$89,3,0)*VLOOKUP('Données projet'!$B$14,Paramètres!$A$1:$I$89,5,0)</f>
        <v>333.87120000000004</v>
      </c>
      <c r="DQ176" s="13">
        <f t="shared" si="176"/>
        <v>78.232360111376309</v>
      </c>
      <c r="DR176" s="20">
        <f t="shared" si="177"/>
        <v>717.74703386064709</v>
      </c>
      <c r="DS176" s="59">
        <f t="shared" si="125"/>
        <v>1008.4163553856295</v>
      </c>
      <c r="DT176" s="59">
        <f ca="1">AVERAGE(OFFSET($DS$3,0,0,'Données projet'!$E$14+1,1))-AVERAGE(OFFSET($H$3,0,0,'Données projet'!$E$14+1,1))</f>
        <v>442.34161202733173</v>
      </c>
      <c r="DU176" s="59">
        <f t="shared" si="152"/>
        <v>622.90413492324399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0.62258879289300106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0.62258879289300106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8.977999999999998</v>
      </c>
      <c r="EJ176" s="12">
        <f>IF('Données projet'!$A$192&gt;35,EJ175+EI176-ER175,IF(A176&lt;'Données projet'!$A$192,$EG$205^A176,IF(A176='Données projet'!$A$192,'Données projet'!$B$192,EJ175+EI176-ER175)))</f>
        <v>601.54199999999935</v>
      </c>
      <c r="EK176" s="17">
        <f>EJ176*VLOOKUP('Données projet'!$B$15,Paramètres!$A$1:$I$89,3,0)*VLOOKUP('Données projet'!$B$15,Paramètres!$A$1:$I$89,5,0)</f>
        <v>656.88386399999922</v>
      </c>
      <c r="EL176" s="13">
        <f t="shared" si="179"/>
        <v>142.26071474322328</v>
      </c>
      <c r="EM176" s="20">
        <f t="shared" si="180"/>
        <v>1391.8434746444457</v>
      </c>
      <c r="EN176" s="59">
        <f t="shared" si="128"/>
        <v>1682.5127961694282</v>
      </c>
      <c r="EO176" s="59">
        <f ca="1">AVERAGE(OFFSET($EN$3,0,0,'Données projet'!$E$15+1,1))-AVERAGE(OFFSET($H$3,0,0,'Données projet'!$E$15+1,1))</f>
        <v>767.9449852393318</v>
      </c>
      <c r="EP176" s="59">
        <f t="shared" si="154"/>
        <v>230.95605490295961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126.86589291976625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126.86589291976625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69.273451324995207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3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11</v>
      </c>
      <c r="H177" s="66">
        <f t="shared" si="110"/>
        <v>212.66666666666666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188.98184340090461</v>
      </c>
      <c r="T177" s="59">
        <f t="shared" si="142"/>
        <v>450.74604661797798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20.879999999999939</v>
      </c>
      <c r="AJ177" s="13">
        <f>AI177*VLOOKUP('Données projet'!$B$10,Paramètres!$A$1:$I$89,3,0)*VLOOKUP('Données projet'!$B$10,Paramètres!$A$1:$I$89,5,0)</f>
        <v>18.892223999999942</v>
      </c>
      <c r="AK177" s="13">
        <f t="shared" si="164"/>
        <v>6.184089977612083</v>
      </c>
      <c r="AL177" s="20">
        <f t="shared" si="165"/>
        <v>43.674580177674272</v>
      </c>
      <c r="AM177" s="59">
        <f t="shared" si="113"/>
        <v>334.39011635169345</v>
      </c>
      <c r="AN177" s="59">
        <f ca="1">AVERAGE(OFFSET($AM$3,0,0,'Données projet'!$E$10+1,1))-AVERAGE(OFFSET($H$3,0,0,'Données projet'!$E$10+1,1))</f>
        <v>725.60981534362895</v>
      </c>
      <c r="AO177" s="59">
        <f t="shared" si="144"/>
        <v>265.16078167969272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264.15137507643129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264.15137507643129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149.89999999999998</v>
      </c>
      <c r="BE177" s="13">
        <f>BD177*VLOOKUP('Données projet'!$B$11,Paramètres!$A$1:$I$89,3,0)*VLOOKUP('Données projet'!$B$11,Paramètres!$A$1:$I$89,5,0)</f>
        <v>172.68479999999997</v>
      </c>
      <c r="BF177" s="13">
        <f t="shared" si="167"/>
        <v>43.690780005214812</v>
      </c>
      <c r="BG177" s="20">
        <f t="shared" si="168"/>
        <v>376.85413517574904</v>
      </c>
      <c r="BH177" s="59">
        <f t="shared" si="116"/>
        <v>667.56967134976821</v>
      </c>
      <c r="BI177" s="59">
        <f ca="1">AVERAGE(OFFSET($BH$3,0,0,'Données projet'!$E$11+1,1))-AVERAGE(OFFSET($H$3,0,0,'Données projet'!$E$11+1,1))</f>
        <v>332.93090933713466</v>
      </c>
      <c r="BJ177" s="59">
        <f t="shared" si="146"/>
        <v>251.83579649532973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12.845791137177574</v>
      </c>
      <c r="BQ177" s="21">
        <f>EXP(-LN(2)/25)*BQ176+(1-EXP(-LN(2)/25))/(LN(2)/25)*Calculateur!BL177*Calculateur!BN177*VLOOKUP('Données projet'!$B$11,Paramètres!$A$1:$I$89,3,0)*0.475*44/12</f>
        <v>0.12834038912743528</v>
      </c>
      <c r="BR177" s="21">
        <f>EXP(-LN(2)/2)*BR176+(1-EXP(-LN(2)/2))/(LN(2)/2)*BL177*BO177*VLOOKUP('Données projet'!$B$11,Paramètres!$A$1:$I$89,3,0)*0.475*44/12</f>
        <v>5.6980347233769602E-25</v>
      </c>
      <c r="BS177" s="22">
        <f t="shared" si="169"/>
        <v>12.97413152630501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>
        <f>VLOOKUP(A177,'Données projet'!$A$113:$I$133,2,0)</f>
        <v>610.52</v>
      </c>
      <c r="BW177" s="12">
        <f>VLOOKUP(A177,'Données projet'!$A$113:$I$133,9,0)</f>
        <v>8.977999999999998</v>
      </c>
      <c r="BX177" s="12">
        <f t="array" ref="BX177">INDEX(BW:BW,MIN(IF(ISNUMBER(BW177:BW373),ROW(BW177:BW373),"")))</f>
        <v>8.977999999999998</v>
      </c>
      <c r="BY177" s="12">
        <f>IF('Données projet'!$A$114&gt;35,BY176+BX177-CG176,IF(A177&lt;'Données projet'!$A$114,$BV$205^A177,IF(A177='Données projet'!$A$114,'Données projet'!$B$114,BY176+BX177-CG176)))</f>
        <v>610.5199999999993</v>
      </c>
      <c r="BZ177" s="13">
        <f>BY177*VLOOKUP('Données projet'!$B$12,Paramètres!$A$1:$I$89,3,0)*VLOOKUP('Données projet'!$B$12,Paramètres!$A$1:$I$89,5,0)</f>
        <v>695.26017599999921</v>
      </c>
      <c r="CA177" s="13">
        <f t="shared" si="170"/>
        <v>149.57997864521161</v>
      </c>
      <c r="CB177" s="20">
        <f t="shared" si="171"/>
        <v>1471.4299360070752</v>
      </c>
      <c r="CC177" s="59">
        <f t="shared" si="119"/>
        <v>1762.1454721810944</v>
      </c>
      <c r="CD177" s="59">
        <f ca="1">AVERAGE(OFFSET($CC$3,0,0,'Données projet'!$E$12+1,1))-AVERAGE(OFFSET($H$3,0,0,'Données projet'!$E$12+1,1))</f>
        <v>797.57191672067393</v>
      </c>
      <c r="CE177" s="59">
        <f t="shared" si="148"/>
        <v>238.59056544987126</v>
      </c>
      <c r="CF177" s="15">
        <f>IF(ISNA(VLOOKUP(A177,'Données projet'!$A$113:$I$133,3,0)),0,VLOOKUP(A177,'Données projet'!$A$113:$I$133,3,0))</f>
        <v>15</v>
      </c>
      <c r="CG177" s="15">
        <f>IF(ISNA(VLOOKUP(A177,'Données projet'!$A$113:$I$133,4,0)),0,VLOOKUP(A177,'Données projet'!$A$113:$I$133,4,0))</f>
        <v>214.77</v>
      </c>
      <c r="CH177" s="16">
        <f>IF(ISNA(VLOOKUP(A177,'Données projet'!$A$113:$I$133,5,0)),0%,VLOOKUP(A177,'Données projet'!$A$113:$I$133,5,0)*VLOOKUP('Données projet'!$B$12,Paramètres!$A$1:$I$89,7,0))</f>
        <v>0.43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245.97031409190953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245.97031409190953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>
        <f>CT177*VLOOKUP('Données projet'!$B$13,Paramètres!$A$1:$I$89,3,0)*VLOOKUP('Données projet'!$B$13,Paramètres!$A$1:$I$89,5,0)</f>
        <v>0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188.98184340090461</v>
      </c>
      <c r="CZ177" s="59">
        <f t="shared" si="150"/>
        <v>450.74604661797798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2.5185696221947351</v>
      </c>
      <c r="DH177" s="21">
        <f>EXP(-LN(2)/2)*DH176+(1-EXP(-LN(2)/2))/(LN(2)/2)*DB177*DE177*VLOOKUP('Données projet'!$B$13,Paramètres!$A$1:$I$89,3,0)*0.475*44/12</f>
        <v>9.5210751147024034E-24</v>
      </c>
      <c r="DI177" s="22">
        <f t="shared" si="175"/>
        <v>2.5185696221947351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369.00000000000011</v>
      </c>
      <c r="DP177" s="17">
        <f>DO177*VLOOKUP('Données projet'!$B$14,Paramètres!$A$1:$I$89,3,0)*VLOOKUP('Données projet'!$B$14,Paramètres!$A$1:$I$89,5,0)</f>
        <v>333.87120000000004</v>
      </c>
      <c r="DQ177" s="13">
        <f t="shared" si="176"/>
        <v>78.232360111376309</v>
      </c>
      <c r="DR177" s="20">
        <f t="shared" si="177"/>
        <v>717.74703386064709</v>
      </c>
      <c r="DS177" s="59">
        <f t="shared" si="125"/>
        <v>1008.4625700346662</v>
      </c>
      <c r="DT177" s="59">
        <f ca="1">AVERAGE(OFFSET($DS$3,0,0,'Données projet'!$E$14+1,1))-AVERAGE(OFFSET($H$3,0,0,'Données projet'!$E$14+1,1))</f>
        <v>442.34161202733173</v>
      </c>
      <c r="DU177" s="59">
        <f t="shared" si="152"/>
        <v>622.90413492324399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0.61038020640603663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0.61038020640603663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>
        <f>VLOOKUP(A177,'Données projet'!$A$191:$I$211,2,0)</f>
        <v>610.52</v>
      </c>
      <c r="EH177" s="12">
        <f>VLOOKUP(A177,'Données projet'!$A$191:$I$211,9,0)</f>
        <v>8.977999999999998</v>
      </c>
      <c r="EI177" s="12">
        <f t="array" ref="EI177">INDEX(EH:EH,MIN(IF(ISNUMBER(EH177:EH373),ROW(EH177:EH373),"")))</f>
        <v>8.977999999999998</v>
      </c>
      <c r="EJ177" s="12">
        <f>IF('Données projet'!$A$192&gt;35,EJ176+EI177-ER176,IF(A177&lt;'Données projet'!$A$192,$EG$205^A177,IF(A177='Données projet'!$A$192,'Données projet'!$B$192,EJ176+EI177-ER176)))</f>
        <v>610.5199999999993</v>
      </c>
      <c r="EK177" s="17">
        <f>EJ177*VLOOKUP('Données projet'!$B$15,Paramètres!$A$1:$I$89,3,0)*VLOOKUP('Données projet'!$B$15,Paramètres!$A$1:$I$89,5,0)</f>
        <v>666.68783999999914</v>
      </c>
      <c r="EL177" s="13">
        <f t="shared" si="179"/>
        <v>144.13518698318018</v>
      </c>
      <c r="EM177" s="20">
        <f t="shared" si="180"/>
        <v>1412.1834386623705</v>
      </c>
      <c r="EN177" s="59">
        <f t="shared" si="128"/>
        <v>1702.8989748363897</v>
      </c>
      <c r="EO177" s="59">
        <f ca="1">AVERAGE(OFFSET($EN$3,0,0,'Données projet'!$E$15+1,1))-AVERAGE(OFFSET($H$3,0,0,'Données projet'!$E$15+1,1))</f>
        <v>767.9449852393318</v>
      </c>
      <c r="EP177" s="59">
        <f t="shared" si="154"/>
        <v>230.95605490295961</v>
      </c>
      <c r="EQ177" s="15">
        <f>IF(ISNA(VLOOKUP(A177,'Données projet'!$A$191:$I$211,3,0)),0,VLOOKUP(A177,'Données projet'!$A$191:$I$211,3,0))</f>
        <v>15</v>
      </c>
      <c r="ER177" s="15">
        <f>IF(ISNA(VLOOKUP(A177,'Données projet'!$A$191:$I$211,4,0)),0,VLOOKUP(A177,'Données projet'!$A$191:$I$211,4,0))</f>
        <v>214.77</v>
      </c>
      <c r="ES177" s="16">
        <f>IF(ISNA(VLOOKUP(A177,'Données projet'!$A$191:$I$211,5,0)),0%,VLOOKUP(A177,'Données projet'!$A$191:$I$211,5,0)*VLOOKUP('Données projet'!$B$15,Paramètres!$A$1:$I$89,7,0))</f>
        <v>0.43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235.86194501963931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235.86194501963931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69.286055320187046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3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11</v>
      </c>
      <c r="H178" s="66">
        <f t="shared" si="110"/>
        <v>212.66666666666666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188.98184340090461</v>
      </c>
      <c r="T178" s="59">
        <f t="shared" si="142"/>
        <v>450.74604661797798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20.879999999999939</v>
      </c>
      <c r="AJ178" s="13">
        <f>AI178*VLOOKUP('Données projet'!$B$10,Paramètres!$A$1:$I$89,3,0)*VLOOKUP('Données projet'!$B$10,Paramètres!$A$1:$I$89,5,0)</f>
        <v>18.892223999999942</v>
      </c>
      <c r="AK178" s="13">
        <f t="shared" si="164"/>
        <v>6.184089977612083</v>
      </c>
      <c r="AL178" s="20">
        <f t="shared" si="165"/>
        <v>43.674580177674272</v>
      </c>
      <c r="AM178" s="59">
        <f t="shared" si="113"/>
        <v>334.43552927988986</v>
      </c>
      <c r="AN178" s="59">
        <f ca="1">AVERAGE(OFFSET($AM$3,0,0,'Données projet'!$E$10+1,1))-AVERAGE(OFFSET($H$3,0,0,'Données projet'!$E$10+1,1))</f>
        <v>725.60981534362895</v>
      </c>
      <c r="AO178" s="59">
        <f t="shared" si="144"/>
        <v>265.16078167969272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258.97152772761234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258.97152772761234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149.89999999999998</v>
      </c>
      <c r="BE178" s="13">
        <f>BD178*VLOOKUP('Données projet'!$B$11,Paramètres!$A$1:$I$89,3,0)*VLOOKUP('Données projet'!$B$11,Paramètres!$A$1:$I$89,5,0)</f>
        <v>172.68479999999997</v>
      </c>
      <c r="BF178" s="13">
        <f t="shared" si="167"/>
        <v>43.690780005214812</v>
      </c>
      <c r="BG178" s="20">
        <f t="shared" si="168"/>
        <v>376.85413517574904</v>
      </c>
      <c r="BH178" s="59">
        <f t="shared" si="116"/>
        <v>667.61508427796457</v>
      </c>
      <c r="BI178" s="59">
        <f ca="1">AVERAGE(OFFSET($BH$3,0,0,'Données projet'!$E$11+1,1))-AVERAGE(OFFSET($H$3,0,0,'Données projet'!$E$11+1,1))</f>
        <v>332.93090933713466</v>
      </c>
      <c r="BJ178" s="59">
        <f t="shared" si="146"/>
        <v>251.83579649532973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12.593893008136458</v>
      </c>
      <c r="BQ178" s="21">
        <f>EXP(-LN(2)/25)*BQ177+(1-EXP(-LN(2)/25))/(LN(2)/25)*Calculateur!BL178*Calculateur!BN178*VLOOKUP('Données projet'!$B$11,Paramètres!$A$1:$I$89,3,0)*0.475*44/12</f>
        <v>0.12483091443761783</v>
      </c>
      <c r="BR178" s="21">
        <f>EXP(-LN(2)/2)*BR177+(1-EXP(-LN(2)/2))/(LN(2)/2)*BL178*BO178*VLOOKUP('Données projet'!$B$11,Paramètres!$A$1:$I$89,3,0)*0.475*44/12</f>
        <v>4.0291189923362623E-25</v>
      </c>
      <c r="BS178" s="22">
        <f t="shared" si="169"/>
        <v>12.718723922574076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-2.2700000000000009</v>
      </c>
      <c r="BY178" s="12">
        <f>IF('Données projet'!$A$114&gt;35,BY177+BX178-CG177,IF(A178&lt;'Données projet'!$A$114,$BV$205^A178,IF(A178='Données projet'!$A$114,'Données projet'!$B$114,BY177+BX178-CG177)))</f>
        <v>393.47999999999934</v>
      </c>
      <c r="BZ178" s="13">
        <f>BY178*VLOOKUP('Données projet'!$B$12,Paramètres!$A$1:$I$89,3,0)*VLOOKUP('Données projet'!$B$12,Paramètres!$A$1:$I$89,5,0)</f>
        <v>448.09502399999923</v>
      </c>
      <c r="CA178" s="13">
        <f t="shared" si="170"/>
        <v>101.46183299507237</v>
      </c>
      <c r="CB178" s="20">
        <f t="shared" si="171"/>
        <v>957.14485926641635</v>
      </c>
      <c r="CC178" s="59">
        <f t="shared" si="119"/>
        <v>1247.9058083686318</v>
      </c>
      <c r="CD178" s="59">
        <f ca="1">AVERAGE(OFFSET($CC$3,0,0,'Données projet'!$E$12+1,1))-AVERAGE(OFFSET($H$3,0,0,'Données projet'!$E$12+1,1))</f>
        <v>797.57191672067393</v>
      </c>
      <c r="CE178" s="59">
        <f t="shared" si="148"/>
        <v>238.59056544987126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241.14698625964485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241.14698625964485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>
        <f>CT178*VLOOKUP('Données projet'!$B$13,Paramètres!$A$1:$I$89,3,0)*VLOOKUP('Données projet'!$B$13,Paramètres!$A$1:$I$89,5,0)</f>
        <v>0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188.98184340090461</v>
      </c>
      <c r="CZ178" s="59">
        <f t="shared" si="150"/>
        <v>450.74604661797798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2.4496992034299998</v>
      </c>
      <c r="DH178" s="21">
        <f>EXP(-LN(2)/2)*DH177+(1-EXP(-LN(2)/2))/(LN(2)/2)*DB178*DE178*VLOOKUP('Données projet'!$B$13,Paramètres!$A$1:$I$89,3,0)*0.475*44/12</f>
        <v>6.7324167777925552E-24</v>
      </c>
      <c r="DI178" s="22">
        <f t="shared" si="175"/>
        <v>2.4496992034299998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369.00000000000011</v>
      </c>
      <c r="DP178" s="17">
        <f>DO178*VLOOKUP('Données projet'!$B$14,Paramètres!$A$1:$I$89,3,0)*VLOOKUP('Données projet'!$B$14,Paramètres!$A$1:$I$89,5,0)</f>
        <v>333.87120000000004</v>
      </c>
      <c r="DQ178" s="13">
        <f t="shared" si="176"/>
        <v>78.232360111376309</v>
      </c>
      <c r="DR178" s="20">
        <f t="shared" si="177"/>
        <v>717.74703386064709</v>
      </c>
      <c r="DS178" s="59">
        <f t="shared" si="125"/>
        <v>1008.5079829628627</v>
      </c>
      <c r="DT178" s="59">
        <f ca="1">AVERAGE(OFFSET($DS$3,0,0,'Données projet'!$E$14+1,1))-AVERAGE(OFFSET($H$3,0,0,'Données projet'!$E$14+1,1))</f>
        <v>442.34161202733173</v>
      </c>
      <c r="DU178" s="59">
        <f t="shared" si="152"/>
        <v>622.90413492324399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0.59841102285357906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0.59841102285357906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-2.2700000000000009</v>
      </c>
      <c r="EJ178" s="12">
        <f>IF('Données projet'!$A$192&gt;35,EJ177+EI178-ER177,IF(A178&lt;'Données projet'!$A$192,$EG$205^A178,IF(A178='Données projet'!$A$192,'Données projet'!$B$192,EJ177+EI178-ER177)))</f>
        <v>393.47999999999934</v>
      </c>
      <c r="EK178" s="17">
        <f>EJ178*VLOOKUP('Données projet'!$B$15,Paramètres!$A$1:$I$89,3,0)*VLOOKUP('Données projet'!$B$15,Paramètres!$A$1:$I$89,5,0)</f>
        <v>429.68015999999926</v>
      </c>
      <c r="EL178" s="13">
        <f t="shared" si="179"/>
        <v>97.768567711111402</v>
      </c>
      <c r="EM178" s="20">
        <f t="shared" si="180"/>
        <v>918.63986743018438</v>
      </c>
      <c r="EN178" s="59">
        <f t="shared" si="128"/>
        <v>1209.4008165323999</v>
      </c>
      <c r="EO178" s="59">
        <f ca="1">AVERAGE(OFFSET($EN$3,0,0,'Données projet'!$E$15+1,1))-AVERAGE(OFFSET($H$3,0,0,'Données projet'!$E$15+1,1))</f>
        <v>767.9449852393318</v>
      </c>
      <c r="EP178" s="59">
        <f t="shared" si="154"/>
        <v>230.95605490295961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231.2368361393855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231.2368361393855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69.298440664240616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3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11</v>
      </c>
      <c r="H179" s="66">
        <f t="shared" si="110"/>
        <v>212.66666666666666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188.98184340090461</v>
      </c>
      <c r="T179" s="59">
        <f t="shared" si="142"/>
        <v>450.74604661797798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20.879999999999939</v>
      </c>
      <c r="AJ179" s="13">
        <f>AI179*VLOOKUP('Données projet'!$B$10,Paramètres!$A$1:$I$89,3,0)*VLOOKUP('Données projet'!$B$10,Paramètres!$A$1:$I$89,5,0)</f>
        <v>18.892223999999942</v>
      </c>
      <c r="AK179" s="13">
        <f t="shared" si="164"/>
        <v>6.184089977612083</v>
      </c>
      <c r="AL179" s="20">
        <f t="shared" si="165"/>
        <v>43.674580177674272</v>
      </c>
      <c r="AM179" s="59">
        <f t="shared" si="113"/>
        <v>334.48015439531014</v>
      </c>
      <c r="AN179" s="59">
        <f ca="1">AVERAGE(OFFSET($AM$3,0,0,'Données projet'!$E$10+1,1))-AVERAGE(OFFSET($H$3,0,0,'Données projet'!$E$10+1,1))</f>
        <v>725.60981534362895</v>
      </c>
      <c r="AO179" s="59">
        <f t="shared" si="144"/>
        <v>265.16078167969272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253.89325402590882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253.89325402590882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149.89999999999998</v>
      </c>
      <c r="BE179" s="13">
        <f>BD179*VLOOKUP('Données projet'!$B$11,Paramètres!$A$1:$I$89,3,0)*VLOOKUP('Données projet'!$B$11,Paramètres!$A$1:$I$89,5,0)</f>
        <v>172.68479999999997</v>
      </c>
      <c r="BF179" s="13">
        <f t="shared" si="167"/>
        <v>43.690780005214812</v>
      </c>
      <c r="BG179" s="20">
        <f t="shared" si="168"/>
        <v>376.85413517574904</v>
      </c>
      <c r="BH179" s="59">
        <f t="shared" si="116"/>
        <v>667.6597093933849</v>
      </c>
      <c r="BI179" s="59">
        <f ca="1">AVERAGE(OFFSET($BH$3,0,0,'Données projet'!$E$11+1,1))-AVERAGE(OFFSET($H$3,0,0,'Données projet'!$E$11+1,1))</f>
        <v>332.93090933713466</v>
      </c>
      <c r="BJ179" s="59">
        <f t="shared" si="146"/>
        <v>251.83579649532973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12.34693444776315</v>
      </c>
      <c r="BQ179" s="21">
        <f>EXP(-LN(2)/25)*BQ178+(1-EXP(-LN(2)/25))/(LN(2)/25)*Calculateur!BL179*Calculateur!BN179*VLOOKUP('Données projet'!$B$11,Paramètres!$A$1:$I$89,3,0)*0.475*44/12</f>
        <v>0.12141740651774868</v>
      </c>
      <c r="BR179" s="21">
        <f>EXP(-LN(2)/2)*BR178+(1-EXP(-LN(2)/2))/(LN(2)/2)*BL179*BO179*VLOOKUP('Données projet'!$B$11,Paramètres!$A$1:$I$89,3,0)*0.475*44/12</f>
        <v>2.8490173616884806E-25</v>
      </c>
      <c r="BS179" s="22">
        <f t="shared" si="169"/>
        <v>12.468351854280899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-2.2700000000000009</v>
      </c>
      <c r="BY179" s="12">
        <f>IF('Données projet'!$A$114&gt;35,BY178+BX179-CG178,IF(A179&lt;'Données projet'!$A$114,$BV$205^A179,IF(A179='Données projet'!$A$114,'Données projet'!$B$114,BY178+BX179-CG178)))</f>
        <v>391.20999999999935</v>
      </c>
      <c r="BZ179" s="13">
        <f>BY179*VLOOKUP('Données projet'!$B$12,Paramètres!$A$1:$I$89,3,0)*VLOOKUP('Données projet'!$B$12,Paramètres!$A$1:$I$89,5,0)</f>
        <v>445.50994799999921</v>
      </c>
      <c r="CA179" s="13">
        <f t="shared" si="170"/>
        <v>100.94445528672527</v>
      </c>
      <c r="CB179" s="20">
        <f t="shared" si="171"/>
        <v>951.74141905771182</v>
      </c>
      <c r="CC179" s="59">
        <f t="shared" si="119"/>
        <v>1242.5469932753476</v>
      </c>
      <c r="CD179" s="59">
        <f ca="1">AVERAGE(OFFSET($CC$3,0,0,'Données projet'!$E$12+1,1))-AVERAGE(OFFSET($H$3,0,0,'Données projet'!$E$12+1,1))</f>
        <v>797.57191672067393</v>
      </c>
      <c r="CE179" s="59">
        <f t="shared" si="148"/>
        <v>238.59056544987126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236.41824094423137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236.41824094423137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>
        <f>CT179*VLOOKUP('Données projet'!$B$13,Paramètres!$A$1:$I$89,3,0)*VLOOKUP('Données projet'!$B$13,Paramètres!$A$1:$I$89,5,0)</f>
        <v>0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188.98184340090461</v>
      </c>
      <c r="CZ179" s="59">
        <f t="shared" si="150"/>
        <v>450.74604661797798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2.382712049888124</v>
      </c>
      <c r="DH179" s="21">
        <f>EXP(-LN(2)/2)*DH178+(1-EXP(-LN(2)/2))/(LN(2)/2)*DB179*DE179*VLOOKUP('Données projet'!$B$13,Paramètres!$A$1:$I$89,3,0)*0.475*44/12</f>
        <v>4.7605375573512017E-24</v>
      </c>
      <c r="DI179" s="22">
        <f t="shared" si="175"/>
        <v>2.382712049888124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369.00000000000011</v>
      </c>
      <c r="DP179" s="17">
        <f>DO179*VLOOKUP('Données projet'!$B$14,Paramètres!$A$1:$I$89,3,0)*VLOOKUP('Données projet'!$B$14,Paramètres!$A$1:$I$89,5,0)</f>
        <v>333.87120000000004</v>
      </c>
      <c r="DQ179" s="13">
        <f t="shared" si="176"/>
        <v>78.232360111376309</v>
      </c>
      <c r="DR179" s="20">
        <f t="shared" si="177"/>
        <v>717.74703386064709</v>
      </c>
      <c r="DS179" s="59">
        <f t="shared" si="125"/>
        <v>1008.5526080782829</v>
      </c>
      <c r="DT179" s="59">
        <f ca="1">AVERAGE(OFFSET($DS$3,0,0,'Données projet'!$E$14+1,1))-AVERAGE(OFFSET($H$3,0,0,'Données projet'!$E$14+1,1))</f>
        <v>442.34161202733173</v>
      </c>
      <c r="DU179" s="59">
        <f t="shared" si="152"/>
        <v>622.90413492324399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0.58667654769010413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0.58667654769010413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-2.2700000000000009</v>
      </c>
      <c r="EJ179" s="12">
        <f>IF('Données projet'!$A$192&gt;35,EJ178+EI179-ER178,IF(A179&lt;'Données projet'!$A$192,$EG$205^A179,IF(A179='Données projet'!$A$192,'Données projet'!$B$192,EJ178+EI179-ER178)))</f>
        <v>391.20999999999935</v>
      </c>
      <c r="EK179" s="17">
        <f>EJ179*VLOOKUP('Données projet'!$B$15,Paramètres!$A$1:$I$89,3,0)*VLOOKUP('Données projet'!$B$15,Paramètres!$A$1:$I$89,5,0)</f>
        <v>427.20131999999927</v>
      </c>
      <c r="EL179" s="13">
        <f t="shared" si="179"/>
        <v>97.270022829577471</v>
      </c>
      <c r="EM179" s="20">
        <f t="shared" si="180"/>
        <v>913.45425542817964</v>
      </c>
      <c r="EN179" s="59">
        <f t="shared" si="128"/>
        <v>1204.2598296458154</v>
      </c>
      <c r="EO179" s="59">
        <f ca="1">AVERAGE(OFFSET($EN$3,0,0,'Données projet'!$E$15+1,1))-AVERAGE(OFFSET($H$3,0,0,'Données projet'!$E$15+1,1))</f>
        <v>767.9449852393318</v>
      </c>
      <c r="EP179" s="59">
        <f t="shared" si="154"/>
        <v>230.95605490295961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226.70242282323559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226.70242282323559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69.310611150264336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3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11</v>
      </c>
      <c r="H180" s="66">
        <f t="shared" si="110"/>
        <v>212.66666666666666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188.98184340090461</v>
      </c>
      <c r="T180" s="59">
        <f t="shared" si="142"/>
        <v>450.74604661797798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20.879999999999939</v>
      </c>
      <c r="AJ180" s="13">
        <f>AI180*VLOOKUP('Données projet'!$B$10,Paramètres!$A$1:$I$89,3,0)*VLOOKUP('Données projet'!$B$10,Paramètres!$A$1:$I$89,5,0)</f>
        <v>18.892223999999942</v>
      </c>
      <c r="AK180" s="13">
        <f t="shared" si="164"/>
        <v>6.184089977612083</v>
      </c>
      <c r="AL180" s="20">
        <f t="shared" si="165"/>
        <v>43.674580177674272</v>
      </c>
      <c r="AM180" s="59">
        <f t="shared" si="113"/>
        <v>334.52400536474471</v>
      </c>
      <c r="AN180" s="59">
        <f ca="1">AVERAGE(OFFSET($AM$3,0,0,'Données projet'!$E$10+1,1))-AVERAGE(OFFSET($H$3,0,0,'Données projet'!$E$10+1,1))</f>
        <v>725.60981534362895</v>
      </c>
      <c r="AO180" s="59">
        <f t="shared" si="144"/>
        <v>265.16078167969272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248.91456217405459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248.91456217405459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149.89999999999998</v>
      </c>
      <c r="BE180" s="13">
        <f>BD180*VLOOKUP('Données projet'!$B$11,Paramètres!$A$1:$I$89,3,0)*VLOOKUP('Données projet'!$B$11,Paramètres!$A$1:$I$89,5,0)</f>
        <v>172.68479999999997</v>
      </c>
      <c r="BF180" s="13">
        <f t="shared" si="167"/>
        <v>43.690780005214812</v>
      </c>
      <c r="BG180" s="20">
        <f t="shared" si="168"/>
        <v>376.85413517574904</v>
      </c>
      <c r="BH180" s="59">
        <f t="shared" si="116"/>
        <v>667.70356036281942</v>
      </c>
      <c r="BI180" s="59">
        <f ca="1">AVERAGE(OFFSET($BH$3,0,0,'Données projet'!$E$11+1,1))-AVERAGE(OFFSET($H$3,0,0,'Données projet'!$E$11+1,1))</f>
        <v>332.93090933713466</v>
      </c>
      <c r="BJ180" s="59">
        <f t="shared" si="146"/>
        <v>251.83579649532973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12.104818594128915</v>
      </c>
      <c r="BQ180" s="21">
        <f>EXP(-LN(2)/25)*BQ179+(1-EXP(-LN(2)/25))/(LN(2)/25)*Calculateur!BL180*Calculateur!BN180*VLOOKUP('Données projet'!$B$11,Paramètres!$A$1:$I$89,3,0)*0.475*44/12</f>
        <v>0.11809724115145694</v>
      </c>
      <c r="BR180" s="21">
        <f>EXP(-LN(2)/2)*BR179+(1-EXP(-LN(2)/2))/(LN(2)/2)*BL180*BO180*VLOOKUP('Données projet'!$B$11,Paramètres!$A$1:$I$89,3,0)*0.475*44/12</f>
        <v>2.0145594961681316E-25</v>
      </c>
      <c r="BS180" s="22">
        <f t="shared" si="169"/>
        <v>12.222915835280372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>
        <f>VLOOKUP(A180,'Données projet'!$A$113:$I$133,2,0)</f>
        <v>388.94</v>
      </c>
      <c r="BW180" s="12">
        <f>VLOOKUP(A180,'Données projet'!$A$113:$I$133,9,0)</f>
        <v>-2.2700000000000009</v>
      </c>
      <c r="BX180" s="12">
        <f t="array" ref="BX180">INDEX(BW:BW,MIN(IF(ISNUMBER(BW180:BW376),ROW(BW180:BW376),"")))</f>
        <v>-2.2700000000000009</v>
      </c>
      <c r="BY180" s="12">
        <f>IF('Données projet'!$A$114&gt;35,BY179+BX180-CG179,IF(A180&lt;'Données projet'!$A$114,$BV$205^A180,IF(A180='Données projet'!$A$114,'Données projet'!$B$114,BY179+BX180-CG179)))</f>
        <v>388.93999999999937</v>
      </c>
      <c r="BZ180" s="13">
        <f>BY180*VLOOKUP('Données projet'!$B$12,Paramètres!$A$1:$I$89,3,0)*VLOOKUP('Données projet'!$B$12,Paramètres!$A$1:$I$89,5,0)</f>
        <v>442.92487199999931</v>
      </c>
      <c r="CA180" s="13">
        <f t="shared" si="170"/>
        <v>100.42672801505884</v>
      </c>
      <c r="CB180" s="20">
        <f t="shared" si="171"/>
        <v>946.33737002622627</v>
      </c>
      <c r="CC180" s="59">
        <f t="shared" si="119"/>
        <v>1237.1867952132966</v>
      </c>
      <c r="CD180" s="59">
        <f ca="1">AVERAGE(OFFSET($CC$3,0,0,'Données projet'!$E$12+1,1))-AVERAGE(OFFSET($H$3,0,0,'Données projet'!$E$12+1,1))</f>
        <v>797.57191672067393</v>
      </c>
      <c r="CE180" s="59">
        <f t="shared" si="148"/>
        <v>238.59056544987126</v>
      </c>
      <c r="CF180" s="15">
        <f>IF(ISNA(VLOOKUP(A180,'Données projet'!$A$113:$I$133,3,0)),0,VLOOKUP(A180,'Données projet'!$A$113:$I$133,3,0))</f>
        <v>16</v>
      </c>
      <c r="CG180" s="15">
        <f>IF(ISNA(VLOOKUP(A180,'Données projet'!$A$113:$I$133,4,0)),0,VLOOKUP(A180,'Données projet'!$A$113:$I$133,4,0))</f>
        <v>115.19</v>
      </c>
      <c r="CH180" s="16">
        <f>IF(ISNA(VLOOKUP(A180,'Données projet'!$A$113:$I$133,5,0)),0%,VLOOKUP(A180,'Données projet'!$A$113:$I$133,5,0)*VLOOKUP('Données projet'!$B$12,Paramètres!$A$1:$I$89,7,0))</f>
        <v>0.43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294.13815945318578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294.13815945318578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>
        <f>CT180*VLOOKUP('Données projet'!$B$13,Paramètres!$A$1:$I$89,3,0)*VLOOKUP('Données projet'!$B$13,Paramètres!$A$1:$I$89,5,0)</f>
        <v>0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188.98184340090461</v>
      </c>
      <c r="CZ180" s="59">
        <f t="shared" si="150"/>
        <v>450.74604661797798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2.3175566635825522</v>
      </c>
      <c r="DH180" s="21">
        <f>EXP(-LN(2)/2)*DH179+(1-EXP(-LN(2)/2))/(LN(2)/2)*DB180*DE180*VLOOKUP('Données projet'!$B$13,Paramètres!$A$1:$I$89,3,0)*0.475*44/12</f>
        <v>3.3662083888962776E-24</v>
      </c>
      <c r="DI180" s="22">
        <f t="shared" si="175"/>
        <v>2.3175566635825522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369.00000000000011</v>
      </c>
      <c r="DP180" s="17">
        <f>DO180*VLOOKUP('Données projet'!$B$14,Paramètres!$A$1:$I$89,3,0)*VLOOKUP('Données projet'!$B$14,Paramètres!$A$1:$I$89,5,0)</f>
        <v>333.87120000000004</v>
      </c>
      <c r="DQ180" s="13">
        <f t="shared" si="176"/>
        <v>78.232360111376309</v>
      </c>
      <c r="DR180" s="20">
        <f t="shared" si="177"/>
        <v>717.74703386064709</v>
      </c>
      <c r="DS180" s="59">
        <f t="shared" si="125"/>
        <v>1008.5964590477175</v>
      </c>
      <c r="DT180" s="59">
        <f ca="1">AVERAGE(OFFSET($DS$3,0,0,'Données projet'!$E$14+1,1))-AVERAGE(OFFSET($H$3,0,0,'Données projet'!$E$14+1,1))</f>
        <v>442.34161202733173</v>
      </c>
      <c r="DU180" s="59">
        <f t="shared" si="152"/>
        <v>622.90413492324399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0.57517217842726176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0.57517217842726176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>
        <f>VLOOKUP(A180,'Données projet'!$A$191:$I$211,2,0)</f>
        <v>388.94</v>
      </c>
      <c r="EH180" s="12">
        <f>VLOOKUP(A180,'Données projet'!$A$191:$I$211,9,0)</f>
        <v>-2.2700000000000009</v>
      </c>
      <c r="EI180" s="12">
        <f t="array" ref="EI180">INDEX(EH:EH,MIN(IF(ISNUMBER(EH180:EH376),ROW(EH180:EH376),"")))</f>
        <v>-2.2700000000000009</v>
      </c>
      <c r="EJ180" s="12">
        <f>IF('Données projet'!$A$192&gt;35,EJ179+EI180-ER179,IF(A180&lt;'Données projet'!$A$192,$EG$205^A180,IF(A180='Données projet'!$A$192,'Données projet'!$B$192,EJ179+EI180-ER179)))</f>
        <v>388.93999999999937</v>
      </c>
      <c r="EK180" s="17">
        <f>EJ180*VLOOKUP('Données projet'!$B$15,Paramètres!$A$1:$I$89,3,0)*VLOOKUP('Données projet'!$B$15,Paramètres!$A$1:$I$89,5,0)</f>
        <v>424.72247999999928</v>
      </c>
      <c r="EL180" s="13">
        <f t="shared" si="179"/>
        <v>96.771141109016838</v>
      </c>
      <c r="EM180" s="20">
        <f t="shared" si="180"/>
        <v>908.26805676486958</v>
      </c>
      <c r="EN180" s="59">
        <f t="shared" si="128"/>
        <v>1199.1174819519401</v>
      </c>
      <c r="EO180" s="59">
        <f ca="1">AVERAGE(OFFSET($EN$3,0,0,'Données projet'!$E$15+1,1))-AVERAGE(OFFSET($H$3,0,0,'Données projet'!$E$15+1,1))</f>
        <v>767.9449852393318</v>
      </c>
      <c r="EP180" s="59">
        <f t="shared" si="154"/>
        <v>230.95605490295961</v>
      </c>
      <c r="EQ180" s="15">
        <f>IF(ISNA(VLOOKUP(A180,'Données projet'!$A$191:$I$211,3,0)),0,VLOOKUP(A180,'Données projet'!$A$191:$I$211,3,0))</f>
        <v>16</v>
      </c>
      <c r="ER180" s="15">
        <f>IF(ISNA(VLOOKUP(A180,'Données projet'!$A$191:$I$211,4,0)),0,VLOOKUP(A180,'Données projet'!$A$191:$I$211,4,0))</f>
        <v>115.19</v>
      </c>
      <c r="ES180" s="16">
        <f>IF(ISNA(VLOOKUP(A180,'Données projet'!$A$191:$I$211,5,0)),0%,VLOOKUP(A180,'Données projet'!$A$191:$I$211,5,0)*VLOOKUP('Données projet'!$B$15,Paramètres!$A$1:$I$89,7,0))</f>
        <v>0.43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282.0502898866165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282.0502898866165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69.32257050556467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3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11</v>
      </c>
      <c r="H181" s="66">
        <f t="shared" si="110"/>
        <v>212.66666666666666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188.98184340090461</v>
      </c>
      <c r="T181" s="59">
        <f t="shared" si="142"/>
        <v>450.74604661797798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20.879999999999939</v>
      </c>
      <c r="AJ181" s="13">
        <f>AI181*VLOOKUP('Données projet'!$B$10,Paramètres!$A$1:$I$89,3,0)*VLOOKUP('Données projet'!$B$10,Paramètres!$A$1:$I$89,5,0)</f>
        <v>18.892223999999942</v>
      </c>
      <c r="AK181" s="13">
        <f t="shared" si="164"/>
        <v>6.184089977612083</v>
      </c>
      <c r="AL181" s="20">
        <f t="shared" si="165"/>
        <v>43.674580177674272</v>
      </c>
      <c r="AM181" s="59">
        <f t="shared" si="113"/>
        <v>334.56709561789569</v>
      </c>
      <c r="AN181" s="59">
        <f ca="1">AVERAGE(OFFSET($AM$3,0,0,'Données projet'!$E$10+1,1))-AVERAGE(OFFSET($H$3,0,0,'Données projet'!$E$10+1,1))</f>
        <v>725.60981534362895</v>
      </c>
      <c r="AO181" s="59">
        <f t="shared" si="144"/>
        <v>265.16078167969272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244.03349943271306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244.03349943271306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149.89999999999998</v>
      </c>
      <c r="BE181" s="13">
        <f>BD181*VLOOKUP('Données projet'!$B$11,Paramètres!$A$1:$I$89,3,0)*VLOOKUP('Données projet'!$B$11,Paramètres!$A$1:$I$89,5,0)</f>
        <v>172.68479999999997</v>
      </c>
      <c r="BF181" s="13">
        <f t="shared" si="167"/>
        <v>43.690780005214812</v>
      </c>
      <c r="BG181" s="20">
        <f t="shared" si="168"/>
        <v>376.85413517574904</v>
      </c>
      <c r="BH181" s="59">
        <f t="shared" si="116"/>
        <v>667.74665061597045</v>
      </c>
      <c r="BI181" s="59">
        <f ca="1">AVERAGE(OFFSET($BH$3,0,0,'Données projet'!$E$11+1,1))-AVERAGE(OFFSET($H$3,0,0,'Données projet'!$E$11+1,1))</f>
        <v>332.93090933713466</v>
      </c>
      <c r="BJ181" s="59">
        <f t="shared" si="146"/>
        <v>251.83579649532973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11.867450484708359</v>
      </c>
      <c r="BQ181" s="21">
        <f>EXP(-LN(2)/25)*BQ180+(1-EXP(-LN(2)/25))/(LN(2)/25)*Calculateur!BL181*Calculateur!BN181*VLOOKUP('Données projet'!$B$11,Paramètres!$A$1:$I$89,3,0)*0.475*44/12</f>
        <v>0.11486786588170635</v>
      </c>
      <c r="BR181" s="21">
        <f>EXP(-LN(2)/2)*BR180+(1-EXP(-LN(2)/2))/(LN(2)/2)*BL181*BO181*VLOOKUP('Données projet'!$B$11,Paramètres!$A$1:$I$89,3,0)*0.475*44/12</f>
        <v>1.4245086808442405E-25</v>
      </c>
      <c r="BS181" s="22">
        <f t="shared" si="169"/>
        <v>11.982318350590065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-0.72999999999999921</v>
      </c>
      <c r="BY181" s="12">
        <f>IF('Données projet'!$A$114&gt;35,BY180+BX181-CG180,IF(A181&lt;'Données projet'!$A$114,$BV$205^A181,IF(A181='Données projet'!$A$114,'Données projet'!$B$114,BY180+BX181-CG180)))</f>
        <v>273.01999999999936</v>
      </c>
      <c r="BZ181" s="13">
        <f>BY181*VLOOKUP('Données projet'!$B$12,Paramètres!$A$1:$I$89,3,0)*VLOOKUP('Données projet'!$B$12,Paramètres!$A$1:$I$89,5,0)</f>
        <v>310.91517599999929</v>
      </c>
      <c r="CA181" s="13">
        <f t="shared" si="170"/>
        <v>73.459922543071386</v>
      </c>
      <c r="CB181" s="20">
        <f t="shared" si="171"/>
        <v>669.45329662918141</v>
      </c>
      <c r="CC181" s="59">
        <f t="shared" si="119"/>
        <v>960.34581206940288</v>
      </c>
      <c r="CD181" s="59">
        <f ca="1">AVERAGE(OFFSET($CC$3,0,0,'Données projet'!$E$12+1,1))-AVERAGE(OFFSET($H$3,0,0,'Données projet'!$E$12+1,1))</f>
        <v>797.57191672067393</v>
      </c>
      <c r="CE181" s="59">
        <f t="shared" si="148"/>
        <v>238.59056544987126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288.37028955287116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288.37028955287116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>
        <f>CT181*VLOOKUP('Données projet'!$B$13,Paramètres!$A$1:$I$89,3,0)*VLOOKUP('Données projet'!$B$13,Paramètres!$A$1:$I$89,5,0)</f>
        <v>0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188.98184340090461</v>
      </c>
      <c r="CZ181" s="59">
        <f t="shared" si="150"/>
        <v>450.74604661797798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2.254182954741879</v>
      </c>
      <c r="DH181" s="21">
        <f>EXP(-LN(2)/2)*DH180+(1-EXP(-LN(2)/2))/(LN(2)/2)*DB181*DE181*VLOOKUP('Données projet'!$B$13,Paramètres!$A$1:$I$89,3,0)*0.475*44/12</f>
        <v>2.3802687786756008E-24</v>
      </c>
      <c r="DI181" s="22">
        <f t="shared" si="175"/>
        <v>2.254182954741879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369.00000000000011</v>
      </c>
      <c r="DP181" s="17">
        <f>DO181*VLOOKUP('Données projet'!$B$14,Paramètres!$A$1:$I$89,3,0)*VLOOKUP('Données projet'!$B$14,Paramètres!$A$1:$I$89,5,0)</f>
        <v>333.87120000000004</v>
      </c>
      <c r="DQ181" s="13">
        <f t="shared" si="176"/>
        <v>78.232360111376309</v>
      </c>
      <c r="DR181" s="20">
        <f t="shared" si="177"/>
        <v>717.74703386064709</v>
      </c>
      <c r="DS181" s="59">
        <f t="shared" si="125"/>
        <v>1008.6395493008686</v>
      </c>
      <c r="DT181" s="59">
        <f ca="1">AVERAGE(OFFSET($DS$3,0,0,'Données projet'!$E$14+1,1))-AVERAGE(OFFSET($H$3,0,0,'Données projet'!$E$14+1,1))</f>
        <v>442.34161202733173</v>
      </c>
      <c r="DU181" s="59">
        <f t="shared" si="152"/>
        <v>622.90413492324399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0.56389340282869138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0.56389340282869138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-0.72999999999999921</v>
      </c>
      <c r="EJ181" s="12">
        <f>IF('Données projet'!$A$192&gt;35,EJ180+EI181-ER180,IF(A181&lt;'Données projet'!$A$192,$EG$205^A181,IF(A181='Données projet'!$A$192,'Données projet'!$B$192,EJ180+EI181-ER180)))</f>
        <v>273.01999999999936</v>
      </c>
      <c r="EK181" s="17">
        <f>EJ181*VLOOKUP('Données projet'!$B$15,Paramètres!$A$1:$I$89,3,0)*VLOOKUP('Données projet'!$B$15,Paramètres!$A$1:$I$89,5,0)</f>
        <v>298.1378399999993</v>
      </c>
      <c r="EL181" s="13">
        <f t="shared" si="179"/>
        <v>70.785941858098312</v>
      </c>
      <c r="EM181" s="20">
        <f t="shared" si="180"/>
        <v>642.54225340285336</v>
      </c>
      <c r="EN181" s="59">
        <f t="shared" si="128"/>
        <v>933.43476884307483</v>
      </c>
      <c r="EO181" s="59">
        <f ca="1">AVERAGE(OFFSET($EN$3,0,0,'Données projet'!$E$15+1,1))-AVERAGE(OFFSET($H$3,0,0,'Données projet'!$E$15+1,1))</f>
        <v>767.9449852393318</v>
      </c>
      <c r="EP181" s="59">
        <f t="shared" si="154"/>
        <v>230.95605490295961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276.51945573562989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276.51945573562989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69.334322392787669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3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11</v>
      </c>
      <c r="H182" s="66">
        <f t="shared" si="110"/>
        <v>212.66666666666666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188.98184340090461</v>
      </c>
      <c r="T182" s="59">
        <f t="shared" si="142"/>
        <v>450.74604661797798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20.879999999999939</v>
      </c>
      <c r="AJ182" s="13">
        <f>AI182*VLOOKUP('Données projet'!$B$10,Paramètres!$A$1:$I$89,3,0)*VLOOKUP('Données projet'!$B$10,Paramètres!$A$1:$I$89,5,0)</f>
        <v>18.892223999999942</v>
      </c>
      <c r="AK182" s="13">
        <f t="shared" si="164"/>
        <v>6.184089977612083</v>
      </c>
      <c r="AL182" s="20">
        <f t="shared" si="165"/>
        <v>43.674580177674272</v>
      </c>
      <c r="AM182" s="59">
        <f t="shared" si="113"/>
        <v>334.60943835148987</v>
      </c>
      <c r="AN182" s="59">
        <f ca="1">AVERAGE(OFFSET($AM$3,0,0,'Données projet'!$E$10+1,1))-AVERAGE(OFFSET($H$3,0,0,'Données projet'!$E$10+1,1))</f>
        <v>725.60981534362895</v>
      </c>
      <c r="AO182" s="59">
        <f t="shared" si="144"/>
        <v>265.16078167969272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239.2481513545749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239.2481513545749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149.89999999999998</v>
      </c>
      <c r="BE182" s="13">
        <f>BD182*VLOOKUP('Données projet'!$B$11,Paramètres!$A$1:$I$89,3,0)*VLOOKUP('Données projet'!$B$11,Paramètres!$A$1:$I$89,5,0)</f>
        <v>172.68479999999997</v>
      </c>
      <c r="BF182" s="13">
        <f t="shared" si="167"/>
        <v>43.690780005214812</v>
      </c>
      <c r="BG182" s="20">
        <f t="shared" si="168"/>
        <v>376.85413517574904</v>
      </c>
      <c r="BH182" s="59">
        <f t="shared" si="116"/>
        <v>667.78899334956463</v>
      </c>
      <c r="BI182" s="59">
        <f ca="1">AVERAGE(OFFSET($BH$3,0,0,'Données projet'!$E$11+1,1))-AVERAGE(OFFSET($H$3,0,0,'Données projet'!$E$11+1,1))</f>
        <v>332.93090933713466</v>
      </c>
      <c r="BJ182" s="59">
        <f t="shared" si="146"/>
        <v>251.83579649532973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11.634737019133288</v>
      </c>
      <c r="BQ182" s="21">
        <f>EXP(-LN(2)/25)*BQ181+(1-EXP(-LN(2)/25))/(LN(2)/25)*Calculateur!BL182*Calculateur!BN182*VLOOKUP('Données projet'!$B$11,Paramètres!$A$1:$I$89,3,0)*0.475*44/12</f>
        <v>0.11172679804853256</v>
      </c>
      <c r="BR182" s="21">
        <f>EXP(-LN(2)/2)*BR181+(1-EXP(-LN(2)/2))/(LN(2)/2)*BL182*BO182*VLOOKUP('Données projet'!$B$11,Paramètres!$A$1:$I$89,3,0)*0.475*44/12</f>
        <v>1.0072797480840659E-25</v>
      </c>
      <c r="BS182" s="22">
        <f t="shared" si="169"/>
        <v>11.746463817181821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-0.72999999999999921</v>
      </c>
      <c r="BY182" s="12">
        <f>IF('Données projet'!$A$114&gt;35,BY181+BX182-CG181,IF(A182&lt;'Données projet'!$A$114,$BV$205^A182,IF(A182='Données projet'!$A$114,'Données projet'!$B$114,BY181+BX182-CG181)))</f>
        <v>272.28999999999934</v>
      </c>
      <c r="BZ182" s="13">
        <f>BY182*VLOOKUP('Données projet'!$B$12,Paramètres!$A$1:$I$89,3,0)*VLOOKUP('Données projet'!$B$12,Paramètres!$A$1:$I$89,5,0)</f>
        <v>310.08385199999924</v>
      </c>
      <c r="CA182" s="13">
        <f t="shared" si="170"/>
        <v>73.286341531132351</v>
      </c>
      <c r="CB182" s="20">
        <f t="shared" si="171"/>
        <v>667.70308706672074</v>
      </c>
      <c r="CC182" s="59">
        <f t="shared" si="119"/>
        <v>958.63794524053628</v>
      </c>
      <c r="CD182" s="59">
        <f ca="1">AVERAGE(OFFSET($CC$3,0,0,'Données projet'!$E$12+1,1))-AVERAGE(OFFSET($H$3,0,0,'Données projet'!$E$12+1,1))</f>
        <v>797.57191672067393</v>
      </c>
      <c r="CE182" s="59">
        <f t="shared" si="148"/>
        <v>238.59056544987126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282.71552406324844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282.71552406324844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>
        <f>CT182*VLOOKUP('Données projet'!$B$13,Paramètres!$A$1:$I$89,3,0)*VLOOKUP('Données projet'!$B$13,Paramètres!$A$1:$I$89,5,0)</f>
        <v>0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188.98184340090461</v>
      </c>
      <c r="CZ182" s="59">
        <f t="shared" si="150"/>
        <v>450.74604661797798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2.1925422033021329</v>
      </c>
      <c r="DH182" s="21">
        <f>EXP(-LN(2)/2)*DH181+(1-EXP(-LN(2)/2))/(LN(2)/2)*DB182*DE182*VLOOKUP('Données projet'!$B$13,Paramètres!$A$1:$I$89,3,0)*0.475*44/12</f>
        <v>1.6831041944481388E-24</v>
      </c>
      <c r="DI182" s="22">
        <f t="shared" si="175"/>
        <v>2.1925422033021329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369.00000000000011</v>
      </c>
      <c r="DP182" s="17">
        <f>DO182*VLOOKUP('Données projet'!$B$14,Paramètres!$A$1:$I$89,3,0)*VLOOKUP('Données projet'!$B$14,Paramètres!$A$1:$I$89,5,0)</f>
        <v>333.87120000000004</v>
      </c>
      <c r="DQ182" s="13">
        <f t="shared" si="176"/>
        <v>78.232360111376309</v>
      </c>
      <c r="DR182" s="20">
        <f t="shared" si="177"/>
        <v>717.74703386064709</v>
      </c>
      <c r="DS182" s="59">
        <f t="shared" si="125"/>
        <v>1008.6818920344626</v>
      </c>
      <c r="DT182" s="59">
        <f ca="1">AVERAGE(OFFSET($DS$3,0,0,'Données projet'!$E$14+1,1))-AVERAGE(OFFSET($H$3,0,0,'Données projet'!$E$14+1,1))</f>
        <v>442.34161202733173</v>
      </c>
      <c r="DU182" s="59">
        <f t="shared" si="152"/>
        <v>622.90413492324399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0.55283579714023512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0.55283579714023512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-0.72999999999999921</v>
      </c>
      <c r="EJ182" s="12">
        <f>IF('Données projet'!$A$192&gt;35,EJ181+EI182-ER181,IF(A182&lt;'Données projet'!$A$192,$EG$205^A182,IF(A182='Données projet'!$A$192,'Données projet'!$B$192,EJ181+EI182-ER181)))</f>
        <v>272.28999999999934</v>
      </c>
      <c r="EK182" s="17">
        <f>EJ182*VLOOKUP('Données projet'!$B$15,Paramètres!$A$1:$I$89,3,0)*VLOOKUP('Données projet'!$B$15,Paramètres!$A$1:$I$89,5,0)</f>
        <v>297.34067999999928</v>
      </c>
      <c r="EL182" s="13">
        <f t="shared" si="179"/>
        <v>70.618679288340147</v>
      </c>
      <c r="EM182" s="20">
        <f t="shared" si="180"/>
        <v>640.86255076052453</v>
      </c>
      <c r="EN182" s="59">
        <f t="shared" si="128"/>
        <v>931.79740893434018</v>
      </c>
      <c r="EO182" s="59">
        <f ca="1">AVERAGE(OFFSET($EN$3,0,0,'Données projet'!$E$15+1,1))-AVERAGE(OFFSET($H$3,0,0,'Données projet'!$E$15+1,1))</f>
        <v>767.9449852393318</v>
      </c>
      <c r="EP182" s="59">
        <f t="shared" si="154"/>
        <v>230.95605490295961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271.09707786886838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271.09707786886838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69.345870411040622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3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11</v>
      </c>
      <c r="H183" s="66">
        <f t="shared" si="110"/>
        <v>212.66666666666666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188.98184340090461</v>
      </c>
      <c r="T183" s="59">
        <f t="shared" si="142"/>
        <v>450.74604661797798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20.879999999999939</v>
      </c>
      <c r="AJ183" s="13">
        <f>AI183*VLOOKUP('Données projet'!$B$10,Paramètres!$A$1:$I$89,3,0)*VLOOKUP('Données projet'!$B$10,Paramètres!$A$1:$I$89,5,0)</f>
        <v>18.892223999999942</v>
      </c>
      <c r="AK183" s="13">
        <f t="shared" si="164"/>
        <v>6.184089977612083</v>
      </c>
      <c r="AL183" s="20">
        <f t="shared" si="165"/>
        <v>43.674580177674272</v>
      </c>
      <c r="AM183" s="59">
        <f t="shared" si="113"/>
        <v>334.65104653332037</v>
      </c>
      <c r="AN183" s="59">
        <f ca="1">AVERAGE(OFFSET($AM$3,0,0,'Données projet'!$E$10+1,1))-AVERAGE(OFFSET($H$3,0,0,'Données projet'!$E$10+1,1))</f>
        <v>725.60981534362895</v>
      </c>
      <c r="AO183" s="59">
        <f t="shared" si="144"/>
        <v>265.16078167969272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234.55664103347493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234.55664103347493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149.89999999999998</v>
      </c>
      <c r="BE183" s="13">
        <f>BD183*VLOOKUP('Données projet'!$B$11,Paramètres!$A$1:$I$89,3,0)*VLOOKUP('Données projet'!$B$11,Paramètres!$A$1:$I$89,5,0)</f>
        <v>172.68479999999997</v>
      </c>
      <c r="BF183" s="13">
        <f t="shared" si="167"/>
        <v>43.690780005214812</v>
      </c>
      <c r="BG183" s="20">
        <f t="shared" si="168"/>
        <v>376.85413517574904</v>
      </c>
      <c r="BH183" s="59">
        <f t="shared" si="116"/>
        <v>667.83060153139513</v>
      </c>
      <c r="BI183" s="59">
        <f ca="1">AVERAGE(OFFSET($BH$3,0,0,'Données projet'!$E$11+1,1))-AVERAGE(OFFSET($H$3,0,0,'Données projet'!$E$11+1,1))</f>
        <v>332.93090933713466</v>
      </c>
      <c r="BJ183" s="59">
        <f t="shared" si="146"/>
        <v>251.83579649532973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11.406586922676945</v>
      </c>
      <c r="BQ183" s="21">
        <f>EXP(-LN(2)/25)*BQ182+(1-EXP(-LN(2)/25))/(LN(2)/25)*Calculateur!BL183*Calculateur!BN183*VLOOKUP('Données projet'!$B$11,Paramètres!$A$1:$I$89,3,0)*0.475*44/12</f>
        <v>0.10867162288043848</v>
      </c>
      <c r="BR183" s="21">
        <f>EXP(-LN(2)/2)*BR182+(1-EXP(-LN(2)/2))/(LN(2)/2)*BL183*BO183*VLOOKUP('Données projet'!$B$11,Paramètres!$A$1:$I$89,3,0)*0.475*44/12</f>
        <v>7.1225434042212037E-26</v>
      </c>
      <c r="BS183" s="22">
        <f t="shared" si="169"/>
        <v>11.515258545557383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>
        <f>VLOOKUP(A183,'Données projet'!$A$113:$I$133,2,0)</f>
        <v>271.56</v>
      </c>
      <c r="BW183" s="12">
        <f>VLOOKUP(A183,'Données projet'!$A$113:$I$133,9,0)</f>
        <v>-0.72999999999999921</v>
      </c>
      <c r="BX183" s="12">
        <f t="array" ref="BX183">INDEX(BW:BW,MIN(IF(ISNUMBER(BW183:BW379),ROW(BW183:BW379),"")))</f>
        <v>-0.72999999999999921</v>
      </c>
      <c r="BY183" s="12">
        <f>IF('Données projet'!$A$114&gt;35,BY182+BX183-CG182,IF(A183&lt;'Données projet'!$A$114,$BV$205^A183,IF(A183='Données projet'!$A$114,'Données projet'!$B$114,BY182+BX183-CG182)))</f>
        <v>271.55999999999932</v>
      </c>
      <c r="BZ183" s="13">
        <f>BY183*VLOOKUP('Données projet'!$B$12,Paramètres!$A$1:$I$89,3,0)*VLOOKUP('Données projet'!$B$12,Paramètres!$A$1:$I$89,5,0)</f>
        <v>309.25252799999919</v>
      </c>
      <c r="CA183" s="13">
        <f t="shared" si="170"/>
        <v>73.112706342227156</v>
      </c>
      <c r="CB183" s="20">
        <f t="shared" si="171"/>
        <v>665.95278314604423</v>
      </c>
      <c r="CC183" s="59">
        <f t="shared" si="119"/>
        <v>956.92924950169026</v>
      </c>
      <c r="CD183" s="59">
        <f ca="1">AVERAGE(OFFSET($CC$3,0,0,'Données projet'!$E$12+1,1))-AVERAGE(OFFSET($H$3,0,0,'Données projet'!$E$12+1,1))</f>
        <v>797.57191672067393</v>
      </c>
      <c r="CE183" s="59">
        <f t="shared" si="148"/>
        <v>238.59056544987126</v>
      </c>
      <c r="CF183" s="15">
        <f>IF(ISNA(VLOOKUP(A183,'Données projet'!$A$113:$I$133,3,0)),0,VLOOKUP(A183,'Données projet'!$A$113:$I$133,3,0))</f>
        <v>17</v>
      </c>
      <c r="CG183" s="15">
        <f>IF(ISNA(VLOOKUP(A183,'Données projet'!$A$113:$I$133,4,0)),0,VLOOKUP(A183,'Données projet'!$A$113:$I$133,4,0))</f>
        <v>77.72</v>
      </c>
      <c r="CH183" s="16">
        <f>IF(ISNA(VLOOKUP(A183,'Données projet'!$A$113:$I$133,5,0)),0%,VLOOKUP(A183,'Données projet'!$A$113:$I$133,5,0)*VLOOKUP('Données projet'!$B$12,Paramètres!$A$1:$I$89,7,0))</f>
        <v>0.43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319.2439026235927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319.2439026235927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>
        <f>CT183*VLOOKUP('Données projet'!$B$13,Paramètres!$A$1:$I$89,3,0)*VLOOKUP('Données projet'!$B$13,Paramètres!$A$1:$I$89,5,0)</f>
        <v>0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188.98184340090461</v>
      </c>
      <c r="CZ183" s="59">
        <f t="shared" si="150"/>
        <v>450.74604661797798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2.1325870214520526</v>
      </c>
      <c r="DH183" s="21">
        <f>EXP(-LN(2)/2)*DH182+(1-EXP(-LN(2)/2))/(LN(2)/2)*DB183*DE183*VLOOKUP('Données projet'!$B$13,Paramètres!$A$1:$I$89,3,0)*0.475*44/12</f>
        <v>1.1901343893378004E-24</v>
      </c>
      <c r="DI183" s="22">
        <f t="shared" si="175"/>
        <v>2.1325870214520526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369.00000000000011</v>
      </c>
      <c r="DP183" s="17">
        <f>DO183*VLOOKUP('Données projet'!$B$14,Paramètres!$A$1:$I$89,3,0)*VLOOKUP('Données projet'!$B$14,Paramètres!$A$1:$I$89,5,0)</f>
        <v>333.87120000000004</v>
      </c>
      <c r="DQ183" s="13">
        <f t="shared" si="176"/>
        <v>78.232360111376309</v>
      </c>
      <c r="DR183" s="20">
        <f t="shared" si="177"/>
        <v>717.74703386064709</v>
      </c>
      <c r="DS183" s="59">
        <f t="shared" si="125"/>
        <v>1008.7235002162931</v>
      </c>
      <c r="DT183" s="59">
        <f ca="1">AVERAGE(OFFSET($DS$3,0,0,'Données projet'!$E$14+1,1))-AVERAGE(OFFSET($H$3,0,0,'Données projet'!$E$14+1,1))</f>
        <v>442.34161202733173</v>
      </c>
      <c r="DU183" s="59">
        <f t="shared" si="152"/>
        <v>622.90413492324399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0.54199502435485603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0.54199502435485603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>
        <f>VLOOKUP(A183,'Données projet'!$A$191:$I$211,2,0)</f>
        <v>271.56</v>
      </c>
      <c r="EH183" s="12">
        <f>VLOOKUP(A183,'Données projet'!$A$191:$I$211,9,0)</f>
        <v>-0.72999999999999921</v>
      </c>
      <c r="EI183" s="12">
        <f t="array" ref="EI183">INDEX(EH:EH,MIN(IF(ISNUMBER(EH183:EH379),ROW(EH183:EH379),"")))</f>
        <v>-0.72999999999999921</v>
      </c>
      <c r="EJ183" s="12">
        <f>IF('Données projet'!$A$192&gt;35,EJ182+EI183-ER182,IF(A183&lt;'Données projet'!$A$192,$EG$205^A183,IF(A183='Données projet'!$A$192,'Données projet'!$B$192,EJ182+EI183-ER182)))</f>
        <v>271.55999999999932</v>
      </c>
      <c r="EK183" s="17">
        <f>EJ183*VLOOKUP('Données projet'!$B$15,Paramètres!$A$1:$I$89,3,0)*VLOOKUP('Données projet'!$B$15,Paramètres!$A$1:$I$89,5,0)</f>
        <v>296.54351999999921</v>
      </c>
      <c r="EL183" s="13">
        <f t="shared" si="179"/>
        <v>70.451364513686613</v>
      </c>
      <c r="EM183" s="20">
        <f t="shared" si="180"/>
        <v>639.18275719466931</v>
      </c>
      <c r="EN183" s="59">
        <f t="shared" si="128"/>
        <v>930.15922355031535</v>
      </c>
      <c r="EO183" s="59">
        <f ca="1">AVERAGE(OFFSET($EN$3,0,0,'Données projet'!$E$15+1,1))-AVERAGE(OFFSET($H$3,0,0,'Données projet'!$E$15+1,1))</f>
        <v>767.9449852393318</v>
      </c>
      <c r="EP183" s="59">
        <f t="shared" si="154"/>
        <v>230.95605490295961</v>
      </c>
      <c r="EQ183" s="15">
        <f>IF(ISNA(VLOOKUP(A183,'Données projet'!$A$191:$I$211,3,0)),0,VLOOKUP(A183,'Données projet'!$A$191:$I$211,3,0))</f>
        <v>17</v>
      </c>
      <c r="ER183" s="15">
        <f>IF(ISNA(VLOOKUP(A183,'Données projet'!$A$191:$I$211,4,0)),0,VLOOKUP(A183,'Données projet'!$A$191:$I$211,4,0))</f>
        <v>77.72</v>
      </c>
      <c r="ES183" s="16">
        <f>IF(ISNA(VLOOKUP(A183,'Données projet'!$A$191:$I$211,5,0)),0%,VLOOKUP(A183,'Données projet'!$A$191:$I$211,5,0)*VLOOKUP('Données projet'!$B$15,Paramètres!$A$1:$I$89,7,0))</f>
        <v>0.43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306.12429018700675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306.12429018700675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69.357218096994387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3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11</v>
      </c>
      <c r="H184" s="66">
        <f t="shared" si="110"/>
        <v>212.66666666666666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188.98184340090461</v>
      </c>
      <c r="T184" s="59">
        <f t="shared" si="142"/>
        <v>450.74604661797798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20.879999999999939</v>
      </c>
      <c r="AJ184" s="13">
        <f>AI184*VLOOKUP('Données projet'!$B$10,Paramètres!$A$1:$I$89,3,0)*VLOOKUP('Données projet'!$B$10,Paramètres!$A$1:$I$89,5,0)</f>
        <v>18.892223999999942</v>
      </c>
      <c r="AK184" s="13">
        <f t="shared" si="164"/>
        <v>6.184089977612083</v>
      </c>
      <c r="AL184" s="20">
        <f t="shared" si="165"/>
        <v>43.674580177674272</v>
      </c>
      <c r="AM184" s="59">
        <f t="shared" si="113"/>
        <v>334.69193290621803</v>
      </c>
      <c r="AN184" s="59">
        <f ca="1">AVERAGE(OFFSET($AM$3,0,0,'Données projet'!$E$10+1,1))-AVERAGE(OFFSET($H$3,0,0,'Données projet'!$E$10+1,1))</f>
        <v>725.60981534362895</v>
      </c>
      <c r="AO184" s="59">
        <f t="shared" si="144"/>
        <v>265.16078167969272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229.95712836823299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229.95712836823299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149.89999999999998</v>
      </c>
      <c r="BE184" s="13">
        <f>BD184*VLOOKUP('Données projet'!$B$11,Paramètres!$A$1:$I$89,3,0)*VLOOKUP('Données projet'!$B$11,Paramètres!$A$1:$I$89,5,0)</f>
        <v>172.68479999999997</v>
      </c>
      <c r="BF184" s="13">
        <f t="shared" si="167"/>
        <v>43.690780005214812</v>
      </c>
      <c r="BG184" s="20">
        <f t="shared" si="168"/>
        <v>376.85413517574904</v>
      </c>
      <c r="BH184" s="59">
        <f t="shared" si="116"/>
        <v>667.87148790429274</v>
      </c>
      <c r="BI184" s="59">
        <f ca="1">AVERAGE(OFFSET($BH$3,0,0,'Données projet'!$E$11+1,1))-AVERAGE(OFFSET($H$3,0,0,'Données projet'!$E$11+1,1))</f>
        <v>332.93090933713466</v>
      </c>
      <c r="BJ184" s="59">
        <f t="shared" si="146"/>
        <v>251.83579649532973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11.182910710454294</v>
      </c>
      <c r="BQ184" s="21">
        <f>EXP(-LN(2)/25)*BQ183+(1-EXP(-LN(2)/25))/(LN(2)/25)*Calculateur!BL184*Calculateur!BN184*VLOOKUP('Données projet'!$B$11,Paramètres!$A$1:$I$89,3,0)*0.475*44/12</f>
        <v>0.10569999163798062</v>
      </c>
      <c r="BR184" s="21">
        <f>EXP(-LN(2)/2)*BR183+(1-EXP(-LN(2)/2))/(LN(2)/2)*BL184*BO184*VLOOKUP('Données projet'!$B$11,Paramètres!$A$1:$I$89,3,0)*0.475*44/12</f>
        <v>5.0363987404203301E-26</v>
      </c>
      <c r="BS184" s="22">
        <f t="shared" si="169"/>
        <v>11.288610702092274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-0.79000000000000148</v>
      </c>
      <c r="BY184" s="12">
        <f>IF('Données projet'!$A$114&gt;35,BY183+BX184-CG183,IF(A184&lt;'Données projet'!$A$114,$BV$205^A184,IF(A184='Données projet'!$A$114,'Données projet'!$B$114,BY183+BX184-CG183)))</f>
        <v>193.0499999999993</v>
      </c>
      <c r="BZ184" s="13">
        <f>BY184*VLOOKUP('Données projet'!$B$12,Paramètres!$A$1:$I$89,3,0)*VLOOKUP('Données projet'!$B$12,Paramètres!$A$1:$I$89,5,0)</f>
        <v>219.84533999999923</v>
      </c>
      <c r="CA184" s="13">
        <f t="shared" si="170"/>
        <v>54.081269758053544</v>
      </c>
      <c r="CB184" s="20">
        <f t="shared" si="171"/>
        <v>477.08884532860861</v>
      </c>
      <c r="CC184" s="59">
        <f t="shared" si="119"/>
        <v>768.10619805715237</v>
      </c>
      <c r="CD184" s="59">
        <f ca="1">AVERAGE(OFFSET($CC$3,0,0,'Données projet'!$E$12+1,1))-AVERAGE(OFFSET($H$3,0,0,'Données projet'!$E$12+1,1))</f>
        <v>797.57191672067393</v>
      </c>
      <c r="CE184" s="59">
        <f t="shared" si="148"/>
        <v>238.59056544987126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312.98372441269771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312.98372441269771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>
        <f>CT184*VLOOKUP('Données projet'!$B$13,Paramètres!$A$1:$I$89,3,0)*VLOOKUP('Données projet'!$B$13,Paramètres!$A$1:$I$89,5,0)</f>
        <v>0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188.98184340090461</v>
      </c>
      <c r="CZ184" s="59">
        <f t="shared" si="150"/>
        <v>450.74604661797798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2.0742713172025686</v>
      </c>
      <c r="DH184" s="21">
        <f>EXP(-LN(2)/2)*DH183+(1-EXP(-LN(2)/2))/(LN(2)/2)*DB184*DE184*VLOOKUP('Données projet'!$B$13,Paramètres!$A$1:$I$89,3,0)*0.475*44/12</f>
        <v>8.415520972240694E-25</v>
      </c>
      <c r="DI184" s="22">
        <f t="shared" si="175"/>
        <v>2.0742713172025686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369.00000000000011</v>
      </c>
      <c r="DP184" s="17">
        <f>DO184*VLOOKUP('Données projet'!$B$14,Paramètres!$A$1:$I$89,3,0)*VLOOKUP('Données projet'!$B$14,Paramètres!$A$1:$I$89,5,0)</f>
        <v>333.87120000000004</v>
      </c>
      <c r="DQ184" s="13">
        <f t="shared" si="176"/>
        <v>78.232360111376309</v>
      </c>
      <c r="DR184" s="20">
        <f t="shared" si="177"/>
        <v>717.74703386064709</v>
      </c>
      <c r="DS184" s="59">
        <f t="shared" si="125"/>
        <v>1008.7643865891908</v>
      </c>
      <c r="DT184" s="59">
        <f ca="1">AVERAGE(OFFSET($DS$3,0,0,'Données projet'!$E$14+1,1))-AVERAGE(OFFSET($H$3,0,0,'Données projet'!$E$14+1,1))</f>
        <v>442.34161202733173</v>
      </c>
      <c r="DU184" s="59">
        <f t="shared" si="152"/>
        <v>622.90413492324399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0.53136683251157968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0.53136683251157968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-0.79000000000000148</v>
      </c>
      <c r="EJ184" s="12">
        <f>IF('Données projet'!$A$192&gt;35,EJ183+EI184-ER183,IF(A184&lt;'Données projet'!$A$192,$EG$205^A184,IF(A184='Données projet'!$A$192,'Données projet'!$B$192,EJ183+EI184-ER183)))</f>
        <v>193.0499999999993</v>
      </c>
      <c r="EK184" s="17">
        <f>EJ184*VLOOKUP('Données projet'!$B$15,Paramètres!$A$1:$I$89,3,0)*VLOOKUP('Données projet'!$B$15,Paramètres!$A$1:$I$89,5,0)</f>
        <v>210.81059999999923</v>
      </c>
      <c r="EL184" s="13">
        <f t="shared" si="179"/>
        <v>52.112682455677025</v>
      </c>
      <c r="EM184" s="20">
        <f t="shared" si="180"/>
        <v>457.92471694363616</v>
      </c>
      <c r="EN184" s="59">
        <f t="shared" si="128"/>
        <v>748.94206967217997</v>
      </c>
      <c r="EO184" s="59">
        <f ca="1">AVERAGE(OFFSET($EN$3,0,0,'Données projet'!$E$15+1,1))-AVERAGE(OFFSET($H$3,0,0,'Données projet'!$E$15+1,1))</f>
        <v>767.9449852393318</v>
      </c>
      <c r="EP184" s="59">
        <f t="shared" si="154"/>
        <v>230.95605490295961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300.12137957381975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300.12137957381975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69.368368925966479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3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11</v>
      </c>
      <c r="H185" s="66">
        <f t="shared" si="110"/>
        <v>212.66666666666666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188.98184340090461</v>
      </c>
      <c r="T185" s="59">
        <f t="shared" si="142"/>
        <v>450.74604661797798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20.879999999999939</v>
      </c>
      <c r="AJ185" s="13">
        <f>AI185*VLOOKUP('Données projet'!$B$10,Paramètres!$A$1:$I$89,3,0)*VLOOKUP('Données projet'!$B$10,Paramètres!$A$1:$I$89,5,0)</f>
        <v>18.892223999999942</v>
      </c>
      <c r="AK185" s="13">
        <f t="shared" si="164"/>
        <v>6.184089977612083</v>
      </c>
      <c r="AL185" s="20">
        <f t="shared" si="165"/>
        <v>43.674580177674272</v>
      </c>
      <c r="AM185" s="59">
        <f t="shared" si="113"/>
        <v>334.7321099919543</v>
      </c>
      <c r="AN185" s="59">
        <f ca="1">AVERAGE(OFFSET($AM$3,0,0,'Données projet'!$E$10+1,1))-AVERAGE(OFFSET($H$3,0,0,'Données projet'!$E$10+1,1))</f>
        <v>725.60981534362895</v>
      </c>
      <c r="AO185" s="59">
        <f t="shared" si="144"/>
        <v>265.16078167969272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225.44780934093072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225.44780934093072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149.89999999999998</v>
      </c>
      <c r="BE185" s="13">
        <f>BD185*VLOOKUP('Données projet'!$B$11,Paramètres!$A$1:$I$89,3,0)*VLOOKUP('Données projet'!$B$11,Paramètres!$A$1:$I$89,5,0)</f>
        <v>172.68479999999997</v>
      </c>
      <c r="BF185" s="13">
        <f t="shared" si="167"/>
        <v>43.690780005214812</v>
      </c>
      <c r="BG185" s="20">
        <f t="shared" si="168"/>
        <v>376.85413517574904</v>
      </c>
      <c r="BH185" s="59">
        <f t="shared" si="116"/>
        <v>667.91166499002907</v>
      </c>
      <c r="BI185" s="59">
        <f ca="1">AVERAGE(OFFSET($BH$3,0,0,'Données projet'!$E$11+1,1))-AVERAGE(OFFSET($H$3,0,0,'Données projet'!$E$11+1,1))</f>
        <v>332.93090933713466</v>
      </c>
      <c r="BJ185" s="59">
        <f t="shared" si="146"/>
        <v>251.83579649532973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10.963620652324311</v>
      </c>
      <c r="BQ185" s="21">
        <f>EXP(-LN(2)/25)*BQ184+(1-EXP(-LN(2)/25))/(LN(2)/25)*Calculateur!BL185*Calculateur!BN185*VLOOKUP('Données projet'!$B$11,Paramètres!$A$1:$I$89,3,0)*0.475*44/12</f>
        <v>0.10280961980811906</v>
      </c>
      <c r="BR185" s="21">
        <f>EXP(-LN(2)/2)*BR184+(1-EXP(-LN(2)/2))/(LN(2)/2)*BL185*BO185*VLOOKUP('Données projet'!$B$11,Paramètres!$A$1:$I$89,3,0)*0.475*44/12</f>
        <v>3.5612717021106024E-26</v>
      </c>
      <c r="BS185" s="22">
        <f t="shared" si="169"/>
        <v>11.066430272132429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-0.79000000000000148</v>
      </c>
      <c r="BY185" s="12">
        <f>IF('Données projet'!$A$114&gt;35,BY184+BX185-CG184,IF(A185&lt;'Données projet'!$A$114,$BV$205^A185,IF(A185='Données projet'!$A$114,'Données projet'!$B$114,BY184+BX185-CG184)))</f>
        <v>192.25999999999931</v>
      </c>
      <c r="BZ185" s="13">
        <f>BY185*VLOOKUP('Données projet'!$B$12,Paramètres!$A$1:$I$89,3,0)*VLOOKUP('Données projet'!$B$12,Paramètres!$A$1:$I$89,5,0)</f>
        <v>218.94568799999922</v>
      </c>
      <c r="CA185" s="13">
        <f t="shared" si="170"/>
        <v>53.885672189397447</v>
      </c>
      <c r="CB185" s="20">
        <f t="shared" si="171"/>
        <v>475.18128566319916</v>
      </c>
      <c r="CC185" s="59">
        <f t="shared" si="119"/>
        <v>766.23881547747919</v>
      </c>
      <c r="CD185" s="59">
        <f ca="1">AVERAGE(OFFSET($CC$3,0,0,'Données projet'!$E$12+1,1))-AVERAGE(OFFSET($H$3,0,0,'Données projet'!$E$12+1,1))</f>
        <v>797.57191672067393</v>
      </c>
      <c r="CE185" s="59">
        <f t="shared" si="148"/>
        <v>238.59056544987126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306.84630447818665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306.84630447818665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>
        <f>CT185*VLOOKUP('Données projet'!$B$13,Paramètres!$A$1:$I$89,3,0)*VLOOKUP('Données projet'!$B$13,Paramètres!$A$1:$I$89,5,0)</f>
        <v>0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188.98184340090461</v>
      </c>
      <c r="CZ185" s="59">
        <f t="shared" si="150"/>
        <v>450.74604661797798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2.0175502589524767</v>
      </c>
      <c r="DH185" s="21">
        <f>EXP(-LN(2)/2)*DH184+(1-EXP(-LN(2)/2))/(LN(2)/2)*DB185*DE185*VLOOKUP('Données projet'!$B$13,Paramètres!$A$1:$I$89,3,0)*0.475*44/12</f>
        <v>5.9506719466890021E-25</v>
      </c>
      <c r="DI185" s="22">
        <f t="shared" si="175"/>
        <v>2.0175502589524767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369.00000000000011</v>
      </c>
      <c r="DP185" s="17">
        <f>DO185*VLOOKUP('Données projet'!$B$14,Paramètres!$A$1:$I$89,3,0)*VLOOKUP('Données projet'!$B$14,Paramètres!$A$1:$I$89,5,0)</f>
        <v>333.87120000000004</v>
      </c>
      <c r="DQ185" s="13">
        <f t="shared" si="176"/>
        <v>78.232360111376309</v>
      </c>
      <c r="DR185" s="20">
        <f t="shared" si="177"/>
        <v>717.74703386064709</v>
      </c>
      <c r="DS185" s="59">
        <f t="shared" si="125"/>
        <v>1008.8045636749271</v>
      </c>
      <c r="DT185" s="59">
        <f ca="1">AVERAGE(OFFSET($DS$3,0,0,'Données projet'!$E$14+1,1))-AVERAGE(OFFSET($H$3,0,0,'Données projet'!$E$14+1,1))</f>
        <v>442.34161202733173</v>
      </c>
      <c r="DU185" s="59">
        <f t="shared" si="152"/>
        <v>622.90413492324399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0.52094705302779309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0.52094705302779309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-0.79000000000000148</v>
      </c>
      <c r="EJ185" s="12">
        <f>IF('Données projet'!$A$192&gt;35,EJ184+EI185-ER184,IF(A185&lt;'Données projet'!$A$192,$EG$205^A185,IF(A185='Données projet'!$A$192,'Données projet'!$B$192,EJ184+EI185-ER184)))</f>
        <v>192.25999999999931</v>
      </c>
      <c r="EK185" s="17">
        <f>EJ185*VLOOKUP('Données projet'!$B$15,Paramètres!$A$1:$I$89,3,0)*VLOOKUP('Données projet'!$B$15,Paramètres!$A$1:$I$89,5,0)</f>
        <v>209.94791999999924</v>
      </c>
      <c r="EL185" s="13">
        <f t="shared" si="179"/>
        <v>51.924204743706142</v>
      </c>
      <c r="EM185" s="20">
        <f t="shared" si="180"/>
        <v>456.09395059528691</v>
      </c>
      <c r="EN185" s="59">
        <f t="shared" si="128"/>
        <v>747.15148040956694</v>
      </c>
      <c r="EO185" s="59">
        <f ca="1">AVERAGE(OFFSET($EN$3,0,0,'Données projet'!$E$15+1,1))-AVERAGE(OFFSET($H$3,0,0,'Données projet'!$E$15+1,1))</f>
        <v>767.9449852393318</v>
      </c>
      <c r="EP185" s="59">
        <f t="shared" si="154"/>
        <v>230.95605490295961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294.23618237634344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294.23618237634344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69.379326312985455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3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11</v>
      </c>
      <c r="H186" s="66">
        <f t="shared" si="110"/>
        <v>212.66666666666666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188.98184340090461</v>
      </c>
      <c r="T186" s="59">
        <f t="shared" si="142"/>
        <v>450.74604661797798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20.879999999999939</v>
      </c>
      <c r="AJ186" s="13">
        <f>AI186*VLOOKUP('Données projet'!$B$10,Paramètres!$A$1:$I$89,3,0)*VLOOKUP('Données projet'!$B$10,Paramètres!$A$1:$I$89,5,0)</f>
        <v>18.892223999999942</v>
      </c>
      <c r="AK186" s="13">
        <f t="shared" si="164"/>
        <v>6.184089977612083</v>
      </c>
      <c r="AL186" s="20">
        <f t="shared" si="165"/>
        <v>43.674580177674272</v>
      </c>
      <c r="AM186" s="59">
        <f t="shared" si="113"/>
        <v>334.77159009507534</v>
      </c>
      <c r="AN186" s="59">
        <f ca="1">AVERAGE(OFFSET($AM$3,0,0,'Données projet'!$E$10+1,1))-AVERAGE(OFFSET($H$3,0,0,'Données projet'!$E$10+1,1))</f>
        <v>725.60981534362895</v>
      </c>
      <c r="AO186" s="59">
        <f t="shared" si="144"/>
        <v>265.16078167969272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221.02691530934081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221.02691530934081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149.89999999999998</v>
      </c>
      <c r="BE186" s="13">
        <f>BD186*VLOOKUP('Données projet'!$B$11,Paramètres!$A$1:$I$89,3,0)*VLOOKUP('Données projet'!$B$11,Paramètres!$A$1:$I$89,5,0)</f>
        <v>172.68479999999997</v>
      </c>
      <c r="BF186" s="13">
        <f t="shared" si="167"/>
        <v>43.690780005214812</v>
      </c>
      <c r="BG186" s="20">
        <f t="shared" si="168"/>
        <v>376.85413517574904</v>
      </c>
      <c r="BH186" s="59">
        <f t="shared" si="116"/>
        <v>667.9511450931501</v>
      </c>
      <c r="BI186" s="59">
        <f ca="1">AVERAGE(OFFSET($BH$3,0,0,'Données projet'!$E$11+1,1))-AVERAGE(OFFSET($H$3,0,0,'Données projet'!$E$11+1,1))</f>
        <v>332.93090933713466</v>
      </c>
      <c r="BJ186" s="59">
        <f t="shared" si="146"/>
        <v>251.83579649532973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10.748630738480529</v>
      </c>
      <c r="BQ186" s="21">
        <f>EXP(-LN(2)/25)*BQ185+(1-EXP(-LN(2)/25))/(LN(2)/25)*Calculateur!BL186*Calculateur!BN186*VLOOKUP('Données projet'!$B$11,Paramètres!$A$1:$I$89,3,0)*0.475*44/12</f>
        <v>9.9998285347943111E-2</v>
      </c>
      <c r="BR186" s="21">
        <f>EXP(-LN(2)/2)*BR185+(1-EXP(-LN(2)/2))/(LN(2)/2)*BL186*BO186*VLOOKUP('Données projet'!$B$11,Paramètres!$A$1:$I$89,3,0)*0.475*44/12</f>
        <v>2.5181993702101656E-26</v>
      </c>
      <c r="BS186" s="22">
        <f t="shared" si="169"/>
        <v>10.848629023828472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>
        <f>VLOOKUP(A186,'Données projet'!$A$113:$I$133,2,0)</f>
        <v>191.47</v>
      </c>
      <c r="BW186" s="12">
        <f>VLOOKUP(A186,'Données projet'!$A$113:$I$133,9,0)</f>
        <v>-0.79000000000000148</v>
      </c>
      <c r="BX186" s="12">
        <f t="array" ref="BX186">INDEX(BW:BW,MIN(IF(ISNUMBER(BW186:BW382),ROW(BW186:BW382),"")))</f>
        <v>-0.79000000000000148</v>
      </c>
      <c r="BY186" s="12">
        <f>IF('Données projet'!$A$114&gt;35,BY185+BX186-CG185,IF(A186&lt;'Données projet'!$A$114,$BV$205^A186,IF(A186='Données projet'!$A$114,'Données projet'!$B$114,BY185+BX186-CG185)))</f>
        <v>191.46999999999932</v>
      </c>
      <c r="BZ186" s="13">
        <f>BY186*VLOOKUP('Données projet'!$B$12,Paramètres!$A$1:$I$89,3,0)*VLOOKUP('Données projet'!$B$12,Paramètres!$A$1:$I$89,5,0)</f>
        <v>218.04603599999922</v>
      </c>
      <c r="CA186" s="13">
        <f t="shared" si="170"/>
        <v>53.6899810457614</v>
      </c>
      <c r="CB186" s="20">
        <f t="shared" si="171"/>
        <v>473.27356302136633</v>
      </c>
      <c r="CC186" s="59">
        <f t="shared" si="119"/>
        <v>764.3705729387674</v>
      </c>
      <c r="CD186" s="59">
        <f ca="1">AVERAGE(OFFSET($CC$3,0,0,'Données projet'!$E$12+1,1))-AVERAGE(OFFSET($H$3,0,0,'Données projet'!$E$12+1,1))</f>
        <v>797.57191672067393</v>
      </c>
      <c r="CE186" s="59">
        <f t="shared" si="148"/>
        <v>238.59056544987126</v>
      </c>
      <c r="CF186" s="15">
        <f>IF(ISNA(VLOOKUP(A186,'Données projet'!$A$113:$I$133,3,0)),0,VLOOKUP(A186,'Données projet'!$A$113:$I$133,3,0))</f>
        <v>18</v>
      </c>
      <c r="CG186" s="15">
        <f>IF(ISNA(VLOOKUP(A186,'Données projet'!$A$113:$I$133,4,0)),0,VLOOKUP(A186,'Données projet'!$A$113:$I$133,4,0))</f>
        <v>169.76</v>
      </c>
      <c r="CH186" s="16">
        <f>IF(ISNA(VLOOKUP(A186,'Données projet'!$A$113:$I$133,5,0)),0%,VLOOKUP(A186,'Données projet'!$A$113:$I$133,5,0)*VLOOKUP('Données projet'!$B$12,Paramètres!$A$1:$I$89,7,0))</f>
        <v>0.43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392.7256128736816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392.7256128736816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>
        <f>CT186*VLOOKUP('Données projet'!$B$13,Paramètres!$A$1:$I$89,3,0)*VLOOKUP('Données projet'!$B$13,Paramètres!$A$1:$I$89,5,0)</f>
        <v>0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188.98184340090461</v>
      </c>
      <c r="CZ186" s="59">
        <f t="shared" si="150"/>
        <v>450.74604661797798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1.9623802410230644</v>
      </c>
      <c r="DH186" s="21">
        <f>EXP(-LN(2)/2)*DH185+(1-EXP(-LN(2)/2))/(LN(2)/2)*DB186*DE186*VLOOKUP('Données projet'!$B$13,Paramètres!$A$1:$I$89,3,0)*0.475*44/12</f>
        <v>4.207760486120347E-25</v>
      </c>
      <c r="DI186" s="22">
        <f t="shared" si="175"/>
        <v>1.9623802410230644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369.00000000000011</v>
      </c>
      <c r="DP186" s="17">
        <f>DO186*VLOOKUP('Données projet'!$B$14,Paramètres!$A$1:$I$89,3,0)*VLOOKUP('Données projet'!$B$14,Paramètres!$A$1:$I$89,5,0)</f>
        <v>333.87120000000004</v>
      </c>
      <c r="DQ186" s="13">
        <f t="shared" si="176"/>
        <v>78.232360111376309</v>
      </c>
      <c r="DR186" s="20">
        <f t="shared" si="177"/>
        <v>717.74703386064709</v>
      </c>
      <c r="DS186" s="59">
        <f t="shared" si="125"/>
        <v>1008.8440437780482</v>
      </c>
      <c r="DT186" s="59">
        <f ca="1">AVERAGE(OFFSET($DS$3,0,0,'Données projet'!$E$14+1,1))-AVERAGE(OFFSET($H$3,0,0,'Données projet'!$E$14+1,1))</f>
        <v>442.34161202733173</v>
      </c>
      <c r="DU186" s="59">
        <f t="shared" si="152"/>
        <v>622.90413492324399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0.51073159906424559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0.51073159906424559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>
        <f>VLOOKUP(A186,'Données projet'!$A$191:$I$211,2,0)</f>
        <v>191.47</v>
      </c>
      <c r="EH186" s="12">
        <f>VLOOKUP(A186,'Données projet'!$A$191:$I$211,9,0)</f>
        <v>-0.79000000000000148</v>
      </c>
      <c r="EI186" s="12">
        <f t="array" ref="EI186">INDEX(EH:EH,MIN(IF(ISNUMBER(EH186:EH382),ROW(EH186:EH382),"")))</f>
        <v>-0.79000000000000148</v>
      </c>
      <c r="EJ186" s="12">
        <f>IF('Données projet'!$A$192&gt;35,EJ185+EI186-ER185,IF(A186&lt;'Données projet'!$A$192,$EG$205^A186,IF(A186='Données projet'!$A$192,'Données projet'!$B$192,EJ185+EI186-ER185)))</f>
        <v>191.46999999999932</v>
      </c>
      <c r="EK186" s="17">
        <f>EJ186*VLOOKUP('Données projet'!$B$15,Paramètres!$A$1:$I$89,3,0)*VLOOKUP('Données projet'!$B$15,Paramètres!$A$1:$I$89,5,0)</f>
        <v>209.08523999999926</v>
      </c>
      <c r="EL186" s="13">
        <f t="shared" si="179"/>
        <v>51.735636862934903</v>
      </c>
      <c r="EM186" s="20">
        <f t="shared" si="180"/>
        <v>454.26302720294365</v>
      </c>
      <c r="EN186" s="59">
        <f t="shared" si="128"/>
        <v>745.36003712034471</v>
      </c>
      <c r="EO186" s="59">
        <f ca="1">AVERAGE(OFFSET($EN$3,0,0,'Données projet'!$E$15+1,1))-AVERAGE(OFFSET($H$3,0,0,'Données projet'!$E$15+1,1))</f>
        <v>767.9449852393318</v>
      </c>
      <c r="EP186" s="59">
        <f t="shared" si="154"/>
        <v>230.95605490295961</v>
      </c>
      <c r="EQ186" s="15">
        <f>IF(ISNA(VLOOKUP(A186,'Données projet'!$A$191:$I$211,3,0)),0,VLOOKUP(A186,'Données projet'!$A$191:$I$211,3,0))</f>
        <v>18</v>
      </c>
      <c r="ER186" s="15">
        <f>IF(ISNA(VLOOKUP(A186,'Données projet'!$A$191:$I$211,4,0)),0,VLOOKUP(A186,'Données projet'!$A$191:$I$211,4,0))</f>
        <v>169.76</v>
      </c>
      <c r="ES186" s="16">
        <f>IF(ISNA(VLOOKUP(A186,'Données projet'!$A$191:$I$211,5,0)),0%,VLOOKUP(A186,'Données projet'!$A$191:$I$211,5,0)*VLOOKUP('Données projet'!$B$15,Paramètres!$A$1:$I$89,7,0))</f>
        <v>0.43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376.58620412544815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376.58620412544815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69.390093613836655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3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11</v>
      </c>
      <c r="H187" s="66">
        <f t="shared" si="110"/>
        <v>212.66666666666666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188.98184340090461</v>
      </c>
      <c r="T187" s="59">
        <f t="shared" si="142"/>
        <v>450.74604661797798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20.879999999999939</v>
      </c>
      <c r="AJ187" s="13">
        <f>AI187*VLOOKUP('Données projet'!$B$10,Paramètres!$A$1:$I$89,3,0)*VLOOKUP('Données projet'!$B$10,Paramètres!$A$1:$I$89,5,0)</f>
        <v>18.892223999999942</v>
      </c>
      <c r="AK187" s="13">
        <f t="shared" si="164"/>
        <v>6.184089977612083</v>
      </c>
      <c r="AL187" s="20">
        <f t="shared" si="165"/>
        <v>43.674580177674272</v>
      </c>
      <c r="AM187" s="59">
        <f t="shared" si="113"/>
        <v>334.81038530667166</v>
      </c>
      <c r="AN187" s="59">
        <f ca="1">AVERAGE(OFFSET($AM$3,0,0,'Données projet'!$E$10+1,1))-AVERAGE(OFFSET($H$3,0,0,'Données projet'!$E$10+1,1))</f>
        <v>725.60981534362895</v>
      </c>
      <c r="AO187" s="59">
        <f t="shared" si="144"/>
        <v>265.16078167969272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216.69271231323128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216.69271231323128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149.89999999999998</v>
      </c>
      <c r="BE187" s="13">
        <f>BD187*VLOOKUP('Données projet'!$B$11,Paramètres!$A$1:$I$89,3,0)*VLOOKUP('Données projet'!$B$11,Paramètres!$A$1:$I$89,5,0)</f>
        <v>172.68479999999997</v>
      </c>
      <c r="BF187" s="13">
        <f t="shared" si="167"/>
        <v>43.690780005214812</v>
      </c>
      <c r="BG187" s="20">
        <f t="shared" si="168"/>
        <v>376.85413517574904</v>
      </c>
      <c r="BH187" s="59">
        <f t="shared" si="116"/>
        <v>667.98994030474637</v>
      </c>
      <c r="BI187" s="59">
        <f ca="1">AVERAGE(OFFSET($BH$3,0,0,'Données projet'!$E$11+1,1))-AVERAGE(OFFSET($H$3,0,0,'Données projet'!$E$11+1,1))</f>
        <v>332.93090933713466</v>
      </c>
      <c r="BJ187" s="59">
        <f t="shared" si="146"/>
        <v>251.83579649532973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10.537856645716323</v>
      </c>
      <c r="BQ187" s="21">
        <f>EXP(-LN(2)/25)*BQ186+(1-EXP(-LN(2)/25))/(LN(2)/25)*Calculateur!BL187*Calculateur!BN187*VLOOKUP('Données projet'!$B$11,Paramètres!$A$1:$I$89,3,0)*0.475*44/12</f>
        <v>9.726382697642233E-2</v>
      </c>
      <c r="BR187" s="21">
        <f>EXP(-LN(2)/2)*BR186+(1-EXP(-LN(2)/2))/(LN(2)/2)*BL187*BO187*VLOOKUP('Données projet'!$B$11,Paramètres!$A$1:$I$89,3,0)*0.475*44/12</f>
        <v>1.7806358510553015E-26</v>
      </c>
      <c r="BS187" s="22">
        <f t="shared" si="169"/>
        <v>10.635120472692744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21.709999999999326</v>
      </c>
      <c r="BZ187" s="13">
        <f>BY187*VLOOKUP('Données projet'!$B$12,Paramètres!$A$1:$I$89,3,0)*VLOOKUP('Données projet'!$B$12,Paramètres!$A$1:$I$89,5,0)</f>
        <v>24.723347999999234</v>
      </c>
      <c r="CA187" s="13">
        <f t="shared" si="170"/>
        <v>7.8433511535672826</v>
      </c>
      <c r="CB187" s="20">
        <f t="shared" si="171"/>
        <v>56.720334359128351</v>
      </c>
      <c r="CC187" s="59">
        <f t="shared" si="119"/>
        <v>347.85613948812573</v>
      </c>
      <c r="CD187" s="59">
        <f ca="1">AVERAGE(OFFSET($CC$3,0,0,'Données projet'!$E$12+1,1))-AVERAGE(OFFSET($H$3,0,0,'Données projet'!$E$12+1,1))</f>
        <v>797.57191672067393</v>
      </c>
      <c r="CE187" s="59">
        <f t="shared" si="148"/>
        <v>238.59056544987126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385.02450314420003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385.02450314420003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>
        <f>CT187*VLOOKUP('Données projet'!$B$13,Paramètres!$A$1:$I$89,3,0)*VLOOKUP('Données projet'!$B$13,Paramètres!$A$1:$I$89,5,0)</f>
        <v>0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188.98184340090461</v>
      </c>
      <c r="CZ187" s="59">
        <f t="shared" si="150"/>
        <v>450.74604661797798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1.9087188501351968</v>
      </c>
      <c r="DH187" s="21">
        <f>EXP(-LN(2)/2)*DH186+(1-EXP(-LN(2)/2))/(LN(2)/2)*DB187*DE187*VLOOKUP('Données projet'!$B$13,Paramètres!$A$1:$I$89,3,0)*0.475*44/12</f>
        <v>2.9753359733445011E-25</v>
      </c>
      <c r="DI187" s="22">
        <f t="shared" si="175"/>
        <v>1.9087188501351968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369.00000000000011</v>
      </c>
      <c r="DP187" s="17">
        <f>DO187*VLOOKUP('Données projet'!$B$14,Paramètres!$A$1:$I$89,3,0)*VLOOKUP('Données projet'!$B$14,Paramètres!$A$1:$I$89,5,0)</f>
        <v>333.87120000000004</v>
      </c>
      <c r="DQ187" s="13">
        <f t="shared" si="176"/>
        <v>78.232360111376309</v>
      </c>
      <c r="DR187" s="20">
        <f t="shared" si="177"/>
        <v>717.74703386064709</v>
      </c>
      <c r="DS187" s="59">
        <f t="shared" si="125"/>
        <v>1008.8828389896445</v>
      </c>
      <c r="DT187" s="59">
        <f ca="1">AVERAGE(OFFSET($DS$3,0,0,'Données projet'!$E$14+1,1))-AVERAGE(OFFSET($H$3,0,0,'Données projet'!$E$14+1,1))</f>
        <v>442.34161202733173</v>
      </c>
      <c r="DU187" s="59">
        <f t="shared" si="152"/>
        <v>622.90413492324399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0.50071646392211155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0.50071646392211155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21.709999999999326</v>
      </c>
      <c r="EK187" s="17">
        <f>EJ187*VLOOKUP('Données projet'!$B$15,Paramètres!$A$1:$I$89,3,0)*VLOOKUP('Données projet'!$B$15,Paramètres!$A$1:$I$89,5,0)</f>
        <v>23.707319999999264</v>
      </c>
      <c r="EL187" s="13">
        <f t="shared" si="179"/>
        <v>7.5578489536731341</v>
      </c>
      <c r="EM187" s="20">
        <f t="shared" si="180"/>
        <v>54.453502594312759</v>
      </c>
      <c r="EN187" s="59">
        <f t="shared" si="128"/>
        <v>345.58930772331013</v>
      </c>
      <c r="EO187" s="59">
        <f ca="1">AVERAGE(OFFSET($EN$3,0,0,'Données projet'!$E$15+1,1))-AVERAGE(OFFSET($H$3,0,0,'Données projet'!$E$15+1,1))</f>
        <v>767.9449852393318</v>
      </c>
      <c r="EP187" s="59">
        <f t="shared" si="154"/>
        <v>230.95605490295961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369.20157835745215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369.20157835745215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69.400674126090195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3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11</v>
      </c>
      <c r="H188" s="66">
        <f t="shared" si="110"/>
        <v>212.66666666666666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188.98184340090461</v>
      </c>
      <c r="T188" s="59">
        <f t="shared" si="142"/>
        <v>450.74604661797798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20.879999999999939</v>
      </c>
      <c r="AJ188" s="13">
        <f>AI188*VLOOKUP('Données projet'!$B$10,Paramètres!$A$1:$I$89,3,0)*VLOOKUP('Données projet'!$B$10,Paramètres!$A$1:$I$89,5,0)</f>
        <v>18.892223999999942</v>
      </c>
      <c r="AK188" s="13">
        <f t="shared" si="164"/>
        <v>6.184089977612083</v>
      </c>
      <c r="AL188" s="20">
        <f t="shared" si="165"/>
        <v>43.674580177674272</v>
      </c>
      <c r="AM188" s="59">
        <f t="shared" si="113"/>
        <v>334.84850750807982</v>
      </c>
      <c r="AN188" s="59">
        <f ca="1">AVERAGE(OFFSET($AM$3,0,0,'Données projet'!$E$10+1,1))-AVERAGE(OFFSET($H$3,0,0,'Données projet'!$E$10+1,1))</f>
        <v>725.60981534362895</v>
      </c>
      <c r="AO188" s="59">
        <f t="shared" si="144"/>
        <v>265.16078167969272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212.44350039427266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212.44350039427266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149.89999999999998</v>
      </c>
      <c r="BE188" s="13">
        <f>BD188*VLOOKUP('Données projet'!$B$11,Paramètres!$A$1:$I$89,3,0)*VLOOKUP('Données projet'!$B$11,Paramètres!$A$1:$I$89,5,0)</f>
        <v>172.68479999999997</v>
      </c>
      <c r="BF188" s="13">
        <f t="shared" si="167"/>
        <v>43.690780005214812</v>
      </c>
      <c r="BG188" s="20">
        <f t="shared" si="168"/>
        <v>376.85413517574904</v>
      </c>
      <c r="BH188" s="59">
        <f t="shared" si="116"/>
        <v>668.02806250615458</v>
      </c>
      <c r="BI188" s="59">
        <f ca="1">AVERAGE(OFFSET($BH$3,0,0,'Données projet'!$E$11+1,1))-AVERAGE(OFFSET($H$3,0,0,'Données projet'!$E$11+1,1))</f>
        <v>332.93090933713466</v>
      </c>
      <c r="BJ188" s="59">
        <f t="shared" si="146"/>
        <v>251.83579649532973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10.33121570435172</v>
      </c>
      <c r="BQ188" s="21">
        <f>EXP(-LN(2)/25)*BQ187+(1-EXP(-LN(2)/25))/(LN(2)/25)*Calculateur!BL188*Calculateur!BN188*VLOOKUP('Données projet'!$B$11,Paramètres!$A$1:$I$89,3,0)*0.475*44/12</f>
        <v>9.4604142512869693E-2</v>
      </c>
      <c r="BR188" s="21">
        <f>EXP(-LN(2)/2)*BR187+(1-EXP(-LN(2)/2))/(LN(2)/2)*BL188*BO188*VLOOKUP('Données projet'!$B$11,Paramètres!$A$1:$I$89,3,0)*0.475*44/12</f>
        <v>1.259099685105083E-26</v>
      </c>
      <c r="BS188" s="22">
        <f t="shared" si="169"/>
        <v>10.42581984686459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21.709999999999326</v>
      </c>
      <c r="BZ188" s="13">
        <f>BY188*VLOOKUP('Données projet'!$B$12,Paramètres!$A$1:$I$89,3,0)*VLOOKUP('Données projet'!$B$12,Paramètres!$A$1:$I$89,5,0)</f>
        <v>24.723347999999234</v>
      </c>
      <c r="CA188" s="13">
        <f t="shared" si="170"/>
        <v>7.8433511535672826</v>
      </c>
      <c r="CB188" s="20">
        <f t="shared" si="171"/>
        <v>56.720334359128351</v>
      </c>
      <c r="CC188" s="59">
        <f t="shared" si="119"/>
        <v>347.89426168953389</v>
      </c>
      <c r="CD188" s="59">
        <f ca="1">AVERAGE(OFFSET($CC$3,0,0,'Données projet'!$E$12+1,1))-AVERAGE(OFFSET($H$3,0,0,'Données projet'!$E$12+1,1))</f>
        <v>797.57191672067393</v>
      </c>
      <c r="CE188" s="59">
        <f t="shared" si="148"/>
        <v>238.59056544987126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377.47440747930051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377.47440747930051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>
        <f>CT188*VLOOKUP('Données projet'!$B$13,Paramètres!$A$1:$I$89,3,0)*VLOOKUP('Données projet'!$B$13,Paramètres!$A$1:$I$89,5,0)</f>
        <v>0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188.98184340090461</v>
      </c>
      <c r="CZ188" s="59">
        <f t="shared" si="150"/>
        <v>450.74604661797798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1.8565248328030879</v>
      </c>
      <c r="DH188" s="21">
        <f>EXP(-LN(2)/2)*DH187+(1-EXP(-LN(2)/2))/(LN(2)/2)*DB188*DE188*VLOOKUP('Données projet'!$B$13,Paramètres!$A$1:$I$89,3,0)*0.475*44/12</f>
        <v>2.1038802430601735E-25</v>
      </c>
      <c r="DI188" s="22">
        <f t="shared" si="175"/>
        <v>1.8565248328030879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369.00000000000011</v>
      </c>
      <c r="DP188" s="17">
        <f>DO188*VLOOKUP('Données projet'!$B$14,Paramètres!$A$1:$I$89,3,0)*VLOOKUP('Données projet'!$B$14,Paramètres!$A$1:$I$89,5,0)</f>
        <v>333.87120000000004</v>
      </c>
      <c r="DQ188" s="13">
        <f t="shared" si="176"/>
        <v>78.232360111376309</v>
      </c>
      <c r="DR188" s="20">
        <f t="shared" si="177"/>
        <v>717.74703386064709</v>
      </c>
      <c r="DS188" s="59">
        <f t="shared" si="125"/>
        <v>1008.9209611910526</v>
      </c>
      <c r="DT188" s="59">
        <f ca="1">AVERAGE(OFFSET($DS$3,0,0,'Données projet'!$E$14+1,1))-AVERAGE(OFFSET($H$3,0,0,'Données projet'!$E$14+1,1))</f>
        <v>442.34161202733173</v>
      </c>
      <c r="DU188" s="59">
        <f t="shared" si="152"/>
        <v>622.90413492324399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0.49089771947148553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0.49089771947148553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21.709999999999326</v>
      </c>
      <c r="EK188" s="17">
        <f>EJ188*VLOOKUP('Données projet'!$B$15,Paramètres!$A$1:$I$89,3,0)*VLOOKUP('Données projet'!$B$15,Paramètres!$A$1:$I$89,5,0)</f>
        <v>23.707319999999264</v>
      </c>
      <c r="EL188" s="13">
        <f t="shared" si="179"/>
        <v>7.5578489536731341</v>
      </c>
      <c r="EM188" s="20">
        <f t="shared" si="180"/>
        <v>54.453502594312759</v>
      </c>
      <c r="EN188" s="59">
        <f t="shared" si="128"/>
        <v>345.62742992471829</v>
      </c>
      <c r="EO188" s="59">
        <f ca="1">AVERAGE(OFFSET($EN$3,0,0,'Données projet'!$E$15+1,1))-AVERAGE(OFFSET($H$3,0,0,'Données projet'!$E$15+1,1))</f>
        <v>767.9449852393318</v>
      </c>
      <c r="EP188" s="59">
        <f t="shared" si="154"/>
        <v>230.95605490295961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361.96176059658956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361.96176059658956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69.411071090110596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3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11</v>
      </c>
      <c r="H189" s="66">
        <f t="shared" si="110"/>
        <v>212.66666666666666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188.98184340090461</v>
      </c>
      <c r="T189" s="59">
        <f t="shared" si="142"/>
        <v>450.74604661797798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20.879999999999939</v>
      </c>
      <c r="AJ189" s="13">
        <f>AI189*VLOOKUP('Données projet'!$B$10,Paramètres!$A$1:$I$89,3,0)*VLOOKUP('Données projet'!$B$10,Paramètres!$A$1:$I$89,5,0)</f>
        <v>18.892223999999942</v>
      </c>
      <c r="AK189" s="13">
        <f t="shared" si="164"/>
        <v>6.184089977612083</v>
      </c>
      <c r="AL189" s="20">
        <f t="shared" si="165"/>
        <v>43.674580177674272</v>
      </c>
      <c r="AM189" s="59">
        <f t="shared" si="113"/>
        <v>334.88596837452201</v>
      </c>
      <c r="AN189" s="59">
        <f ca="1">AVERAGE(OFFSET($AM$3,0,0,'Données projet'!$E$10+1,1))-AVERAGE(OFFSET($H$3,0,0,'Données projet'!$E$10+1,1))</f>
        <v>725.60981534362895</v>
      </c>
      <c r="AO189" s="59">
        <f t="shared" si="144"/>
        <v>265.16078167969272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208.27761292928147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208.27761292928147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149.89999999999998</v>
      </c>
      <c r="BE189" s="13">
        <f>BD189*VLOOKUP('Données projet'!$B$11,Paramètres!$A$1:$I$89,3,0)*VLOOKUP('Données projet'!$B$11,Paramètres!$A$1:$I$89,5,0)</f>
        <v>172.68479999999997</v>
      </c>
      <c r="BF189" s="13">
        <f t="shared" si="167"/>
        <v>43.690780005214812</v>
      </c>
      <c r="BG189" s="20">
        <f t="shared" si="168"/>
        <v>376.85413517574904</v>
      </c>
      <c r="BH189" s="59">
        <f t="shared" si="116"/>
        <v>668.06552337259677</v>
      </c>
      <c r="BI189" s="59">
        <f ca="1">AVERAGE(OFFSET($BH$3,0,0,'Données projet'!$E$11+1,1))-AVERAGE(OFFSET($H$3,0,0,'Données projet'!$E$11+1,1))</f>
        <v>332.93090933713466</v>
      </c>
      <c r="BJ189" s="59">
        <f t="shared" si="146"/>
        <v>251.83579649532973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10.12862686580875</v>
      </c>
      <c r="BQ189" s="21">
        <f>EXP(-LN(2)/25)*BQ188+(1-EXP(-LN(2)/25))/(LN(2)/25)*Calculateur!BL189*Calculateur!BN189*VLOOKUP('Données projet'!$B$11,Paramètres!$A$1:$I$89,3,0)*0.475*44/12</f>
        <v>9.2017187260839642E-2</v>
      </c>
      <c r="BR189" s="21">
        <f>EXP(-LN(2)/2)*BR188+(1-EXP(-LN(2)/2))/(LN(2)/2)*BL189*BO189*VLOOKUP('Données projet'!$B$11,Paramètres!$A$1:$I$89,3,0)*0.475*44/12</f>
        <v>8.9031792552765089E-27</v>
      </c>
      <c r="BS189" s="22">
        <f t="shared" si="169"/>
        <v>10.22064405306959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21.709999999999326</v>
      </c>
      <c r="BZ189" s="13">
        <f>BY189*VLOOKUP('Données projet'!$B$12,Paramètres!$A$1:$I$89,3,0)*VLOOKUP('Données projet'!$B$12,Paramètres!$A$1:$I$89,5,0)</f>
        <v>24.723347999999234</v>
      </c>
      <c r="CA189" s="13">
        <f t="shared" si="170"/>
        <v>7.8433511535672826</v>
      </c>
      <c r="CB189" s="20">
        <f t="shared" si="171"/>
        <v>56.720334359128351</v>
      </c>
      <c r="CC189" s="59">
        <f t="shared" si="119"/>
        <v>347.93172255597608</v>
      </c>
      <c r="CD189" s="59">
        <f ca="1">AVERAGE(OFFSET($CC$3,0,0,'Données projet'!$E$12+1,1))-AVERAGE(OFFSET($H$3,0,0,'Données projet'!$E$12+1,1))</f>
        <v>797.57191672067393</v>
      </c>
      <c r="CE189" s="59">
        <f t="shared" si="148"/>
        <v>238.59056544987126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370.07236458528598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370.07236458528598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>
        <f>CT189*VLOOKUP('Données projet'!$B$13,Paramètres!$A$1:$I$89,3,0)*VLOOKUP('Données projet'!$B$13,Paramètres!$A$1:$I$89,5,0)</f>
        <v>0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188.98184340090461</v>
      </c>
      <c r="CZ189" s="59">
        <f t="shared" si="150"/>
        <v>450.74604661797798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1.8057580636196897</v>
      </c>
      <c r="DH189" s="21">
        <f>EXP(-LN(2)/2)*DH188+(1-EXP(-LN(2)/2))/(LN(2)/2)*DB189*DE189*VLOOKUP('Données projet'!$B$13,Paramètres!$A$1:$I$89,3,0)*0.475*44/12</f>
        <v>1.4876679866722505E-25</v>
      </c>
      <c r="DI189" s="22">
        <f t="shared" si="175"/>
        <v>1.8057580636196897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369.00000000000011</v>
      </c>
      <c r="DP189" s="17">
        <f>DO189*VLOOKUP('Données projet'!$B$14,Paramètres!$A$1:$I$89,3,0)*VLOOKUP('Données projet'!$B$14,Paramètres!$A$1:$I$89,5,0)</f>
        <v>333.87120000000004</v>
      </c>
      <c r="DQ189" s="13">
        <f t="shared" si="176"/>
        <v>78.232360111376309</v>
      </c>
      <c r="DR189" s="20">
        <f t="shared" si="177"/>
        <v>717.74703386064709</v>
      </c>
      <c r="DS189" s="59">
        <f t="shared" si="125"/>
        <v>1008.9584220574948</v>
      </c>
      <c r="DT189" s="59">
        <f ca="1">AVERAGE(OFFSET($DS$3,0,0,'Données projet'!$E$14+1,1))-AVERAGE(OFFSET($H$3,0,0,'Données projet'!$E$14+1,1))</f>
        <v>442.34161202733173</v>
      </c>
      <c r="DU189" s="59">
        <f t="shared" si="152"/>
        <v>622.90413492324399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0.48127151461069351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0.48127151461069351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21.709999999999326</v>
      </c>
      <c r="EK189" s="17">
        <f>EJ189*VLOOKUP('Données projet'!$B$15,Paramètres!$A$1:$I$89,3,0)*VLOOKUP('Données projet'!$B$15,Paramètres!$A$1:$I$89,5,0)</f>
        <v>23.707319999999264</v>
      </c>
      <c r="EL189" s="13">
        <f t="shared" si="179"/>
        <v>7.5578489536731341</v>
      </c>
      <c r="EM189" s="20">
        <f t="shared" si="180"/>
        <v>54.453502594312759</v>
      </c>
      <c r="EN189" s="59">
        <f t="shared" si="128"/>
        <v>345.66489079116047</v>
      </c>
      <c r="EO189" s="59">
        <f ca="1">AVERAGE(OFFSET($EN$3,0,0,'Données projet'!$E$15+1,1))-AVERAGE(OFFSET($H$3,0,0,'Données projet'!$E$15+1,1))</f>
        <v>767.9449852393318</v>
      </c>
      <c r="EP189" s="59">
        <f t="shared" si="154"/>
        <v>230.95605490295961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354.86391124616472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354.86391124616472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69.421287690049382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3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11</v>
      </c>
      <c r="H190" s="66">
        <f t="shared" si="110"/>
        <v>212.66666666666666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188.98184340090461</v>
      </c>
      <c r="T190" s="59">
        <f t="shared" si="142"/>
        <v>450.74604661797798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20.879999999999939</v>
      </c>
      <c r="AJ190" s="13">
        <f>AI190*VLOOKUP('Données projet'!$B$10,Paramètres!$A$1:$I$89,3,0)*VLOOKUP('Données projet'!$B$10,Paramètres!$A$1:$I$89,5,0)</f>
        <v>18.892223999999942</v>
      </c>
      <c r="AK190" s="13">
        <f t="shared" si="164"/>
        <v>6.184089977612083</v>
      </c>
      <c r="AL190" s="20">
        <f t="shared" si="165"/>
        <v>43.674580177674272</v>
      </c>
      <c r="AM190" s="59">
        <f t="shared" si="113"/>
        <v>334.92277937868147</v>
      </c>
      <c r="AN190" s="59">
        <f ca="1">AVERAGE(OFFSET($AM$3,0,0,'Données projet'!$E$10+1,1))-AVERAGE(OFFSET($H$3,0,0,'Données projet'!$E$10+1,1))</f>
        <v>725.60981534362895</v>
      </c>
      <c r="AO190" s="59">
        <f t="shared" si="144"/>
        <v>265.16078167969272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204.19341597653832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204.19341597653832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149.89999999999998</v>
      </c>
      <c r="BE190" s="13">
        <f>BD190*VLOOKUP('Données projet'!$B$11,Paramètres!$A$1:$I$89,3,0)*VLOOKUP('Données projet'!$B$11,Paramètres!$A$1:$I$89,5,0)</f>
        <v>172.68479999999997</v>
      </c>
      <c r="BF190" s="13">
        <f t="shared" si="167"/>
        <v>43.690780005214812</v>
      </c>
      <c r="BG190" s="20">
        <f t="shared" si="168"/>
        <v>376.85413517574904</v>
      </c>
      <c r="BH190" s="59">
        <f t="shared" si="116"/>
        <v>668.10233437675629</v>
      </c>
      <c r="BI190" s="59">
        <f ca="1">AVERAGE(OFFSET($BH$3,0,0,'Données projet'!$E$11+1,1))-AVERAGE(OFFSET($H$3,0,0,'Données projet'!$E$11+1,1))</f>
        <v>332.93090933713466</v>
      </c>
      <c r="BJ190" s="59">
        <f t="shared" si="146"/>
        <v>251.83579649532973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9.9300106708226163</v>
      </c>
      <c r="BQ190" s="21">
        <f>EXP(-LN(2)/25)*BQ189+(1-EXP(-LN(2)/25))/(LN(2)/25)*Calculateur!BL190*Calculateur!BN190*VLOOKUP('Données projet'!$B$11,Paramètres!$A$1:$I$89,3,0)*0.475*44/12</f>
        <v>8.9500972436218407E-2</v>
      </c>
      <c r="BR190" s="21">
        <f>EXP(-LN(2)/2)*BR189+(1-EXP(-LN(2)/2))/(LN(2)/2)*BL190*BO190*VLOOKUP('Données projet'!$B$11,Paramètres!$A$1:$I$89,3,0)*0.475*44/12</f>
        <v>6.2954984255254162E-27</v>
      </c>
      <c r="BS190" s="22">
        <f t="shared" si="169"/>
        <v>10.019511643258834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21.709999999999326</v>
      </c>
      <c r="BZ190" s="13">
        <f>BY190*VLOOKUP('Données projet'!$B$12,Paramètres!$A$1:$I$89,3,0)*VLOOKUP('Données projet'!$B$12,Paramètres!$A$1:$I$89,5,0)</f>
        <v>24.723347999999234</v>
      </c>
      <c r="CA190" s="13">
        <f t="shared" si="170"/>
        <v>7.8433511535672826</v>
      </c>
      <c r="CB190" s="20">
        <f t="shared" si="171"/>
        <v>56.720334359128351</v>
      </c>
      <c r="CC190" s="59">
        <f t="shared" si="119"/>
        <v>347.96853356013554</v>
      </c>
      <c r="CD190" s="59">
        <f ca="1">AVERAGE(OFFSET($CC$3,0,0,'Données projet'!$E$12+1,1))-AVERAGE(OFFSET($H$3,0,0,'Données projet'!$E$12+1,1))</f>
        <v>797.57191672067393</v>
      </c>
      <c r="CE190" s="59">
        <f t="shared" si="148"/>
        <v>238.59056544987126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362.81547123762272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362.81547123762272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>
        <f>CT190*VLOOKUP('Données projet'!$B$13,Paramètres!$A$1:$I$89,3,0)*VLOOKUP('Données projet'!$B$13,Paramètres!$A$1:$I$89,5,0)</f>
        <v>0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188.98184340090461</v>
      </c>
      <c r="CZ190" s="59">
        <f t="shared" si="150"/>
        <v>450.74604661797798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1.7563795144093199</v>
      </c>
      <c r="DH190" s="21">
        <f>EXP(-LN(2)/2)*DH189+(1-EXP(-LN(2)/2))/(LN(2)/2)*DB190*DE190*VLOOKUP('Données projet'!$B$13,Paramètres!$A$1:$I$89,3,0)*0.475*44/12</f>
        <v>1.0519401215300867E-25</v>
      </c>
      <c r="DI190" s="22">
        <f t="shared" si="175"/>
        <v>1.7563795144093199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369.00000000000011</v>
      </c>
      <c r="DP190" s="17">
        <f>DO190*VLOOKUP('Données projet'!$B$14,Paramètres!$A$1:$I$89,3,0)*VLOOKUP('Données projet'!$B$14,Paramètres!$A$1:$I$89,5,0)</f>
        <v>333.87120000000004</v>
      </c>
      <c r="DQ190" s="13">
        <f t="shared" si="176"/>
        <v>78.232360111376309</v>
      </c>
      <c r="DR190" s="20">
        <f t="shared" si="177"/>
        <v>717.74703386064709</v>
      </c>
      <c r="DS190" s="59">
        <f t="shared" si="125"/>
        <v>1008.9952330616543</v>
      </c>
      <c r="DT190" s="59">
        <f ca="1">AVERAGE(OFFSET($DS$3,0,0,'Données projet'!$E$14+1,1))-AVERAGE(OFFSET($H$3,0,0,'Données projet'!$E$14+1,1))</f>
        <v>442.34161202733173</v>
      </c>
      <c r="DU190" s="59">
        <f t="shared" si="152"/>
        <v>622.90413492324399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0.47183407375581637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0.47183407375581637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21.709999999999326</v>
      </c>
      <c r="EK190" s="17">
        <f>EJ190*VLOOKUP('Données projet'!$B$15,Paramètres!$A$1:$I$89,3,0)*VLOOKUP('Données projet'!$B$15,Paramètres!$A$1:$I$89,5,0)</f>
        <v>23.707319999999264</v>
      </c>
      <c r="EL190" s="13">
        <f t="shared" si="179"/>
        <v>7.5578489536731341</v>
      </c>
      <c r="EM190" s="20">
        <f t="shared" si="180"/>
        <v>54.453502594312759</v>
      </c>
      <c r="EN190" s="59">
        <f t="shared" si="128"/>
        <v>345.70170179531993</v>
      </c>
      <c r="EO190" s="59">
        <f ca="1">AVERAGE(OFFSET($EN$3,0,0,'Données projet'!$E$15+1,1))-AVERAGE(OFFSET($H$3,0,0,'Données projet'!$E$15+1,1))</f>
        <v>767.9449852393318</v>
      </c>
      <c r="EP190" s="59">
        <f t="shared" si="154"/>
        <v>230.95605490295961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347.90524639224105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347.90524639224105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69.431327054820144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3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11</v>
      </c>
      <c r="H191" s="66">
        <f t="shared" si="110"/>
        <v>212.66666666666666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188.98184340090461</v>
      </c>
      <c r="T191" s="59">
        <f t="shared" si="142"/>
        <v>450.74604661797798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20.879999999999939</v>
      </c>
      <c r="AJ191" s="13">
        <f>AI191*VLOOKUP('Données projet'!$B$10,Paramètres!$A$1:$I$89,3,0)*VLOOKUP('Données projet'!$B$10,Paramètres!$A$1:$I$89,5,0)</f>
        <v>18.892223999999942</v>
      </c>
      <c r="AK191" s="13">
        <f t="shared" si="164"/>
        <v>6.184089977612083</v>
      </c>
      <c r="AL191" s="20">
        <f t="shared" si="165"/>
        <v>43.674580177674272</v>
      </c>
      <c r="AM191" s="59">
        <f t="shared" si="113"/>
        <v>334.95895179421575</v>
      </c>
      <c r="AN191" s="59">
        <f ca="1">AVERAGE(OFFSET($AM$3,0,0,'Données projet'!$E$10+1,1))-AVERAGE(OFFSET($H$3,0,0,'Données projet'!$E$10+1,1))</f>
        <v>725.60981534362895</v>
      </c>
      <c r="AO191" s="59">
        <f t="shared" si="144"/>
        <v>265.16078167969272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200.18930763492429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200.18930763492429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149.89999999999998</v>
      </c>
      <c r="BE191" s="13">
        <f>BD191*VLOOKUP('Données projet'!$B$11,Paramètres!$A$1:$I$89,3,0)*VLOOKUP('Données projet'!$B$11,Paramètres!$A$1:$I$89,5,0)</f>
        <v>172.68479999999997</v>
      </c>
      <c r="BF191" s="13">
        <f t="shared" si="167"/>
        <v>43.690780005214812</v>
      </c>
      <c r="BG191" s="20">
        <f t="shared" si="168"/>
        <v>376.85413517574904</v>
      </c>
      <c r="BH191" s="59">
        <f t="shared" si="116"/>
        <v>668.13850679229051</v>
      </c>
      <c r="BI191" s="59">
        <f ca="1">AVERAGE(OFFSET($BH$3,0,0,'Données projet'!$E$11+1,1))-AVERAGE(OFFSET($H$3,0,0,'Données projet'!$E$11+1,1))</f>
        <v>332.93090933713466</v>
      </c>
      <c r="BJ191" s="59">
        <f t="shared" si="146"/>
        <v>251.83579649532973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9.7352892182762432</v>
      </c>
      <c r="BQ191" s="21">
        <f>EXP(-LN(2)/25)*BQ190+(1-EXP(-LN(2)/25))/(LN(2)/25)*Calculateur!BL191*Calculateur!BN191*VLOOKUP('Données projet'!$B$11,Paramètres!$A$1:$I$89,3,0)*0.475*44/12</f>
        <v>8.7053563638298428E-2</v>
      </c>
      <c r="BR191" s="21">
        <f>EXP(-LN(2)/2)*BR190+(1-EXP(-LN(2)/2))/(LN(2)/2)*BL191*BO191*VLOOKUP('Données projet'!$B$11,Paramètres!$A$1:$I$89,3,0)*0.475*44/12</f>
        <v>4.4515896276382552E-27</v>
      </c>
      <c r="BS191" s="22">
        <f t="shared" si="169"/>
        <v>9.822342781914541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21.709999999999326</v>
      </c>
      <c r="BZ191" s="13">
        <f>BY191*VLOOKUP('Données projet'!$B$12,Paramètres!$A$1:$I$89,3,0)*VLOOKUP('Données projet'!$B$12,Paramètres!$A$1:$I$89,5,0)</f>
        <v>24.723347999999234</v>
      </c>
      <c r="CA191" s="13">
        <f t="shared" si="170"/>
        <v>7.8433511535672826</v>
      </c>
      <c r="CB191" s="20">
        <f t="shared" si="171"/>
        <v>56.720334359128351</v>
      </c>
      <c r="CC191" s="59">
        <f t="shared" si="119"/>
        <v>348.00470597566982</v>
      </c>
      <c r="CD191" s="59">
        <f ca="1">AVERAGE(OFFSET($CC$3,0,0,'Données projet'!$E$12+1,1))-AVERAGE(OFFSET($H$3,0,0,'Données projet'!$E$12+1,1))</f>
        <v>797.57191672067393</v>
      </c>
      <c r="CE191" s="59">
        <f t="shared" si="148"/>
        <v>238.59056544987126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355.70088114223927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355.70088114223927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>
        <f>CT191*VLOOKUP('Données projet'!$B$13,Paramètres!$A$1:$I$89,3,0)*VLOOKUP('Données projet'!$B$13,Paramètres!$A$1:$I$89,5,0)</f>
        <v>0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188.98184340090461</v>
      </c>
      <c r="CZ191" s="59">
        <f t="shared" si="150"/>
        <v>450.74604661797798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1.7083512242238126</v>
      </c>
      <c r="DH191" s="21">
        <f>EXP(-LN(2)/2)*DH190+(1-EXP(-LN(2)/2))/(LN(2)/2)*DB191*DE191*VLOOKUP('Données projet'!$B$13,Paramètres!$A$1:$I$89,3,0)*0.475*44/12</f>
        <v>7.4383399333612527E-26</v>
      </c>
      <c r="DI191" s="22">
        <f t="shared" si="175"/>
        <v>1.7083512242238126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369.00000000000011</v>
      </c>
      <c r="DP191" s="17">
        <f>DO191*VLOOKUP('Données projet'!$B$14,Paramètres!$A$1:$I$89,3,0)*VLOOKUP('Données projet'!$B$14,Paramètres!$A$1:$I$89,5,0)</f>
        <v>333.87120000000004</v>
      </c>
      <c r="DQ191" s="13">
        <f t="shared" si="176"/>
        <v>78.232360111376309</v>
      </c>
      <c r="DR191" s="20">
        <f t="shared" si="177"/>
        <v>717.74703386064709</v>
      </c>
      <c r="DS191" s="59">
        <f t="shared" si="125"/>
        <v>1009.0314054771886</v>
      </c>
      <c r="DT191" s="59">
        <f ca="1">AVERAGE(OFFSET($DS$3,0,0,'Données projet'!$E$14+1,1))-AVERAGE(OFFSET($H$3,0,0,'Données projet'!$E$14+1,1))</f>
        <v>442.34161202733173</v>
      </c>
      <c r="DU191" s="59">
        <f t="shared" si="152"/>
        <v>622.90413492324399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0.46258169535983285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0.46258169535983285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21.709999999999326</v>
      </c>
      <c r="EK191" s="17">
        <f>EJ191*VLOOKUP('Données projet'!$B$15,Paramètres!$A$1:$I$89,3,0)*VLOOKUP('Données projet'!$B$15,Paramètres!$A$1:$I$89,5,0)</f>
        <v>23.707319999999264</v>
      </c>
      <c r="EL191" s="13">
        <f t="shared" si="179"/>
        <v>7.5578489536731341</v>
      </c>
      <c r="EM191" s="20">
        <f t="shared" si="180"/>
        <v>54.453502594312759</v>
      </c>
      <c r="EN191" s="59">
        <f t="shared" si="128"/>
        <v>345.73787421085422</v>
      </c>
      <c r="EO191" s="59">
        <f ca="1">AVERAGE(OFFSET($EN$3,0,0,'Données projet'!$E$15+1,1))-AVERAGE(OFFSET($H$3,0,0,'Données projet'!$E$15+1,1))</f>
        <v>767.9449852393318</v>
      </c>
      <c r="EP191" s="59">
        <f t="shared" si="154"/>
        <v>230.95605490295961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341.08303671173638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341.08303671173638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69.441192259056763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3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</v>
      </c>
      <c r="H192" s="66">
        <f t="shared" si="110"/>
        <v>212.66666666666666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188.98184340090461</v>
      </c>
      <c r="T192" s="59">
        <f t="shared" si="142"/>
        <v>450.74604661797798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20.879999999999939</v>
      </c>
      <c r="AJ192" s="13">
        <f>AI192*VLOOKUP('Données projet'!$B$10,Paramètres!$A$1:$I$89,3,0)*VLOOKUP('Données projet'!$B$10,Paramètres!$A$1:$I$89,5,0)</f>
        <v>18.892223999999942</v>
      </c>
      <c r="AK192" s="13">
        <f t="shared" si="164"/>
        <v>6.184089977612083</v>
      </c>
      <c r="AL192" s="20">
        <f t="shared" si="165"/>
        <v>43.674580177674272</v>
      </c>
      <c r="AM192" s="59">
        <f t="shared" si="113"/>
        <v>334.99449669920989</v>
      </c>
      <c r="AN192" s="59">
        <f ca="1">AVERAGE(OFFSET($AM$3,0,0,'Données projet'!$E$10+1,1))-AVERAGE(OFFSET($H$3,0,0,'Données projet'!$E$10+1,1))</f>
        <v>725.60981534362895</v>
      </c>
      <c r="AO192" s="59">
        <f t="shared" si="144"/>
        <v>265.16078167969272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196.26371741562437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196.26371741562437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149.89999999999998</v>
      </c>
      <c r="BE192" s="13">
        <f>BD192*VLOOKUP('Données projet'!$B$11,Paramètres!$A$1:$I$89,3,0)*VLOOKUP('Données projet'!$B$11,Paramètres!$A$1:$I$89,5,0)</f>
        <v>172.68479999999997</v>
      </c>
      <c r="BF192" s="13">
        <f t="shared" si="167"/>
        <v>43.690780005214812</v>
      </c>
      <c r="BG192" s="20">
        <f t="shared" si="168"/>
        <v>376.85413517574904</v>
      </c>
      <c r="BH192" s="59">
        <f t="shared" si="116"/>
        <v>668.17405169728465</v>
      </c>
      <c r="BI192" s="59">
        <f ca="1">AVERAGE(OFFSET($BH$3,0,0,'Données projet'!$E$11+1,1))-AVERAGE(OFFSET($H$3,0,0,'Données projet'!$E$11+1,1))</f>
        <v>332.93090933713466</v>
      </c>
      <c r="BJ192" s="59">
        <f t="shared" si="146"/>
        <v>251.83579649532973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9.5443861346459471</v>
      </c>
      <c r="BQ192" s="21">
        <f>EXP(-LN(2)/25)*BQ191+(1-EXP(-LN(2)/25))/(LN(2)/25)*Calculateur!BL192*Calculateur!BN192*VLOOKUP('Données projet'!$B$11,Paramètres!$A$1:$I$89,3,0)*0.475*44/12</f>
        <v>8.4673079362661205E-2</v>
      </c>
      <c r="BR192" s="21">
        <f>EXP(-LN(2)/2)*BR191+(1-EXP(-LN(2)/2))/(LN(2)/2)*BL192*BO192*VLOOKUP('Données projet'!$B$11,Paramètres!$A$1:$I$89,3,0)*0.475*44/12</f>
        <v>3.1477492127627085E-27</v>
      </c>
      <c r="BS192" s="22">
        <f t="shared" si="169"/>
        <v>9.629059214008608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21.709999999999326</v>
      </c>
      <c r="BZ192" s="13">
        <f>BY192*VLOOKUP('Données projet'!$B$12,Paramètres!$A$1:$I$89,3,0)*VLOOKUP('Données projet'!$B$12,Paramètres!$A$1:$I$89,5,0)</f>
        <v>24.723347999999234</v>
      </c>
      <c r="CA192" s="13">
        <f t="shared" si="170"/>
        <v>7.8433511535672826</v>
      </c>
      <c r="CB192" s="20">
        <f t="shared" si="171"/>
        <v>56.720334359128351</v>
      </c>
      <c r="CC192" s="59">
        <f t="shared" si="119"/>
        <v>348.04025088066396</v>
      </c>
      <c r="CD192" s="59">
        <f ca="1">AVERAGE(OFFSET($CC$3,0,0,'Données projet'!$E$12+1,1))-AVERAGE(OFFSET($H$3,0,0,'Données projet'!$E$12+1,1))</f>
        <v>797.57191672067393</v>
      </c>
      <c r="CE192" s="59">
        <f t="shared" si="148"/>
        <v>238.59056544987126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348.72580381915481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348.72580381915481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>
        <f>CT192*VLOOKUP('Données projet'!$B$13,Paramètres!$A$1:$I$89,3,0)*VLOOKUP('Données projet'!$B$13,Paramètres!$A$1:$I$89,5,0)</f>
        <v>0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188.98184340090461</v>
      </c>
      <c r="CZ192" s="59">
        <f t="shared" si="150"/>
        <v>450.74604661797798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1.6616362701591261</v>
      </c>
      <c r="DH192" s="21">
        <f>EXP(-LN(2)/2)*DH191+(1-EXP(-LN(2)/2))/(LN(2)/2)*DB192*DE192*VLOOKUP('Données projet'!$B$13,Paramètres!$A$1:$I$89,3,0)*0.475*44/12</f>
        <v>5.2597006076504337E-26</v>
      </c>
      <c r="DI192" s="22">
        <f t="shared" si="175"/>
        <v>1.6616362701591261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369.00000000000011</v>
      </c>
      <c r="DP192" s="17">
        <f>DO192*VLOOKUP('Données projet'!$B$14,Paramètres!$A$1:$I$89,3,0)*VLOOKUP('Données projet'!$B$14,Paramètres!$A$1:$I$89,5,0)</f>
        <v>333.87120000000004</v>
      </c>
      <c r="DQ192" s="13">
        <f t="shared" si="176"/>
        <v>78.232360111376309</v>
      </c>
      <c r="DR192" s="20">
        <f t="shared" si="177"/>
        <v>717.74703386064709</v>
      </c>
      <c r="DS192" s="59">
        <f t="shared" si="125"/>
        <v>1009.0669503821828</v>
      </c>
      <c r="DT192" s="59">
        <f ca="1">AVERAGE(OFFSET($DS$3,0,0,'Données projet'!$E$14+1,1))-AVERAGE(OFFSET($H$3,0,0,'Données projet'!$E$14+1,1))</f>
        <v>442.34161202733173</v>
      </c>
      <c r="DU192" s="59">
        <f t="shared" si="152"/>
        <v>622.90413492324399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0.45351075046080097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0.45351075046080097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21.709999999999326</v>
      </c>
      <c r="EK192" s="17">
        <f>EJ192*VLOOKUP('Données projet'!$B$15,Paramètres!$A$1:$I$89,3,0)*VLOOKUP('Données projet'!$B$15,Paramètres!$A$1:$I$89,5,0)</f>
        <v>23.707319999999264</v>
      </c>
      <c r="EL192" s="13">
        <f t="shared" si="179"/>
        <v>7.5578489536731341</v>
      </c>
      <c r="EM192" s="20">
        <f t="shared" si="180"/>
        <v>54.453502594312759</v>
      </c>
      <c r="EN192" s="59">
        <f t="shared" si="128"/>
        <v>345.77341911584836</v>
      </c>
      <c r="EO192" s="59">
        <f ca="1">AVERAGE(OFFSET($EN$3,0,0,'Données projet'!$E$15+1,1))-AVERAGE(OFFSET($H$3,0,0,'Données projet'!$E$15+1,1))</f>
        <v>767.9449852393318</v>
      </c>
      <c r="EP192" s="59">
        <f t="shared" si="154"/>
        <v>230.95605490295961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334.39460640192937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334.39460640192937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69.450886324055176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3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</v>
      </c>
      <c r="H193" s="66">
        <f t="shared" si="110"/>
        <v>212.66666666666666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188.98184340090461</v>
      </c>
      <c r="T193" s="59">
        <f t="shared" si="142"/>
        <v>450.74604661797798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20.879999999999939</v>
      </c>
      <c r="AJ193" s="13">
        <f>AI193*VLOOKUP('Données projet'!$B$10,Paramètres!$A$1:$I$89,3,0)*VLOOKUP('Données projet'!$B$10,Paramètres!$A$1:$I$89,5,0)</f>
        <v>18.892223999999942</v>
      </c>
      <c r="AK193" s="13">
        <f t="shared" si="164"/>
        <v>6.184089977612083</v>
      </c>
      <c r="AL193" s="20">
        <f t="shared" si="165"/>
        <v>43.674580177674272</v>
      </c>
      <c r="AM193" s="59">
        <f t="shared" si="113"/>
        <v>335.02942497956894</v>
      </c>
      <c r="AN193" s="59">
        <f ca="1">AVERAGE(OFFSET($AM$3,0,0,'Données projet'!$E$10+1,1))-AVERAGE(OFFSET($H$3,0,0,'Données projet'!$E$10+1,1))</f>
        <v>725.60981534362895</v>
      </c>
      <c r="AO193" s="59">
        <f t="shared" si="144"/>
        <v>265.16078167969272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192.4151056261513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192.4151056261513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149.89999999999998</v>
      </c>
      <c r="BE193" s="13">
        <f>BD193*VLOOKUP('Données projet'!$B$11,Paramètres!$A$1:$I$89,3,0)*VLOOKUP('Données projet'!$B$11,Paramètres!$A$1:$I$89,5,0)</f>
        <v>172.68479999999997</v>
      </c>
      <c r="BF193" s="13">
        <f t="shared" si="167"/>
        <v>43.690780005214812</v>
      </c>
      <c r="BG193" s="20">
        <f t="shared" si="168"/>
        <v>376.85413517574904</v>
      </c>
      <c r="BH193" s="59">
        <f t="shared" si="116"/>
        <v>668.20897997764371</v>
      </c>
      <c r="BI193" s="59">
        <f ca="1">AVERAGE(OFFSET($BH$3,0,0,'Données projet'!$E$11+1,1))-AVERAGE(OFFSET($H$3,0,0,'Données projet'!$E$11+1,1))</f>
        <v>332.93090933713466</v>
      </c>
      <c r="BJ193" s="59">
        <f t="shared" si="146"/>
        <v>251.83579649532973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9.3572265440462559</v>
      </c>
      <c r="BQ193" s="21">
        <f>EXP(-LN(2)/25)*BQ192+(1-EXP(-LN(2)/25))/(LN(2)/25)*Calculateur!BL193*Calculateur!BN193*VLOOKUP('Données projet'!$B$11,Paramètres!$A$1:$I$89,3,0)*0.475*44/12</f>
        <v>8.2357689554725513E-2</v>
      </c>
      <c r="BR193" s="21">
        <f>EXP(-LN(2)/2)*BR192+(1-EXP(-LN(2)/2))/(LN(2)/2)*BL193*BO193*VLOOKUP('Données projet'!$B$11,Paramètres!$A$1:$I$89,3,0)*0.475*44/12</f>
        <v>2.225794813819128E-27</v>
      </c>
      <c r="BS193" s="22">
        <f t="shared" si="169"/>
        <v>9.4395842336009821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21.709999999999326</v>
      </c>
      <c r="BZ193" s="13">
        <f>BY193*VLOOKUP('Données projet'!$B$12,Paramètres!$A$1:$I$89,3,0)*VLOOKUP('Données projet'!$B$12,Paramètres!$A$1:$I$89,5,0)</f>
        <v>24.723347999999234</v>
      </c>
      <c r="CA193" s="13">
        <f t="shared" si="170"/>
        <v>7.8433511535672826</v>
      </c>
      <c r="CB193" s="20">
        <f t="shared" si="171"/>
        <v>56.720334359128351</v>
      </c>
      <c r="CC193" s="59">
        <f t="shared" si="119"/>
        <v>348.07517916102302</v>
      </c>
      <c r="CD193" s="59">
        <f ca="1">AVERAGE(OFFSET($CC$3,0,0,'Données projet'!$E$12+1,1))-AVERAGE(OFFSET($H$3,0,0,'Données projet'!$E$12+1,1))</f>
        <v>797.57191672067393</v>
      </c>
      <c r="CE193" s="59">
        <f t="shared" si="148"/>
        <v>238.59056544987126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341.88750350799893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341.88750350799893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>
        <f>CT193*VLOOKUP('Données projet'!$B$13,Paramètres!$A$1:$I$89,3,0)*VLOOKUP('Données projet'!$B$13,Paramètres!$A$1:$I$89,5,0)</f>
        <v>0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188.98184340090461</v>
      </c>
      <c r="CZ193" s="59">
        <f t="shared" si="150"/>
        <v>450.74604661797798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1.616198738969971</v>
      </c>
      <c r="DH193" s="21">
        <f>EXP(-LN(2)/2)*DH192+(1-EXP(-LN(2)/2))/(LN(2)/2)*DB193*DE193*VLOOKUP('Données projet'!$B$13,Paramètres!$A$1:$I$89,3,0)*0.475*44/12</f>
        <v>3.7191699666806263E-26</v>
      </c>
      <c r="DI193" s="22">
        <f t="shared" si="175"/>
        <v>1.616198738969971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369.00000000000011</v>
      </c>
      <c r="DP193" s="17">
        <f>DO193*VLOOKUP('Données projet'!$B$14,Paramètres!$A$1:$I$89,3,0)*VLOOKUP('Données projet'!$B$14,Paramètres!$A$1:$I$89,5,0)</f>
        <v>333.87120000000004</v>
      </c>
      <c r="DQ193" s="13">
        <f t="shared" si="176"/>
        <v>78.232360111376309</v>
      </c>
      <c r="DR193" s="20">
        <f t="shared" si="177"/>
        <v>717.74703386064709</v>
      </c>
      <c r="DS193" s="59">
        <f t="shared" si="125"/>
        <v>1009.1018786625418</v>
      </c>
      <c r="DT193" s="59">
        <f ca="1">AVERAGE(OFFSET($DS$3,0,0,'Données projet'!$E$14+1,1))-AVERAGE(OFFSET($H$3,0,0,'Données projet'!$E$14+1,1))</f>
        <v>442.34161202733173</v>
      </c>
      <c r="DU193" s="59">
        <f t="shared" si="152"/>
        <v>622.90413492324399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0.44461768125850903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0.44461768125850903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21.709999999999326</v>
      </c>
      <c r="EK193" s="17">
        <f>EJ193*VLOOKUP('Données projet'!$B$15,Paramètres!$A$1:$I$89,3,0)*VLOOKUP('Données projet'!$B$15,Paramètres!$A$1:$I$89,5,0)</f>
        <v>23.707319999999264</v>
      </c>
      <c r="EL193" s="13">
        <f t="shared" si="179"/>
        <v>7.5578489536731341</v>
      </c>
      <c r="EM193" s="20">
        <f t="shared" si="180"/>
        <v>54.453502594312759</v>
      </c>
      <c r="EN193" s="59">
        <f t="shared" si="128"/>
        <v>345.80834739620741</v>
      </c>
      <c r="EO193" s="59">
        <f ca="1">AVERAGE(OFFSET($EN$3,0,0,'Données projet'!$E$15+1,1))-AVERAGE(OFFSET($H$3,0,0,'Données projet'!$E$15+1,1))</f>
        <v>767.9449852393318</v>
      </c>
      <c r="EP193" s="59">
        <f t="shared" si="154"/>
        <v>230.95605490295961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327.83733213095798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327.83733213095798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69.460412218698551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3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</v>
      </c>
      <c r="H194" s="66">
        <f t="shared" si="110"/>
        <v>212.66666666666666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188.98184340090461</v>
      </c>
      <c r="T194" s="59">
        <f t="shared" si="142"/>
        <v>450.74604661797798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20.879999999999939</v>
      </c>
      <c r="AJ194" s="13">
        <f>AI194*VLOOKUP('Données projet'!$B$10,Paramètres!$A$1:$I$89,3,0)*VLOOKUP('Données projet'!$B$10,Paramètres!$A$1:$I$89,5,0)</f>
        <v>18.892223999999942</v>
      </c>
      <c r="AK194" s="13">
        <f t="shared" si="164"/>
        <v>6.184089977612083</v>
      </c>
      <c r="AL194" s="20">
        <f t="shared" si="165"/>
        <v>43.674580177674272</v>
      </c>
      <c r="AM194" s="59">
        <f t="shared" si="113"/>
        <v>335.06374733235168</v>
      </c>
      <c r="AN194" s="59">
        <f ca="1">AVERAGE(OFFSET($AM$3,0,0,'Données projet'!$E$10+1,1))-AVERAGE(OFFSET($H$3,0,0,'Données projet'!$E$10+1,1))</f>
        <v>725.60981534362895</v>
      </c>
      <c r="AO194" s="59">
        <f t="shared" si="144"/>
        <v>265.16078167969272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188.64196276644842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188.64196276644842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149.89999999999998</v>
      </c>
      <c r="BE194" s="13">
        <f>BD194*VLOOKUP('Données projet'!$B$11,Paramètres!$A$1:$I$89,3,0)*VLOOKUP('Données projet'!$B$11,Paramètres!$A$1:$I$89,5,0)</f>
        <v>172.68479999999997</v>
      </c>
      <c r="BF194" s="13">
        <f t="shared" si="167"/>
        <v>43.690780005214812</v>
      </c>
      <c r="BG194" s="20">
        <f t="shared" si="168"/>
        <v>376.85413517574904</v>
      </c>
      <c r="BH194" s="59">
        <f t="shared" si="116"/>
        <v>668.24330233042645</v>
      </c>
      <c r="BI194" s="59">
        <f ca="1">AVERAGE(OFFSET($BH$3,0,0,'Données projet'!$E$11+1,1))-AVERAGE(OFFSET($H$3,0,0,'Données projet'!$E$11+1,1))</f>
        <v>332.93090933713466</v>
      </c>
      <c r="BJ194" s="59">
        <f t="shared" si="146"/>
        <v>251.83579649532973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9.1737370388621464</v>
      </c>
      <c r="BQ194" s="21">
        <f>EXP(-LN(2)/25)*BQ193+(1-EXP(-LN(2)/25))/(LN(2)/25)*Calculateur!BL194*Calculateur!BN194*VLOOKUP('Données projet'!$B$11,Paramètres!$A$1:$I$89,3,0)*0.475*44/12</f>
        <v>8.0105614202848882E-2</v>
      </c>
      <c r="BR194" s="21">
        <f>EXP(-LN(2)/2)*BR193+(1-EXP(-LN(2)/2))/(LN(2)/2)*BL194*BO194*VLOOKUP('Données projet'!$B$11,Paramètres!$A$1:$I$89,3,0)*0.475*44/12</f>
        <v>1.5738746063813544E-27</v>
      </c>
      <c r="BS194" s="22">
        <f t="shared" si="169"/>
        <v>9.2538426530649946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21.709999999999326</v>
      </c>
      <c r="BZ194" s="13">
        <f>BY194*VLOOKUP('Données projet'!$B$12,Paramètres!$A$1:$I$89,3,0)*VLOOKUP('Données projet'!$B$12,Paramètres!$A$1:$I$89,5,0)</f>
        <v>24.723347999999234</v>
      </c>
      <c r="CA194" s="13">
        <f t="shared" si="170"/>
        <v>7.8433511535672826</v>
      </c>
      <c r="CB194" s="20">
        <f t="shared" si="171"/>
        <v>56.720334359128351</v>
      </c>
      <c r="CC194" s="59">
        <f t="shared" si="119"/>
        <v>348.10950151380575</v>
      </c>
      <c r="CD194" s="59">
        <f ca="1">AVERAGE(OFFSET($CC$3,0,0,'Données projet'!$E$12+1,1))-AVERAGE(OFFSET($H$3,0,0,'Données projet'!$E$12+1,1))</f>
        <v>797.57191672067393</v>
      </c>
      <c r="CE194" s="59">
        <f t="shared" si="148"/>
        <v>238.59056544987126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335.18329809499352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335.18329809499352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>
        <f>CT194*VLOOKUP('Données projet'!$B$13,Paramètres!$A$1:$I$89,3,0)*VLOOKUP('Données projet'!$B$13,Paramètres!$A$1:$I$89,5,0)</f>
        <v>0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188.98184340090461</v>
      </c>
      <c r="CZ194" s="59">
        <f t="shared" si="150"/>
        <v>450.74604661797798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1.5720036994606394</v>
      </c>
      <c r="DH194" s="21">
        <f>EXP(-LN(2)/2)*DH193+(1-EXP(-LN(2)/2))/(LN(2)/2)*DB194*DE194*VLOOKUP('Données projet'!$B$13,Paramètres!$A$1:$I$89,3,0)*0.475*44/12</f>
        <v>2.6298503038252169E-26</v>
      </c>
      <c r="DI194" s="22">
        <f t="shared" si="175"/>
        <v>1.5720036994606394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369.00000000000011</v>
      </c>
      <c r="DP194" s="17">
        <f>DO194*VLOOKUP('Données projet'!$B$14,Paramètres!$A$1:$I$89,3,0)*VLOOKUP('Données projet'!$B$14,Paramètres!$A$1:$I$89,5,0)</f>
        <v>333.87120000000004</v>
      </c>
      <c r="DQ194" s="13">
        <f t="shared" si="176"/>
        <v>78.232360111376309</v>
      </c>
      <c r="DR194" s="20">
        <f t="shared" si="177"/>
        <v>717.74703386064709</v>
      </c>
      <c r="DS194" s="59">
        <f t="shared" si="125"/>
        <v>1009.1362010153246</v>
      </c>
      <c r="DT194" s="59">
        <f ca="1">AVERAGE(OFFSET($DS$3,0,0,'Données projet'!$E$14+1,1))-AVERAGE(OFFSET($H$3,0,0,'Données projet'!$E$14+1,1))</f>
        <v>442.34161202733173</v>
      </c>
      <c r="DU194" s="59">
        <f t="shared" si="152"/>
        <v>622.90413492324399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0.43589899971903745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0.43589899971903745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21.709999999999326</v>
      </c>
      <c r="EK194" s="17">
        <f>EJ194*VLOOKUP('Données projet'!$B$15,Paramètres!$A$1:$I$89,3,0)*VLOOKUP('Données projet'!$B$15,Paramètres!$A$1:$I$89,5,0)</f>
        <v>23.707319999999264</v>
      </c>
      <c r="EL194" s="13">
        <f t="shared" si="179"/>
        <v>7.5578489536731341</v>
      </c>
      <c r="EM194" s="20">
        <f t="shared" si="180"/>
        <v>54.453502594312759</v>
      </c>
      <c r="EN194" s="59">
        <f t="shared" si="128"/>
        <v>345.84266974899015</v>
      </c>
      <c r="EO194" s="59">
        <f ca="1">AVERAGE(OFFSET($EN$3,0,0,'Données projet'!$E$15+1,1))-AVERAGE(OFFSET($H$3,0,0,'Données projet'!$E$15+1,1))</f>
        <v>767.9449852393318</v>
      </c>
      <c r="EP194" s="59">
        <f t="shared" si="154"/>
        <v>230.95605490295961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321.40864200889797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321.40864200889797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69.469772860366575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3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</v>
      </c>
      <c r="H195" s="66">
        <f t="shared" si="110"/>
        <v>212.66666666666666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188.98184340090461</v>
      </c>
      <c r="T195" s="59">
        <f t="shared" si="142"/>
        <v>450.74604661797798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20.879999999999939</v>
      </c>
      <c r="AJ195" s="13">
        <f>AI195*VLOOKUP('Données projet'!$B$10,Paramètres!$A$1:$I$89,3,0)*VLOOKUP('Données projet'!$B$10,Paramètres!$A$1:$I$89,5,0)</f>
        <v>18.892223999999942</v>
      </c>
      <c r="AK195" s="13">
        <f t="shared" si="164"/>
        <v>6.184089977612083</v>
      </c>
      <c r="AL195" s="20">
        <f t="shared" si="165"/>
        <v>43.674580177674272</v>
      </c>
      <c r="AM195" s="59">
        <f t="shared" si="113"/>
        <v>335.09747426904698</v>
      </c>
      <c r="AN195" s="59">
        <f ca="1">AVERAGE(OFFSET($AM$3,0,0,'Données projet'!$E$10+1,1))-AVERAGE(OFFSET($H$3,0,0,'Données projet'!$E$10+1,1))</f>
        <v>725.60981534362895</v>
      </c>
      <c r="AO195" s="59">
        <f t="shared" si="144"/>
        <v>265.16078167969272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184.94280893683438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184.94280893683438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149.89999999999998</v>
      </c>
      <c r="BE195" s="13">
        <f>BD195*VLOOKUP('Données projet'!$B$11,Paramètres!$A$1:$I$89,3,0)*VLOOKUP('Données projet'!$B$11,Paramètres!$A$1:$I$89,5,0)</f>
        <v>172.68479999999997</v>
      </c>
      <c r="BF195" s="13">
        <f t="shared" si="167"/>
        <v>43.690780005214812</v>
      </c>
      <c r="BG195" s="20">
        <f t="shared" si="168"/>
        <v>376.85413517574904</v>
      </c>
      <c r="BH195" s="59">
        <f t="shared" si="116"/>
        <v>668.27702926712175</v>
      </c>
      <c r="BI195" s="59">
        <f ca="1">AVERAGE(OFFSET($BH$3,0,0,'Données projet'!$E$11+1,1))-AVERAGE(OFFSET($H$3,0,0,'Données projet'!$E$11+1,1))</f>
        <v>332.93090933713466</v>
      </c>
      <c r="BJ195" s="59">
        <f t="shared" si="146"/>
        <v>251.83579649532973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8.9938456509571516</v>
      </c>
      <c r="BQ195" s="21">
        <f>EXP(-LN(2)/25)*BQ194+(1-EXP(-LN(2)/25))/(LN(2)/25)*Calculateur!BL195*Calculateur!BN195*VLOOKUP('Données projet'!$B$11,Paramètres!$A$1:$I$89,3,0)*0.475*44/12</f>
        <v>7.7915121969900816E-2</v>
      </c>
      <c r="BR195" s="21">
        <f>EXP(-LN(2)/2)*BR194+(1-EXP(-LN(2)/2))/(LN(2)/2)*BL195*BO195*VLOOKUP('Données projet'!$B$11,Paramètres!$A$1:$I$89,3,0)*0.475*44/12</f>
        <v>1.1128974069095642E-27</v>
      </c>
      <c r="BS195" s="22">
        <f t="shared" si="169"/>
        <v>9.0717607729270533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21.709999999999326</v>
      </c>
      <c r="BZ195" s="13">
        <f>BY195*VLOOKUP('Données projet'!$B$12,Paramètres!$A$1:$I$89,3,0)*VLOOKUP('Données projet'!$B$12,Paramètres!$A$1:$I$89,5,0)</f>
        <v>24.723347999999234</v>
      </c>
      <c r="CA195" s="13">
        <f t="shared" si="170"/>
        <v>7.8433511535672826</v>
      </c>
      <c r="CB195" s="20">
        <f t="shared" si="171"/>
        <v>56.720334359128351</v>
      </c>
      <c r="CC195" s="59">
        <f t="shared" si="119"/>
        <v>348.14322845050106</v>
      </c>
      <c r="CD195" s="59">
        <f ca="1">AVERAGE(OFFSET($CC$3,0,0,'Données projet'!$E$12+1,1))-AVERAGE(OFFSET($H$3,0,0,'Données projet'!$E$12+1,1))</f>
        <v>797.57191672067393</v>
      </c>
      <c r="CE195" s="59">
        <f t="shared" si="148"/>
        <v>238.59056544987126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328.61055806097562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328.61055806097562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>
        <f>CT195*VLOOKUP('Données projet'!$B$13,Paramètres!$A$1:$I$89,3,0)*VLOOKUP('Données projet'!$B$13,Paramètres!$A$1:$I$89,5,0)</f>
        <v>0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188.98184340090461</v>
      </c>
      <c r="CZ195" s="59">
        <f t="shared" si="150"/>
        <v>450.74604661797798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1.5290171756308066</v>
      </c>
      <c r="DH195" s="21">
        <f>EXP(-LN(2)/2)*DH194+(1-EXP(-LN(2)/2))/(LN(2)/2)*DB195*DE195*VLOOKUP('Données projet'!$B$13,Paramètres!$A$1:$I$89,3,0)*0.475*44/12</f>
        <v>1.8595849833403132E-26</v>
      </c>
      <c r="DI195" s="22">
        <f t="shared" si="175"/>
        <v>1.5290171756308066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369.00000000000011</v>
      </c>
      <c r="DP195" s="17">
        <f>DO195*VLOOKUP('Données projet'!$B$14,Paramètres!$A$1:$I$89,3,0)*VLOOKUP('Données projet'!$B$14,Paramètres!$A$1:$I$89,5,0)</f>
        <v>333.87120000000004</v>
      </c>
      <c r="DQ195" s="13">
        <f t="shared" si="176"/>
        <v>78.232360111376309</v>
      </c>
      <c r="DR195" s="20">
        <f t="shared" si="177"/>
        <v>717.74703386064709</v>
      </c>
      <c r="DS195" s="59">
        <f t="shared" si="125"/>
        <v>1009.1699279520199</v>
      </c>
      <c r="DT195" s="59">
        <f ca="1">AVERAGE(OFFSET($DS$3,0,0,'Données projet'!$E$14+1,1))-AVERAGE(OFFSET($H$3,0,0,'Données projet'!$E$14+1,1))</f>
        <v>442.34161202733173</v>
      </c>
      <c r="DU195" s="59">
        <f t="shared" si="152"/>
        <v>622.90413492324399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0.42735128620668428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0.42735128620668428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21.709999999999326</v>
      </c>
      <c r="EK195" s="17">
        <f>EJ195*VLOOKUP('Données projet'!$B$15,Paramètres!$A$1:$I$89,3,0)*VLOOKUP('Données projet'!$B$15,Paramètres!$A$1:$I$89,5,0)</f>
        <v>23.707319999999264</v>
      </c>
      <c r="EL195" s="13">
        <f t="shared" si="179"/>
        <v>7.5578489536731341</v>
      </c>
      <c r="EM195" s="20">
        <f t="shared" si="180"/>
        <v>54.453502594312759</v>
      </c>
      <c r="EN195" s="59">
        <f t="shared" si="128"/>
        <v>345.87639668568545</v>
      </c>
      <c r="EO195" s="59">
        <f ca="1">AVERAGE(OFFSET($EN$3,0,0,'Données projet'!$E$15+1,1))-AVERAGE(OFFSET($H$3,0,0,'Données projet'!$E$15+1,1))</f>
        <v>767.9449852393318</v>
      </c>
      <c r="EP195" s="59">
        <f t="shared" si="154"/>
        <v>230.95605490295961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315.10601457901777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315.10601457901777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69.478971115828926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3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</v>
      </c>
      <c r="H196" s="66">
        <f t="shared" ref="H196:H203" si="192">(B196+E196+F196)*44/12+(C196+D196)*0.475*44/12</f>
        <v>212.66666666666666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188.98184340090461</v>
      </c>
      <c r="T196" s="59">
        <f t="shared" si="142"/>
        <v>450.74604661797798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20.879999999999939</v>
      </c>
      <c r="AJ196" s="13">
        <f>AI196*VLOOKUP('Données projet'!$B$10,Paramètres!$A$1:$I$89,3,0)*VLOOKUP('Données projet'!$B$10,Paramètres!$A$1:$I$89,5,0)</f>
        <v>18.892223999999942</v>
      </c>
      <c r="AK196" s="13">
        <f t="shared" si="164"/>
        <v>6.184089977612083</v>
      </c>
      <c r="AL196" s="20">
        <f t="shared" si="165"/>
        <v>43.674580177674272</v>
      </c>
      <c r="AM196" s="59">
        <f t="shared" ref="AM196:AM203" si="193">AL196+(AD196+AE196)*44/12</f>
        <v>335.13061611879266</v>
      </c>
      <c r="AN196" s="59">
        <f ca="1">AVERAGE(OFFSET($AM$3,0,0,'Données projet'!$E$10+1,1))-AVERAGE(OFFSET($H$3,0,0,'Données projet'!$E$10+1,1))</f>
        <v>725.60981534362895</v>
      </c>
      <c r="AO196" s="59">
        <f t="shared" si="144"/>
        <v>265.16078167969272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181.31619325755804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181.31619325755804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149.89999999999998</v>
      </c>
      <c r="BE196" s="13">
        <f>BD196*VLOOKUP('Données projet'!$B$11,Paramètres!$A$1:$I$89,3,0)*VLOOKUP('Données projet'!$B$11,Paramètres!$A$1:$I$89,5,0)</f>
        <v>172.68479999999997</v>
      </c>
      <c r="BF196" s="13">
        <f t="shared" si="167"/>
        <v>43.690780005214812</v>
      </c>
      <c r="BG196" s="20">
        <f t="shared" si="168"/>
        <v>376.85413517574904</v>
      </c>
      <c r="BH196" s="59">
        <f t="shared" ref="BH196:BH203" si="194">BG196+(AY196+AZ196)*44/12</f>
        <v>668.31017111686742</v>
      </c>
      <c r="BI196" s="59">
        <f ca="1">AVERAGE(OFFSET($BH$3,0,0,'Données projet'!$E$11+1,1))-AVERAGE(OFFSET($H$3,0,0,'Données projet'!$E$11+1,1))</f>
        <v>332.93090933713466</v>
      </c>
      <c r="BJ196" s="59">
        <f t="shared" si="146"/>
        <v>251.83579649532973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8.8174818234460606</v>
      </c>
      <c r="BQ196" s="21">
        <f>EXP(-LN(2)/25)*BQ195+(1-EXP(-LN(2)/25))/(LN(2)/25)*Calculateur!BL196*Calculateur!BN196*VLOOKUP('Données projet'!$B$11,Paramètres!$A$1:$I$89,3,0)*0.475*44/12</f>
        <v>7.5784528862255687E-2</v>
      </c>
      <c r="BR196" s="21">
        <f>EXP(-LN(2)/2)*BR195+(1-EXP(-LN(2)/2))/(LN(2)/2)*BL196*BO196*VLOOKUP('Données projet'!$B$11,Paramètres!$A$1:$I$89,3,0)*0.475*44/12</f>
        <v>7.8693730319067739E-28</v>
      </c>
      <c r="BS196" s="22">
        <f t="shared" si="169"/>
        <v>8.8932663523083164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21.709999999999326</v>
      </c>
      <c r="BZ196" s="13">
        <f>BY196*VLOOKUP('Données projet'!$B$12,Paramètres!$A$1:$I$89,3,0)*VLOOKUP('Données projet'!$B$12,Paramètres!$A$1:$I$89,5,0)</f>
        <v>24.723347999999234</v>
      </c>
      <c r="CA196" s="13">
        <f t="shared" si="170"/>
        <v>7.8433511535672826</v>
      </c>
      <c r="CB196" s="20">
        <f t="shared" si="171"/>
        <v>56.720334359128351</v>
      </c>
      <c r="CC196" s="59">
        <f t="shared" ref="CC196:CC203" si="195">CB196+(BT196+BU196)*44/12</f>
        <v>348.17637030024673</v>
      </c>
      <c r="CD196" s="59">
        <f ca="1">AVERAGE(OFFSET($CC$3,0,0,'Données projet'!$E$12+1,1))-AVERAGE(OFFSET($H$3,0,0,'Données projet'!$E$12+1,1))</f>
        <v>797.57191672067393</v>
      </c>
      <c r="CE196" s="59">
        <f t="shared" si="148"/>
        <v>238.59056544987126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322.16670545004922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322.16670545004922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>
        <f>CT196*VLOOKUP('Données projet'!$B$13,Paramètres!$A$1:$I$89,3,0)*VLOOKUP('Données projet'!$B$13,Paramètres!$A$1:$I$89,5,0)</f>
        <v>0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188.98184340090461</v>
      </c>
      <c r="CZ196" s="59">
        <f t="shared" si="150"/>
        <v>450.74604661797798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1.4872061205556635</v>
      </c>
      <c r="DH196" s="21">
        <f>EXP(-LN(2)/2)*DH195+(1-EXP(-LN(2)/2))/(LN(2)/2)*DB196*DE196*VLOOKUP('Données projet'!$B$13,Paramètres!$A$1:$I$89,3,0)*0.475*44/12</f>
        <v>1.3149251519126084E-26</v>
      </c>
      <c r="DI196" s="22">
        <f t="shared" si="175"/>
        <v>1.4872061205556635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369.00000000000011</v>
      </c>
      <c r="DP196" s="17">
        <f>DO196*VLOOKUP('Données projet'!$B$14,Paramètres!$A$1:$I$89,3,0)*VLOOKUP('Données projet'!$B$14,Paramètres!$A$1:$I$89,5,0)</f>
        <v>333.87120000000004</v>
      </c>
      <c r="DQ196" s="13">
        <f t="shared" si="176"/>
        <v>78.232360111376309</v>
      </c>
      <c r="DR196" s="20">
        <f t="shared" si="177"/>
        <v>717.74703386064709</v>
      </c>
      <c r="DS196" s="59">
        <f t="shared" ref="DS196:DS203" si="197">DR196+(DJ196+DK196)*44/12</f>
        <v>1009.2030698017654</v>
      </c>
      <c r="DT196" s="59">
        <f ca="1">AVERAGE(OFFSET($DS$3,0,0,'Données projet'!$E$14+1,1))-AVERAGE(OFFSET($H$3,0,0,'Données projet'!$E$14+1,1))</f>
        <v>442.34161202733173</v>
      </c>
      <c r="DU196" s="59">
        <f t="shared" si="152"/>
        <v>622.90413492324399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0.41897118814271789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0.41897118814271789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21.709999999999326</v>
      </c>
      <c r="EK196" s="17">
        <f>EJ196*VLOOKUP('Données projet'!$B$15,Paramètres!$A$1:$I$89,3,0)*VLOOKUP('Données projet'!$B$15,Paramètres!$A$1:$I$89,5,0)</f>
        <v>23.707319999999264</v>
      </c>
      <c r="EL196" s="13">
        <f t="shared" si="179"/>
        <v>7.5578489536731341</v>
      </c>
      <c r="EM196" s="20">
        <f t="shared" si="180"/>
        <v>54.453502594312759</v>
      </c>
      <c r="EN196" s="59">
        <f t="shared" ref="EN196:EN203" si="198">EM196+(EE196+EF196)*44/12</f>
        <v>345.90953853543112</v>
      </c>
      <c r="EO196" s="59">
        <f ca="1">AVERAGE(OFFSET($EN$3,0,0,'Données projet'!$E$15+1,1))-AVERAGE(OFFSET($H$3,0,0,'Données projet'!$E$15+1,1))</f>
        <v>767.9449852393318</v>
      </c>
      <c r="EP196" s="59">
        <f t="shared" si="154"/>
        <v>230.95605490295961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308.92697782881436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308.92697782881436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69.488009802123202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3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</v>
      </c>
      <c r="H197" s="66">
        <f t="shared" si="192"/>
        <v>212.66666666666666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188.98184340090461</v>
      </c>
      <c r="T197" s="59">
        <f t="shared" ref="T197:T203" si="204">$T$3</f>
        <v>450.74604661797798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20.879999999999939</v>
      </c>
      <c r="AJ197" s="13">
        <f>AI197*VLOOKUP('Données projet'!$B$10,Paramètres!$A$1:$I$89,3,0)*VLOOKUP('Données projet'!$B$10,Paramètres!$A$1:$I$89,5,0)</f>
        <v>18.892223999999942</v>
      </c>
      <c r="AK197" s="13">
        <f t="shared" si="164"/>
        <v>6.184089977612083</v>
      </c>
      <c r="AL197" s="20">
        <f t="shared" si="165"/>
        <v>43.674580177674272</v>
      </c>
      <c r="AM197" s="59">
        <f t="shared" si="193"/>
        <v>335.16318303153946</v>
      </c>
      <c r="AN197" s="59">
        <f ca="1">AVERAGE(OFFSET($AM$3,0,0,'Données projet'!$E$10+1,1))-AVERAGE(OFFSET($H$3,0,0,'Données projet'!$E$10+1,1))</f>
        <v>725.60981534362895</v>
      </c>
      <c r="AO197" s="59">
        <f t="shared" ref="AO197:AO203" si="205">$AO$3</f>
        <v>265.16078167969272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177.76069329973515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177.76069329973515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149.89999999999998</v>
      </c>
      <c r="BE197" s="13">
        <f>BD197*VLOOKUP('Données projet'!$B$11,Paramètres!$A$1:$I$89,3,0)*VLOOKUP('Données projet'!$B$11,Paramètres!$A$1:$I$89,5,0)</f>
        <v>172.68479999999997</v>
      </c>
      <c r="BF197" s="13">
        <f t="shared" si="167"/>
        <v>43.690780005214812</v>
      </c>
      <c r="BG197" s="20">
        <f t="shared" si="168"/>
        <v>376.85413517574904</v>
      </c>
      <c r="BH197" s="59">
        <f t="shared" si="194"/>
        <v>668.34273802961422</v>
      </c>
      <c r="BI197" s="59">
        <f ca="1">AVERAGE(OFFSET($BH$3,0,0,'Données projet'!$E$11+1,1))-AVERAGE(OFFSET($H$3,0,0,'Données projet'!$E$11+1,1))</f>
        <v>332.93090933713466</v>
      </c>
      <c r="BJ197" s="59">
        <f t="shared" ref="BJ197:BJ203" si="206">$BJ$3</f>
        <v>251.83579649532973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8.6445763830211497</v>
      </c>
      <c r="BQ197" s="21">
        <f>EXP(-LN(2)/25)*BQ196+(1-EXP(-LN(2)/25))/(LN(2)/25)*Calculateur!BL197*Calculateur!BN197*VLOOKUP('Données projet'!$B$11,Paramètres!$A$1:$I$89,3,0)*0.475*44/12</f>
        <v>7.3712196935182134E-2</v>
      </c>
      <c r="BR197" s="21">
        <f>EXP(-LN(2)/2)*BR196+(1-EXP(-LN(2)/2))/(LN(2)/2)*BL197*BO197*VLOOKUP('Données projet'!$B$11,Paramètres!$A$1:$I$89,3,0)*0.475*44/12</f>
        <v>5.5644870345478217E-28</v>
      </c>
      <c r="BS197" s="22">
        <f t="shared" si="169"/>
        <v>8.7182885799563312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21.709999999999326</v>
      </c>
      <c r="BZ197" s="13">
        <f>BY197*VLOOKUP('Données projet'!$B$12,Paramètres!$A$1:$I$89,3,0)*VLOOKUP('Données projet'!$B$12,Paramètres!$A$1:$I$89,5,0)</f>
        <v>24.723347999999234</v>
      </c>
      <c r="CA197" s="13">
        <f t="shared" si="170"/>
        <v>7.8433511535672826</v>
      </c>
      <c r="CB197" s="20">
        <f t="shared" si="171"/>
        <v>56.720334359128351</v>
      </c>
      <c r="CC197" s="59">
        <f t="shared" si="195"/>
        <v>348.20893721299353</v>
      </c>
      <c r="CD197" s="59">
        <f ca="1">AVERAGE(OFFSET($CC$3,0,0,'Données projet'!$E$12+1,1))-AVERAGE(OFFSET($H$3,0,0,'Données projet'!$E$12+1,1))</f>
        <v>797.57191672067393</v>
      </c>
      <c r="CE197" s="59">
        <f t="shared" ref="CE197:CE203" si="207">$CE$3</f>
        <v>238.59056544987126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315.8492128584611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315.8492128584611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>
        <f>CT197*VLOOKUP('Données projet'!$B$13,Paramètres!$A$1:$I$89,3,0)*VLOOKUP('Données projet'!$B$13,Paramètres!$A$1:$I$89,5,0)</f>
        <v>0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188.98184340090461</v>
      </c>
      <c r="CZ197" s="59">
        <f t="shared" ref="CZ197:CZ203" si="208">$CZ$3</f>
        <v>450.74604661797798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1.446538390980298</v>
      </c>
      <c r="DH197" s="21">
        <f>EXP(-LN(2)/2)*DH196+(1-EXP(-LN(2)/2))/(LN(2)/2)*DB197*DE197*VLOOKUP('Données projet'!$B$13,Paramètres!$A$1:$I$89,3,0)*0.475*44/12</f>
        <v>9.2979249167015658E-27</v>
      </c>
      <c r="DI197" s="22">
        <f t="shared" si="175"/>
        <v>1.446538390980298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369.00000000000011</v>
      </c>
      <c r="DP197" s="17">
        <f>DO197*VLOOKUP('Données projet'!$B$14,Paramètres!$A$1:$I$89,3,0)*VLOOKUP('Données projet'!$B$14,Paramètres!$A$1:$I$89,5,0)</f>
        <v>333.87120000000004</v>
      </c>
      <c r="DQ197" s="13">
        <f t="shared" si="176"/>
        <v>78.232360111376309</v>
      </c>
      <c r="DR197" s="20">
        <f t="shared" si="177"/>
        <v>717.74703386064709</v>
      </c>
      <c r="DS197" s="59">
        <f t="shared" si="197"/>
        <v>1009.2356367145123</v>
      </c>
      <c r="DT197" s="59">
        <f ca="1">AVERAGE(OFFSET($DS$3,0,0,'Données projet'!$E$14+1,1))-AVERAGE(OFFSET($H$3,0,0,'Données projet'!$E$14+1,1))</f>
        <v>442.34161202733173</v>
      </c>
      <c r="DU197" s="59">
        <f t="shared" ref="DU197:DU203" si="209">$DU$3</f>
        <v>622.90413492324399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0.41075541869043075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0.41075541869043075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21.709999999999326</v>
      </c>
      <c r="EK197" s="17">
        <f>EJ197*VLOOKUP('Données projet'!$B$15,Paramètres!$A$1:$I$89,3,0)*VLOOKUP('Données projet'!$B$15,Paramètres!$A$1:$I$89,5,0)</f>
        <v>23.707319999999264</v>
      </c>
      <c r="EL197" s="13">
        <f t="shared" si="179"/>
        <v>7.5578489536731341</v>
      </c>
      <c r="EM197" s="20">
        <f t="shared" si="180"/>
        <v>54.453502594312759</v>
      </c>
      <c r="EN197" s="59">
        <f t="shared" si="198"/>
        <v>345.94210544817793</v>
      </c>
      <c r="EO197" s="59">
        <f ca="1">AVERAGE(OFFSET($EN$3,0,0,'Données projet'!$E$15+1,1))-AVERAGE(OFFSET($H$3,0,0,'Données projet'!$E$15+1,1))</f>
        <v>767.9449852393318</v>
      </c>
      <c r="EP197" s="59">
        <f t="shared" ref="EP197:EP203" si="210">$EP$3</f>
        <v>230.95605490295961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302.86910822044217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302.86910822044217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69.496891687417772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3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</v>
      </c>
      <c r="H198" s="66">
        <f t="shared" si="192"/>
        <v>212.66666666666666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188.98184340090461</v>
      </c>
      <c r="T198" s="59">
        <f t="shared" si="204"/>
        <v>450.74604661797798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20.879999999999939</v>
      </c>
      <c r="AJ198" s="13">
        <f>AI198*VLOOKUP('Données projet'!$B$10,Paramètres!$A$1:$I$89,3,0)*VLOOKUP('Données projet'!$B$10,Paramètres!$A$1:$I$89,5,0)</f>
        <v>18.892223999999942</v>
      </c>
      <c r="AK198" s="13">
        <f t="shared" si="164"/>
        <v>6.184089977612083</v>
      </c>
      <c r="AL198" s="20">
        <f t="shared" si="165"/>
        <v>43.674580177674272</v>
      </c>
      <c r="AM198" s="59">
        <f t="shared" si="193"/>
        <v>335.19518498115872</v>
      </c>
      <c r="AN198" s="59">
        <f ca="1">AVERAGE(OFFSET($AM$3,0,0,'Données projet'!$E$10+1,1))-AVERAGE(OFFSET($H$3,0,0,'Données projet'!$E$10+1,1))</f>
        <v>725.60981534362895</v>
      </c>
      <c r="AO198" s="59">
        <f t="shared" si="205"/>
        <v>265.16078167969272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174.27491452744434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174.27491452744434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149.89999999999998</v>
      </c>
      <c r="BE198" s="13">
        <f>BD198*VLOOKUP('Données projet'!$B$11,Paramètres!$A$1:$I$89,3,0)*VLOOKUP('Données projet'!$B$11,Paramètres!$A$1:$I$89,5,0)</f>
        <v>172.68479999999997</v>
      </c>
      <c r="BF198" s="13">
        <f t="shared" si="167"/>
        <v>43.690780005214812</v>
      </c>
      <c r="BG198" s="20">
        <f t="shared" si="168"/>
        <v>376.85413517574904</v>
      </c>
      <c r="BH198" s="59">
        <f t="shared" si="194"/>
        <v>668.37473997923348</v>
      </c>
      <c r="BI198" s="59">
        <f ca="1">AVERAGE(OFFSET($BH$3,0,0,'Données projet'!$E$11+1,1))-AVERAGE(OFFSET($H$3,0,0,'Données projet'!$E$11+1,1))</f>
        <v>332.93090933713466</v>
      </c>
      <c r="BJ198" s="59">
        <f t="shared" si="206"/>
        <v>251.83579649532973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8.4750615128210658</v>
      </c>
      <c r="BQ198" s="21">
        <f>EXP(-LN(2)/25)*BQ197+(1-EXP(-LN(2)/25))/(LN(2)/25)*Calculateur!BL198*Calculateur!BN198*VLOOKUP('Données projet'!$B$11,Paramètres!$A$1:$I$89,3,0)*0.475*44/12</f>
        <v>7.1696533033633617E-2</v>
      </c>
      <c r="BR198" s="21">
        <f>EXP(-LN(2)/2)*BR197+(1-EXP(-LN(2)/2))/(LN(2)/2)*BL198*BO198*VLOOKUP('Données projet'!$B$11,Paramètres!$A$1:$I$89,3,0)*0.475*44/12</f>
        <v>3.9346865159533874E-28</v>
      </c>
      <c r="BS198" s="22">
        <f t="shared" si="169"/>
        <v>8.5467580458547001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21.709999999999326</v>
      </c>
      <c r="BZ198" s="13">
        <f>BY198*VLOOKUP('Données projet'!$B$12,Paramètres!$A$1:$I$89,3,0)*VLOOKUP('Données projet'!$B$12,Paramètres!$A$1:$I$89,5,0)</f>
        <v>24.723347999999234</v>
      </c>
      <c r="CA198" s="13">
        <f t="shared" si="170"/>
        <v>7.8433511535672826</v>
      </c>
      <c r="CB198" s="20">
        <f t="shared" si="171"/>
        <v>56.720334359128351</v>
      </c>
      <c r="CC198" s="59">
        <f t="shared" si="195"/>
        <v>348.24093916261279</v>
      </c>
      <c r="CD198" s="59">
        <f ca="1">AVERAGE(OFFSET($CC$3,0,0,'Données projet'!$E$12+1,1))-AVERAGE(OFFSET($H$3,0,0,'Données projet'!$E$12+1,1))</f>
        <v>797.57191672067393</v>
      </c>
      <c r="CE198" s="59">
        <f t="shared" si="207"/>
        <v>238.59056544987126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309.65560244330402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309.65560244330402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>
        <f>CT198*VLOOKUP('Données projet'!$B$13,Paramètres!$A$1:$I$89,3,0)*VLOOKUP('Données projet'!$B$13,Paramètres!$A$1:$I$89,5,0)</f>
        <v>0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188.98184340090461</v>
      </c>
      <c r="CZ198" s="59">
        <f t="shared" si="208"/>
        <v>450.74604661797798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1.4069827226087939</v>
      </c>
      <c r="DH198" s="21">
        <f>EXP(-LN(2)/2)*DH197+(1-EXP(-LN(2)/2))/(LN(2)/2)*DB198*DE198*VLOOKUP('Données projet'!$B$13,Paramètres!$A$1:$I$89,3,0)*0.475*44/12</f>
        <v>6.5746257595630422E-27</v>
      </c>
      <c r="DI198" s="22">
        <f t="shared" si="175"/>
        <v>1.4069827226087939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369.00000000000011</v>
      </c>
      <c r="DP198" s="17">
        <f>DO198*VLOOKUP('Données projet'!$B$14,Paramètres!$A$1:$I$89,3,0)*VLOOKUP('Données projet'!$B$14,Paramètres!$A$1:$I$89,5,0)</f>
        <v>333.87120000000004</v>
      </c>
      <c r="DQ198" s="13">
        <f t="shared" si="176"/>
        <v>78.232360111376309</v>
      </c>
      <c r="DR198" s="20">
        <f t="shared" si="177"/>
        <v>717.74703386064709</v>
      </c>
      <c r="DS198" s="59">
        <f t="shared" si="197"/>
        <v>1009.2676386641315</v>
      </c>
      <c r="DT198" s="59">
        <f ca="1">AVERAGE(OFFSET($DS$3,0,0,'Données projet'!$E$14+1,1))-AVERAGE(OFFSET($H$3,0,0,'Données projet'!$E$14+1,1))</f>
        <v>442.34161202733173</v>
      </c>
      <c r="DU198" s="59">
        <f t="shared" si="209"/>
        <v>622.90413492324399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0.40270075546597844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0.40270075546597844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21.709999999999326</v>
      </c>
      <c r="EK198" s="17">
        <f>EJ198*VLOOKUP('Données projet'!$B$15,Paramètres!$A$1:$I$89,3,0)*VLOOKUP('Données projet'!$B$15,Paramètres!$A$1:$I$89,5,0)</f>
        <v>23.707319999999264</v>
      </c>
      <c r="EL198" s="13">
        <f t="shared" si="179"/>
        <v>7.5578489536731341</v>
      </c>
      <c r="EM198" s="20">
        <f t="shared" si="180"/>
        <v>54.453502594312759</v>
      </c>
      <c r="EN198" s="59">
        <f t="shared" si="198"/>
        <v>345.97410739779718</v>
      </c>
      <c r="EO198" s="59">
        <f ca="1">AVERAGE(OFFSET($EN$3,0,0,'Données projet'!$E$15+1,1))-AVERAGE(OFFSET($H$3,0,0,'Données projet'!$E$15+1,1))</f>
        <v>767.9449852393318</v>
      </c>
      <c r="EP198" s="59">
        <f t="shared" si="210"/>
        <v>230.95605490295961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296.93002974015457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296.93002974015457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69.505619491859392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3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</v>
      </c>
      <c r="H199" s="66">
        <f t="shared" si="192"/>
        <v>212.66666666666666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188.98184340090461</v>
      </c>
      <c r="T199" s="59">
        <f t="shared" si="204"/>
        <v>450.74604661797798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20.879999999999939</v>
      </c>
      <c r="AJ199" s="13">
        <f>AI199*VLOOKUP('Données projet'!$B$10,Paramètres!$A$1:$I$89,3,0)*VLOOKUP('Données projet'!$B$10,Paramètres!$A$1:$I$89,5,0)</f>
        <v>18.892223999999942</v>
      </c>
      <c r="AK199" s="13">
        <f t="shared" si="164"/>
        <v>6.184089977612083</v>
      </c>
      <c r="AL199" s="20">
        <f t="shared" si="165"/>
        <v>43.674580177674272</v>
      </c>
      <c r="AM199" s="59">
        <f t="shared" si="193"/>
        <v>335.22663176849767</v>
      </c>
      <c r="AN199" s="59">
        <f ca="1">AVERAGE(OFFSET($AM$3,0,0,'Données projet'!$E$10+1,1))-AVERAGE(OFFSET($H$3,0,0,'Données projet'!$E$10+1,1))</f>
        <v>725.60981534362895</v>
      </c>
      <c r="AO199" s="59">
        <f t="shared" si="205"/>
        <v>265.16078167969272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170.85748975076305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170.85748975076305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149.89999999999998</v>
      </c>
      <c r="BE199" s="13">
        <f>BD199*VLOOKUP('Données projet'!$B$11,Paramètres!$A$1:$I$89,3,0)*VLOOKUP('Données projet'!$B$11,Paramètres!$A$1:$I$89,5,0)</f>
        <v>172.68479999999997</v>
      </c>
      <c r="BF199" s="13">
        <f t="shared" si="167"/>
        <v>43.690780005214812</v>
      </c>
      <c r="BG199" s="20">
        <f t="shared" si="168"/>
        <v>376.85413517574904</v>
      </c>
      <c r="BH199" s="59">
        <f t="shared" si="194"/>
        <v>668.40618676657243</v>
      </c>
      <c r="BI199" s="59">
        <f ca="1">AVERAGE(OFFSET($BH$3,0,0,'Données projet'!$E$11+1,1))-AVERAGE(OFFSET($H$3,0,0,'Données projet'!$E$11+1,1))</f>
        <v>332.93090933713466</v>
      </c>
      <c r="BJ199" s="59">
        <f t="shared" si="206"/>
        <v>251.83579649532973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8.3088707258317438</v>
      </c>
      <c r="BQ199" s="21">
        <f>EXP(-LN(2)/25)*BQ198+(1-EXP(-LN(2)/25))/(LN(2)/25)*Calculateur!BL199*Calculateur!BN199*VLOOKUP('Données projet'!$B$11,Paramètres!$A$1:$I$89,3,0)*0.475*44/12</f>
        <v>6.9735987567472096E-2</v>
      </c>
      <c r="BR199" s="21">
        <f>EXP(-LN(2)/2)*BR198+(1-EXP(-LN(2)/2))/(LN(2)/2)*BL199*BO199*VLOOKUP('Données projet'!$B$11,Paramètres!$A$1:$I$89,3,0)*0.475*44/12</f>
        <v>2.7822435172739113E-28</v>
      </c>
      <c r="BS199" s="22">
        <f t="shared" si="169"/>
        <v>8.3786067133992166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21.709999999999326</v>
      </c>
      <c r="BZ199" s="13">
        <f>BY199*VLOOKUP('Données projet'!$B$12,Paramètres!$A$1:$I$89,3,0)*VLOOKUP('Données projet'!$B$12,Paramètres!$A$1:$I$89,5,0)</f>
        <v>24.723347999999234</v>
      </c>
      <c r="CA199" s="13">
        <f t="shared" si="170"/>
        <v>7.8433511535672826</v>
      </c>
      <c r="CB199" s="20">
        <f t="shared" si="171"/>
        <v>56.720334359128351</v>
      </c>
      <c r="CC199" s="59">
        <f t="shared" si="195"/>
        <v>348.27238594995174</v>
      </c>
      <c r="CD199" s="59">
        <f ca="1">AVERAGE(OFFSET($CC$3,0,0,'Données projet'!$E$12+1,1))-AVERAGE(OFFSET($H$3,0,0,'Données projet'!$E$12+1,1))</f>
        <v>797.57191672067393</v>
      </c>
      <c r="CE199" s="59">
        <f t="shared" si="207"/>
        <v>238.59056544987126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303.58344495065882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303.58344495065882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>
        <f>CT199*VLOOKUP('Données projet'!$B$13,Paramètres!$A$1:$I$89,3,0)*VLOOKUP('Données projet'!$B$13,Paramètres!$A$1:$I$89,5,0)</f>
        <v>0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188.98184340090461</v>
      </c>
      <c r="CZ199" s="59">
        <f t="shared" si="208"/>
        <v>450.74604661797798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1.3685087060690506</v>
      </c>
      <c r="DH199" s="21">
        <f>EXP(-LN(2)/2)*DH198+(1-EXP(-LN(2)/2))/(LN(2)/2)*DB199*DE199*VLOOKUP('Données projet'!$B$13,Paramètres!$A$1:$I$89,3,0)*0.475*44/12</f>
        <v>4.6489624583507829E-27</v>
      </c>
      <c r="DI199" s="22">
        <f t="shared" si="175"/>
        <v>1.3685087060690506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369.00000000000011</v>
      </c>
      <c r="DP199" s="17">
        <f>DO199*VLOOKUP('Données projet'!$B$14,Paramètres!$A$1:$I$89,3,0)*VLOOKUP('Données projet'!$B$14,Paramètres!$A$1:$I$89,5,0)</f>
        <v>333.87120000000004</v>
      </c>
      <c r="DQ199" s="13">
        <f t="shared" si="176"/>
        <v>78.232360111376309</v>
      </c>
      <c r="DR199" s="20">
        <f t="shared" si="177"/>
        <v>717.74703386064709</v>
      </c>
      <c r="DS199" s="59">
        <f t="shared" si="197"/>
        <v>1009.2990854514705</v>
      </c>
      <c r="DT199" s="59">
        <f ca="1">AVERAGE(OFFSET($DS$3,0,0,'Données projet'!$E$14+1,1))-AVERAGE(OFFSET($H$3,0,0,'Données projet'!$E$14+1,1))</f>
        <v>442.34161202733173</v>
      </c>
      <c r="DU199" s="59">
        <f t="shared" si="209"/>
        <v>622.90413492324399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0.39480403927449814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0.39480403927449814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21.709999999999326</v>
      </c>
      <c r="EK199" s="17">
        <f>EJ199*VLOOKUP('Données projet'!$B$15,Paramètres!$A$1:$I$89,3,0)*VLOOKUP('Données projet'!$B$15,Paramètres!$A$1:$I$89,5,0)</f>
        <v>23.707319999999264</v>
      </c>
      <c r="EL199" s="13">
        <f t="shared" si="179"/>
        <v>7.5578489536731341</v>
      </c>
      <c r="EM199" s="20">
        <f t="shared" si="180"/>
        <v>54.453502594312759</v>
      </c>
      <c r="EN199" s="59">
        <f t="shared" si="198"/>
        <v>346.00555418513613</v>
      </c>
      <c r="EO199" s="59">
        <f ca="1">AVERAGE(OFFSET($EN$3,0,0,'Données projet'!$E$15+1,1))-AVERAGE(OFFSET($H$3,0,0,'Données projet'!$E$15+1,1))</f>
        <v>767.9449852393318</v>
      </c>
      <c r="EP199" s="59">
        <f t="shared" si="210"/>
        <v>230.95605490295961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291.1074129663852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291.1074129663852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69.514195888406391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3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</v>
      </c>
      <c r="H200" s="66">
        <f t="shared" si="192"/>
        <v>212.66666666666666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188.98184340090461</v>
      </c>
      <c r="T200" s="59">
        <f t="shared" si="204"/>
        <v>450.74604661797798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20.879999999999939</v>
      </c>
      <c r="AJ200" s="13">
        <f>AI200*VLOOKUP('Données projet'!$B$10,Paramètres!$A$1:$I$89,3,0)*VLOOKUP('Données projet'!$B$10,Paramètres!$A$1:$I$89,5,0)</f>
        <v>18.892223999999942</v>
      </c>
      <c r="AK200" s="13">
        <f t="shared" si="164"/>
        <v>6.184089977612083</v>
      </c>
      <c r="AL200" s="20">
        <f t="shared" si="165"/>
        <v>43.674580177674272</v>
      </c>
      <c r="AM200" s="59">
        <f t="shared" si="193"/>
        <v>335.25753302438085</v>
      </c>
      <c r="AN200" s="59">
        <f ca="1">AVERAGE(OFFSET($AM$3,0,0,'Données projet'!$E$10+1,1))-AVERAGE(OFFSET($H$3,0,0,'Données projet'!$E$10+1,1))</f>
        <v>725.60981534362895</v>
      </c>
      <c r="AO200" s="59">
        <f t="shared" si="205"/>
        <v>265.16078167969272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167.50707858952919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167.50707858952919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149.89999999999998</v>
      </c>
      <c r="BE200" s="13">
        <f>BD200*VLOOKUP('Données projet'!$B$11,Paramètres!$A$1:$I$89,3,0)*VLOOKUP('Données projet'!$B$11,Paramètres!$A$1:$I$89,5,0)</f>
        <v>172.68479999999997</v>
      </c>
      <c r="BF200" s="13">
        <f t="shared" si="167"/>
        <v>43.690780005214812</v>
      </c>
      <c r="BG200" s="20">
        <f t="shared" si="168"/>
        <v>376.85413517574904</v>
      </c>
      <c r="BH200" s="59">
        <f t="shared" si="194"/>
        <v>668.43708802245555</v>
      </c>
      <c r="BI200" s="59">
        <f ca="1">AVERAGE(OFFSET($BH$3,0,0,'Données projet'!$E$11+1,1))-AVERAGE(OFFSET($H$3,0,0,'Données projet'!$E$11+1,1))</f>
        <v>332.93090933713466</v>
      </c>
      <c r="BJ200" s="59">
        <f t="shared" si="206"/>
        <v>251.83579649532973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8.1459388388089113</v>
      </c>
      <c r="BQ200" s="21">
        <f>EXP(-LN(2)/25)*BQ199+(1-EXP(-LN(2)/25))/(LN(2)/25)*Calculateur!BL200*Calculateur!BN200*VLOOKUP('Données projet'!$B$11,Paramètres!$A$1:$I$89,3,0)*0.475*44/12</f>
        <v>6.7829053320183366E-2</v>
      </c>
      <c r="BR200" s="21">
        <f>EXP(-LN(2)/2)*BR199+(1-EXP(-LN(2)/2))/(LN(2)/2)*BL200*BO200*VLOOKUP('Données projet'!$B$11,Paramètres!$A$1:$I$89,3,0)*0.475*44/12</f>
        <v>1.9673432579766941E-28</v>
      </c>
      <c r="BS200" s="22">
        <f t="shared" si="169"/>
        <v>8.2137678921290949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21.709999999999326</v>
      </c>
      <c r="BZ200" s="13">
        <f>BY200*VLOOKUP('Données projet'!$B$12,Paramètres!$A$1:$I$89,3,0)*VLOOKUP('Données projet'!$B$12,Paramètres!$A$1:$I$89,5,0)</f>
        <v>24.723347999999234</v>
      </c>
      <c r="CA200" s="13">
        <f t="shared" si="170"/>
        <v>7.8433511535672826</v>
      </c>
      <c r="CB200" s="20">
        <f t="shared" si="171"/>
        <v>56.720334359128351</v>
      </c>
      <c r="CC200" s="59">
        <f t="shared" si="195"/>
        <v>348.30328720583492</v>
      </c>
      <c r="CD200" s="59">
        <f ca="1">AVERAGE(OFFSET($CC$3,0,0,'Données projet'!$E$12+1,1))-AVERAGE(OFFSET($H$3,0,0,'Données projet'!$E$12+1,1))</f>
        <v>797.57191672067393</v>
      </c>
      <c r="CE200" s="59">
        <f t="shared" si="207"/>
        <v>238.59056544987126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297.63035876279406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297.63035876279406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>
        <f>CT200*VLOOKUP('Données projet'!$B$13,Paramètres!$A$1:$I$89,3,0)*VLOOKUP('Données projet'!$B$13,Paramètres!$A$1:$I$89,5,0)</f>
        <v>0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188.98184340090461</v>
      </c>
      <c r="CZ200" s="59">
        <f t="shared" si="208"/>
        <v>450.74604661797798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1.3310867635348473</v>
      </c>
      <c r="DH200" s="21">
        <f>EXP(-LN(2)/2)*DH199+(1-EXP(-LN(2)/2))/(LN(2)/2)*DB200*DE200*VLOOKUP('Données projet'!$B$13,Paramètres!$A$1:$I$89,3,0)*0.475*44/12</f>
        <v>3.2873128797815211E-27</v>
      </c>
      <c r="DI200" s="22">
        <f t="shared" si="175"/>
        <v>1.3310867635348473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369.00000000000011</v>
      </c>
      <c r="DP200" s="17">
        <f>DO200*VLOOKUP('Données projet'!$B$14,Paramètres!$A$1:$I$89,3,0)*VLOOKUP('Données projet'!$B$14,Paramètres!$A$1:$I$89,5,0)</f>
        <v>333.87120000000004</v>
      </c>
      <c r="DQ200" s="13">
        <f t="shared" si="176"/>
        <v>78.232360111376309</v>
      </c>
      <c r="DR200" s="20">
        <f t="shared" si="177"/>
        <v>717.74703386064709</v>
      </c>
      <c r="DS200" s="59">
        <f t="shared" si="197"/>
        <v>1009.3299867073537</v>
      </c>
      <c r="DT200" s="59">
        <f ca="1">AVERAGE(OFFSET($DS$3,0,0,'Données projet'!$E$14+1,1))-AVERAGE(OFFSET($H$3,0,0,'Données projet'!$E$14+1,1))</f>
        <v>442.34161202733173</v>
      </c>
      <c r="DU200" s="59">
        <f t="shared" si="209"/>
        <v>622.90413492324399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0.38706217287101152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0.38706217287101152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21.709999999999326</v>
      </c>
      <c r="EK200" s="17">
        <f>EJ200*VLOOKUP('Données projet'!$B$15,Paramètres!$A$1:$I$89,3,0)*VLOOKUP('Données projet'!$B$15,Paramètres!$A$1:$I$89,5,0)</f>
        <v>23.707319999999264</v>
      </c>
      <c r="EL200" s="13">
        <f t="shared" si="179"/>
        <v>7.5578489536731341</v>
      </c>
      <c r="EM200" s="20">
        <f t="shared" si="180"/>
        <v>54.453502594312759</v>
      </c>
      <c r="EN200" s="59">
        <f t="shared" si="198"/>
        <v>346.03645544101931</v>
      </c>
      <c r="EO200" s="59">
        <f ca="1">AVERAGE(OFFSET($EN$3,0,0,'Données projet'!$E$15+1,1))-AVERAGE(OFFSET($H$3,0,0,'Données projet'!$E$15+1,1))</f>
        <v>767.9449852393318</v>
      </c>
      <c r="EP200" s="59">
        <f t="shared" si="210"/>
        <v>230.95605490295961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285.39897415610392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285.39897415610392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69.522623503647253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3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</v>
      </c>
      <c r="H201" s="66">
        <f t="shared" si="192"/>
        <v>212.66666666666666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188.98184340090461</v>
      </c>
      <c r="T201" s="59">
        <f t="shared" si="204"/>
        <v>450.74604661797798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20.879999999999939</v>
      </c>
      <c r="AJ201" s="13">
        <f>AI201*VLOOKUP('Données projet'!$B$10,Paramètres!$A$1:$I$89,3,0)*VLOOKUP('Données projet'!$B$10,Paramètres!$A$1:$I$89,5,0)</f>
        <v>18.892223999999942</v>
      </c>
      <c r="AK201" s="13">
        <f t="shared" si="164"/>
        <v>6.184089977612083</v>
      </c>
      <c r="AL201" s="20">
        <f t="shared" si="165"/>
        <v>43.674580177674272</v>
      </c>
      <c r="AM201" s="59">
        <f t="shared" si="193"/>
        <v>335.2878982125593</v>
      </c>
      <c r="AN201" s="59">
        <f ca="1">AVERAGE(OFFSET($AM$3,0,0,'Données projet'!$E$10+1,1))-AVERAGE(OFFSET($H$3,0,0,'Données projet'!$E$10+1,1))</f>
        <v>725.60981534362895</v>
      </c>
      <c r="AO201" s="59">
        <f t="shared" si="205"/>
        <v>265.16078167969272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164.2223669476181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164.2223669476181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149.89999999999998</v>
      </c>
      <c r="BE201" s="13">
        <f>BD201*VLOOKUP('Données projet'!$B$11,Paramètres!$A$1:$I$89,3,0)*VLOOKUP('Données projet'!$B$11,Paramètres!$A$1:$I$89,5,0)</f>
        <v>172.68479999999997</v>
      </c>
      <c r="BF201" s="13">
        <f t="shared" si="167"/>
        <v>43.690780005214812</v>
      </c>
      <c r="BG201" s="20">
        <f t="shared" si="168"/>
        <v>376.85413517574904</v>
      </c>
      <c r="BH201" s="59">
        <f t="shared" si="194"/>
        <v>668.46745321063406</v>
      </c>
      <c r="BI201" s="59">
        <f ca="1">AVERAGE(OFFSET($BH$3,0,0,'Données projet'!$E$11+1,1))-AVERAGE(OFFSET($H$3,0,0,'Données projet'!$E$11+1,1))</f>
        <v>332.93090933713466</v>
      </c>
      <c r="BJ201" s="59">
        <f t="shared" si="206"/>
        <v>251.83579649532973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7.986201946711958</v>
      </c>
      <c r="BQ201" s="21">
        <f>EXP(-LN(2)/25)*BQ200+(1-EXP(-LN(2)/25))/(LN(2)/25)*Calculateur!BL201*Calculateur!BN201*VLOOKUP('Données projet'!$B$11,Paramètres!$A$1:$I$89,3,0)*0.475*44/12</f>
        <v>6.5974264290168061E-2</v>
      </c>
      <c r="BR201" s="21">
        <f>EXP(-LN(2)/2)*BR200+(1-EXP(-LN(2)/2))/(LN(2)/2)*BL201*BO201*VLOOKUP('Données projet'!$B$11,Paramètres!$A$1:$I$89,3,0)*0.475*44/12</f>
        <v>1.3911217586369559E-28</v>
      </c>
      <c r="BS201" s="22">
        <f t="shared" si="169"/>
        <v>8.0521762110021253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21.709999999999326</v>
      </c>
      <c r="BZ201" s="13">
        <f>BY201*VLOOKUP('Données projet'!$B$12,Paramètres!$A$1:$I$89,3,0)*VLOOKUP('Données projet'!$B$12,Paramètres!$A$1:$I$89,5,0)</f>
        <v>24.723347999999234</v>
      </c>
      <c r="CA201" s="13">
        <f t="shared" si="170"/>
        <v>7.8433511535672826</v>
      </c>
      <c r="CB201" s="20">
        <f t="shared" si="171"/>
        <v>56.720334359128351</v>
      </c>
      <c r="CC201" s="59">
        <f t="shared" si="195"/>
        <v>348.33365239401337</v>
      </c>
      <c r="CD201" s="59">
        <f ca="1">AVERAGE(OFFSET($CC$3,0,0,'Données projet'!$E$12+1,1))-AVERAGE(OFFSET($H$3,0,0,'Données projet'!$E$12+1,1))</f>
        <v>797.57191672067393</v>
      </c>
      <c r="CE201" s="59">
        <f t="shared" si="207"/>
        <v>238.59056544987126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291.79400896404928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291.79400896404928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>
        <f>CT201*VLOOKUP('Données projet'!$B$13,Paramètres!$A$1:$I$89,3,0)*VLOOKUP('Données projet'!$B$13,Paramètres!$A$1:$I$89,5,0)</f>
        <v>0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188.98184340090461</v>
      </c>
      <c r="CZ201" s="59">
        <f t="shared" si="208"/>
        <v>450.74604661797798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1.2946881259871763</v>
      </c>
      <c r="DH201" s="21">
        <f>EXP(-LN(2)/2)*DH200+(1-EXP(-LN(2)/2))/(LN(2)/2)*DB201*DE201*VLOOKUP('Données projet'!$B$13,Paramètres!$A$1:$I$89,3,0)*0.475*44/12</f>
        <v>2.3244812291753915E-27</v>
      </c>
      <c r="DI201" s="22">
        <f t="shared" si="175"/>
        <v>1.2946881259871763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369.00000000000011</v>
      </c>
      <c r="DP201" s="17">
        <f>DO201*VLOOKUP('Données projet'!$B$14,Paramètres!$A$1:$I$89,3,0)*VLOOKUP('Données projet'!$B$14,Paramètres!$A$1:$I$89,5,0)</f>
        <v>333.87120000000004</v>
      </c>
      <c r="DQ201" s="13">
        <f t="shared" si="176"/>
        <v>78.232360111376309</v>
      </c>
      <c r="DR201" s="20">
        <f t="shared" si="177"/>
        <v>717.74703386064709</v>
      </c>
      <c r="DS201" s="59">
        <f t="shared" si="197"/>
        <v>1009.3603518955322</v>
      </c>
      <c r="DT201" s="59">
        <f ca="1">AVERAGE(OFFSET($DS$3,0,0,'Données projet'!$E$14+1,1))-AVERAGE(OFFSET($H$3,0,0,'Données projet'!$E$14+1,1))</f>
        <v>442.34161202733173</v>
      </c>
      <c r="DU201" s="59">
        <f t="shared" si="209"/>
        <v>622.90413492324399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0.379472119745625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0.379472119745625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21.709999999999326</v>
      </c>
      <c r="EK201" s="17">
        <f>EJ201*VLOOKUP('Données projet'!$B$15,Paramètres!$A$1:$I$89,3,0)*VLOOKUP('Données projet'!$B$15,Paramètres!$A$1:$I$89,5,0)</f>
        <v>23.707319999999264</v>
      </c>
      <c r="EL201" s="13">
        <f t="shared" si="179"/>
        <v>7.5578489536731341</v>
      </c>
      <c r="EM201" s="20">
        <f t="shared" si="180"/>
        <v>54.453502594312759</v>
      </c>
      <c r="EN201" s="59">
        <f t="shared" si="198"/>
        <v>346.06682062919776</v>
      </c>
      <c r="EO201" s="59">
        <f ca="1">AVERAGE(OFFSET($EN$3,0,0,'Données projet'!$E$15+1,1))-AVERAGE(OFFSET($H$3,0,0,'Données projet'!$E$15+1,1))</f>
        <v>767.9449852393318</v>
      </c>
      <c r="EP201" s="59">
        <f t="shared" si="210"/>
        <v>230.95605490295961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279.80247434908836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279.80247434908836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69.530904918605017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3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</v>
      </c>
      <c r="H202" s="66">
        <f t="shared" si="192"/>
        <v>212.66666666666666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188.98184340090461</v>
      </c>
      <c r="T202" s="59">
        <f t="shared" si="204"/>
        <v>450.74604661797798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20.879999999999939</v>
      </c>
      <c r="AJ202" s="13">
        <f>AI202*VLOOKUP('Données projet'!$B$10,Paramètres!$A$1:$I$89,3,0)*VLOOKUP('Données projet'!$B$10,Paramètres!$A$1:$I$89,5,0)</f>
        <v>18.892223999999942</v>
      </c>
      <c r="AK202" s="13">
        <f t="shared" si="164"/>
        <v>6.184089977612083</v>
      </c>
      <c r="AL202" s="20">
        <f t="shared" si="165"/>
        <v>43.674580177674272</v>
      </c>
      <c r="AM202" s="59">
        <f t="shared" si="193"/>
        <v>335.3177366326093</v>
      </c>
      <c r="AN202" s="59">
        <f ca="1">AVERAGE(OFFSET($AM$3,0,0,'Données projet'!$E$10+1,1))-AVERAGE(OFFSET($H$3,0,0,'Données projet'!$E$10+1,1))</f>
        <v>725.60981534362895</v>
      </c>
      <c r="AO202" s="59">
        <f t="shared" si="205"/>
        <v>265.16078167969272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161.0020664975286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161.0020664975286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149.89999999999998</v>
      </c>
      <c r="BE202" s="13">
        <f>BD202*VLOOKUP('Données projet'!$B$11,Paramètres!$A$1:$I$89,3,0)*VLOOKUP('Données projet'!$B$11,Paramètres!$A$1:$I$89,5,0)</f>
        <v>172.68479999999997</v>
      </c>
      <c r="BF202" s="13">
        <f t="shared" si="167"/>
        <v>43.690780005214812</v>
      </c>
      <c r="BG202" s="20">
        <f t="shared" si="168"/>
        <v>376.85413517574904</v>
      </c>
      <c r="BH202" s="59">
        <f t="shared" si="194"/>
        <v>668.497291630684</v>
      </c>
      <c r="BI202" s="59">
        <f ca="1">AVERAGE(OFFSET($BH$3,0,0,'Données projet'!$E$11+1,1))-AVERAGE(OFFSET($H$3,0,0,'Données projet'!$E$11+1,1))</f>
        <v>332.93090933713466</v>
      </c>
      <c r="BJ202" s="59">
        <f t="shared" si="206"/>
        <v>251.83579649532973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7.8295973976391426</v>
      </c>
      <c r="BQ202" s="21">
        <f>EXP(-LN(2)/25)*BQ201+(1-EXP(-LN(2)/25))/(LN(2)/25)*Calculateur!BL202*Calculateur!BN202*VLOOKUP('Données projet'!$B$11,Paramètres!$A$1:$I$89,3,0)*0.475*44/12</f>
        <v>6.4170194563717642E-2</v>
      </c>
      <c r="BR202" s="21">
        <f>EXP(-LN(2)/2)*BR201+(1-EXP(-LN(2)/2))/(LN(2)/2)*BL202*BO202*VLOOKUP('Données projet'!$B$11,Paramètres!$A$1:$I$89,3,0)*0.475*44/12</f>
        <v>9.8367162898834718E-29</v>
      </c>
      <c r="BS202" s="22">
        <f t="shared" si="169"/>
        <v>7.8937675922028605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21.709999999999326</v>
      </c>
      <c r="BZ202" s="13">
        <f>BY202*VLOOKUP('Données projet'!$B$12,Paramètres!$A$1:$I$89,3,0)*VLOOKUP('Données projet'!$B$12,Paramètres!$A$1:$I$89,5,0)</f>
        <v>24.723347999999234</v>
      </c>
      <c r="CA202" s="13">
        <f t="shared" si="170"/>
        <v>7.8433511535672826</v>
      </c>
      <c r="CB202" s="20">
        <f t="shared" si="171"/>
        <v>56.720334359128351</v>
      </c>
      <c r="CC202" s="59">
        <f t="shared" si="195"/>
        <v>348.36349081406337</v>
      </c>
      <c r="CD202" s="59">
        <f ca="1">AVERAGE(OFFSET($CC$3,0,0,'Données projet'!$E$12+1,1))-AVERAGE(OFFSET($H$3,0,0,'Données projet'!$E$12+1,1))</f>
        <v>797.57191672067393</v>
      </c>
      <c r="CE202" s="59">
        <f t="shared" si="207"/>
        <v>238.59056544987126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286.072106425036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286.072106425036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>
        <f>CT202*VLOOKUP('Données projet'!$B$13,Paramètres!$A$1:$I$89,3,0)*VLOOKUP('Données projet'!$B$13,Paramètres!$A$1:$I$89,5,0)</f>
        <v>0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188.98184340090461</v>
      </c>
      <c r="CZ202" s="59">
        <f t="shared" si="208"/>
        <v>450.74604661797798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1.2592848110973676</v>
      </c>
      <c r="DH202" s="21">
        <f>EXP(-LN(2)/2)*DH201+(1-EXP(-LN(2)/2))/(LN(2)/2)*DB202*DE202*VLOOKUP('Données projet'!$B$13,Paramètres!$A$1:$I$89,3,0)*0.475*44/12</f>
        <v>1.6436564398907605E-27</v>
      </c>
      <c r="DI202" s="22">
        <f t="shared" si="175"/>
        <v>1.2592848110973676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369.00000000000011</v>
      </c>
      <c r="DP202" s="17">
        <f>DO202*VLOOKUP('Données projet'!$B$14,Paramètres!$A$1:$I$89,3,0)*VLOOKUP('Données projet'!$B$14,Paramètres!$A$1:$I$89,5,0)</f>
        <v>333.87120000000004</v>
      </c>
      <c r="DQ202" s="13">
        <f t="shared" si="176"/>
        <v>78.232360111376309</v>
      </c>
      <c r="DR202" s="20">
        <f t="shared" si="177"/>
        <v>717.74703386064709</v>
      </c>
      <c r="DS202" s="59">
        <f t="shared" si="197"/>
        <v>1009.3901903155821</v>
      </c>
      <c r="DT202" s="59">
        <f ca="1">AVERAGE(OFFSET($DS$3,0,0,'Données projet'!$E$14+1,1))-AVERAGE(OFFSET($H$3,0,0,'Données projet'!$E$14+1,1))</f>
        <v>442.34161202733173</v>
      </c>
      <c r="DU202" s="59">
        <f t="shared" si="209"/>
        <v>622.90413492324399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0.37203090293255203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0.37203090293255203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21.709999999999326</v>
      </c>
      <c r="EK202" s="17">
        <f>EJ202*VLOOKUP('Données projet'!$B$15,Paramètres!$A$1:$I$89,3,0)*VLOOKUP('Données projet'!$B$15,Paramètres!$A$1:$I$89,5,0)</f>
        <v>23.707319999999264</v>
      </c>
      <c r="EL202" s="13">
        <f t="shared" si="179"/>
        <v>7.5578489536731341</v>
      </c>
      <c r="EM202" s="20">
        <f t="shared" si="180"/>
        <v>54.453502594312759</v>
      </c>
      <c r="EN202" s="59">
        <f t="shared" si="198"/>
        <v>346.09665904924776</v>
      </c>
      <c r="EO202" s="59">
        <f ca="1">AVERAGE(OFFSET($EN$3,0,0,'Données projet'!$E$15+1,1))-AVERAGE(OFFSET($H$3,0,0,'Données projet'!$E$15+1,1))</f>
        <v>767.9449852393318</v>
      </c>
      <c r="EP202" s="59">
        <f t="shared" si="210"/>
        <v>230.95605490295961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274.31571848976057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274.31571848976057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69.539042669527731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3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55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</v>
      </c>
      <c r="H203" s="66">
        <f t="shared" si="192"/>
        <v>212.66666666666666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188.98184340090461</v>
      </c>
      <c r="T203" s="59">
        <f t="shared" si="204"/>
        <v>450.74604661797798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20.879999999999939</v>
      </c>
      <c r="AJ203" s="13">
        <f>AI203*VLOOKUP('Données projet'!$B$10,Paramètres!$A$1:$I$89,3,0)*VLOOKUP('Données projet'!$B$10,Paramètres!$A$1:$I$89,5,0)</f>
        <v>18.892223999999942</v>
      </c>
      <c r="AK203" s="13">
        <f t="shared" si="164"/>
        <v>6.184089977612083</v>
      </c>
      <c r="AL203" s="20">
        <f t="shared" si="165"/>
        <v>43.674580177674272</v>
      </c>
      <c r="AM203" s="59">
        <f t="shared" si="193"/>
        <v>335.34705742278004</v>
      </c>
      <c r="AN203" s="59">
        <f ca="1">AVERAGE(OFFSET($AM$3,0,0,'Données projet'!$E$10+1,1))-AVERAGE(OFFSET($H$3,0,0,'Données projet'!$E$10+1,1))</f>
        <v>725.60981534362895</v>
      </c>
      <c r="AO203" s="59">
        <f t="shared" si="205"/>
        <v>265.16078167969272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157.84491417507604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157.84491417507604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149.89999999999998</v>
      </c>
      <c r="BE203" s="13">
        <f>BD203*VLOOKUP('Données projet'!$B$11,Paramètres!$A$1:$I$89,3,0)*VLOOKUP('Données projet'!$B$11,Paramètres!$A$1:$I$89,5,0)</f>
        <v>172.68479999999997</v>
      </c>
      <c r="BF203" s="13">
        <f t="shared" si="167"/>
        <v>43.690780005214812</v>
      </c>
      <c r="BG203" s="20">
        <f t="shared" si="168"/>
        <v>376.85413517574904</v>
      </c>
      <c r="BH203" s="59">
        <f t="shared" si="194"/>
        <v>668.5266124208548</v>
      </c>
      <c r="BI203" s="59">
        <f ca="1">AVERAGE(OFFSET($BH$3,0,0,'Données projet'!$E$11+1,1))-AVERAGE(OFFSET($H$3,0,0,'Données projet'!$E$11+1,1))</f>
        <v>332.93090933713466</v>
      </c>
      <c r="BJ203" s="59">
        <f t="shared" si="206"/>
        <v>251.83579649532973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7.676063768254302</v>
      </c>
      <c r="BQ203" s="21">
        <f>EXP(-LN(2)/25)*BQ202+(1-EXP(-LN(2)/25))/(LN(2)/25)*Calculateur!BL203*Calculateur!BN203*VLOOKUP('Données projet'!$B$11,Paramètres!$A$1:$I$89,3,0)*0.475*44/12</f>
        <v>6.2415457218808916E-2</v>
      </c>
      <c r="BR203" s="21">
        <f>EXP(-LN(2)/2)*BR202+(1-EXP(-LN(2)/2))/(LN(2)/2)*BL203*BO203*VLOOKUP('Données projet'!$B$11,Paramètres!$A$1:$I$89,3,0)*0.475*44/12</f>
        <v>6.9556087931847805E-29</v>
      </c>
      <c r="BS203" s="22">
        <f t="shared" si="169"/>
        <v>7.7384792254731112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21.709999999999326</v>
      </c>
      <c r="BZ203" s="13">
        <f>BY203*VLOOKUP('Données projet'!$B$12,Paramètres!$A$1:$I$89,3,0)*VLOOKUP('Données projet'!$B$12,Paramètres!$A$1:$I$89,5,0)</f>
        <v>24.723347999999234</v>
      </c>
      <c r="CA203" s="13">
        <f t="shared" si="170"/>
        <v>7.8433511535672826</v>
      </c>
      <c r="CB203" s="20">
        <f t="shared" si="171"/>
        <v>56.720334359128351</v>
      </c>
      <c r="CC203" s="59">
        <f t="shared" si="195"/>
        <v>348.39281160423411</v>
      </c>
      <c r="CD203" s="59">
        <f ca="1">AVERAGE(OFFSET($CC$3,0,0,'Données projet'!$E$12+1,1))-AVERAGE(OFFSET($H$3,0,0,'Données projet'!$E$12+1,1))</f>
        <v>797.57191672067393</v>
      </c>
      <c r="CE203" s="59">
        <f t="shared" si="207"/>
        <v>238.59056544987126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280.46240690479681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280.46240690479681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>
        <f>CT203*VLOOKUP('Données projet'!$B$13,Paramètres!$A$1:$I$89,3,0)*VLOOKUP('Données projet'!$B$13,Paramètres!$A$1:$I$89,5,0)</f>
        <v>0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188.98184340090461</v>
      </c>
      <c r="CZ203" s="59">
        <f t="shared" si="208"/>
        <v>450.74604661797798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1.2248496017149999</v>
      </c>
      <c r="DH203" s="21">
        <f>EXP(-LN(2)/2)*DH202+(1-EXP(-LN(2)/2))/(LN(2)/2)*DB203*DE203*VLOOKUP('Données projet'!$B$13,Paramètres!$A$1:$I$89,3,0)*0.475*44/12</f>
        <v>1.1622406145876957E-27</v>
      </c>
      <c r="DI203" s="22">
        <f t="shared" si="175"/>
        <v>1.2248496017149999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369.00000000000011</v>
      </c>
      <c r="DP203" s="17">
        <f>DO203*VLOOKUP('Données projet'!$B$14,Paramètres!$A$1:$I$89,3,0)*VLOOKUP('Données projet'!$B$14,Paramètres!$A$1:$I$89,5,0)</f>
        <v>333.87120000000004</v>
      </c>
      <c r="DQ203" s="13">
        <f t="shared" si="176"/>
        <v>78.232360111376309</v>
      </c>
      <c r="DR203" s="20">
        <f t="shared" si="177"/>
        <v>717.74703386064709</v>
      </c>
      <c r="DS203" s="59">
        <f t="shared" si="197"/>
        <v>1009.4195111057529</v>
      </c>
      <c r="DT203" s="59">
        <f ca="1">AVERAGE(OFFSET($DS$3,0,0,'Données projet'!$E$14+1,1))-AVERAGE(OFFSET($H$3,0,0,'Données projet'!$E$14+1,1))</f>
        <v>442.34161202733173</v>
      </c>
      <c r="DU203" s="59">
        <f t="shared" si="209"/>
        <v>622.90413492324399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0.36473560384248932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0.36473560384248932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21.709999999999326</v>
      </c>
      <c r="EK203" s="17">
        <f>EJ203*VLOOKUP('Données projet'!$B$15,Paramètres!$A$1:$I$89,3,0)*VLOOKUP('Données projet'!$B$15,Paramètres!$A$1:$I$89,5,0)</f>
        <v>23.707319999999264</v>
      </c>
      <c r="EL203" s="13">
        <f t="shared" si="179"/>
        <v>7.5578489536731341</v>
      </c>
      <c r="EM203" s="20">
        <f t="shared" si="180"/>
        <v>54.453502594312759</v>
      </c>
      <c r="EN203" s="59">
        <f t="shared" si="198"/>
        <v>346.12597983941851</v>
      </c>
      <c r="EO203" s="59">
        <f ca="1">AVERAGE(OFFSET($EN$3,0,0,'Données projet'!$E$15+1,1))-AVERAGE(OFFSET($H$3,0,0,'Données projet'!$E$15+1,1))</f>
        <v>767.9449852393318</v>
      </c>
      <c r="EP203" s="59">
        <f t="shared" si="210"/>
        <v>230.95605490295961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268.93655456624356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268.93655456624356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69.547039248665214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1.1690615875887691</v>
      </c>
      <c r="BA205" s="81">
        <f>EXP(LN('Données projet'!B88)/'Données projet'!A88)</f>
        <v>1.3597071306791426</v>
      </c>
      <c r="BV205" s="81">
        <f>EXP(LN('Données projet'!B114)/'Données projet'!A114)</f>
        <v>1.1549646791293957</v>
      </c>
      <c r="CQ205" s="81">
        <f>EXP(LN('Données projet'!B140)/'Données projet'!A140)</f>
        <v>1.4943820583928935</v>
      </c>
      <c r="DL205" s="81">
        <f>EXP(LN('Données projet'!B166)/'Données projet'!A166)</f>
        <v>2.1016324782757847</v>
      </c>
      <c r="EG205" s="81">
        <f>EXP(LN('Données projet'!B192)/'Données projet'!A192)</f>
        <v>1.1549646791293957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1.2400000000000002</v>
      </c>
      <c r="C6" s="145">
        <f ca="1">IF(OR('Données projet'!B9="",'Données projet'!C9="",'Données projet'!C9=0%),0,Calculateur!S3)</f>
        <v>188.98184340090461</v>
      </c>
      <c r="D6" s="145">
        <f>IF(OR('Données projet'!B9="",'Données projet'!C9="",'Données projet'!C9=0%),0,Calculateur!T3)</f>
        <v>450.74604661797798</v>
      </c>
      <c r="E6" s="145">
        <f ca="1">MIN(C6,D6)</f>
        <v>188.98184340090461</v>
      </c>
      <c r="F6" s="145">
        <f ca="1">E6*B6</f>
        <v>234.33748581712175</v>
      </c>
      <c r="G6" s="145">
        <f ca="1">F6*(100%-'Données projet'!$C$24)*(100%-'Données projet'!$C$25)*(100%-'Données projet'!$C$26)*(100%-'Données projet'!$C$27)</f>
        <v>200.3585503736391</v>
      </c>
      <c r="H6" s="146">
        <f>IF(OR('Données projet'!B9="",'Données projet'!C9="",'Données projet'!C9=0%),0,AVERAGE(Calculateur!$AC$3:$AC$33)*B6)</f>
        <v>21.410747785245068</v>
      </c>
      <c r="I6" s="147">
        <f>H6*(100%-'Données projet'!$C$24)*(100%-'Données projet'!$C$25)*(100%-'Données projet'!$C$26)*(100%-'Données projet'!$C$27)</f>
        <v>18.306189356384532</v>
      </c>
      <c r="J6" s="148">
        <f>IF(OR('Données projet'!B9="",'Données projet'!C9="",'Données projet'!C9=0%),0,SUM(Calculateur!$V$3:$V$33)*VLOOKUP('Données projet'!$B$9,Paramètres!$A$1:$I$89,9,0)*B6)</f>
        <v>323.36720000000003</v>
      </c>
      <c r="K6" s="149">
        <f>J6*(100%-'Données projet'!$C$24)*(100%-'Données projet'!$C$25)*(100%-'Données projet'!$C$26)*(100%-'Données projet'!$C$27)</f>
        <v>276.47895599999998</v>
      </c>
      <c r="L6" s="150">
        <f ca="1">G6+I6+K6</f>
        <v>495.14369573002364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 sessile</v>
      </c>
      <c r="B7" s="152">
        <f>'Données projet'!D10</f>
        <v>0.31000000000000005</v>
      </c>
      <c r="C7" s="145">
        <f ca="1">IF(OR('Données projet'!B10="",'Données projet'!C10="",'Données projet'!C10=0%),0,Calculateur!AN3)</f>
        <v>725.60981534362895</v>
      </c>
      <c r="D7" s="145">
        <f>IF(OR('Données projet'!B10="",'Données projet'!C10="",'Données projet'!C10=0%),0,Calculateur!AO3)</f>
        <v>265.16078167969272</v>
      </c>
      <c r="E7" s="145">
        <f t="shared" ref="E7:E15" ca="1" si="0">MIN(C7,D7)</f>
        <v>265.16078167969272</v>
      </c>
      <c r="F7" s="145">
        <f t="shared" ref="F7:F15" ca="1" si="1">E7*B7</f>
        <v>82.199842320704761</v>
      </c>
      <c r="G7" s="145">
        <f ca="1">F7*(100%-'Données projet'!$C$24)*(100%-'Données projet'!$C$25)*(100%-'Données projet'!$C$26)*(100%-'Données projet'!$C$27)</f>
        <v>70.280865184202568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70.280865184202568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Pin pignon</v>
      </c>
      <c r="B8" s="152">
        <f>'Données projet'!D11</f>
        <v>1.1599999999999999</v>
      </c>
      <c r="C8" s="145">
        <f ca="1">IF(OR('Données projet'!B11="",'Données projet'!C11="",'Données projet'!C11=0%),0,Calculateur!BI3)</f>
        <v>332.93090933713466</v>
      </c>
      <c r="D8" s="145">
        <f>IF(OR('Données projet'!B11="",'Données projet'!C11="",'Données projet'!C11=0%),0,Calculateur!BJ3)</f>
        <v>251.83579649532973</v>
      </c>
      <c r="E8" s="145">
        <f t="shared" ca="1" si="0"/>
        <v>251.83579649532973</v>
      </c>
      <c r="F8" s="145">
        <f t="shared" ca="1" si="1"/>
        <v>292.12952393458249</v>
      </c>
      <c r="G8" s="145">
        <f ca="1">F8*(100%-'Données projet'!$C$24)*(100%-'Données projet'!$C$25)*(100%-'Données projet'!$C$26)*(100%-'Données projet'!$C$27)</f>
        <v>249.77074296406803</v>
      </c>
      <c r="H8" s="153">
        <f>IF(OR('Données projet'!B11="",'Données projet'!C11="",'Données projet'!C11=0%),0,AVERAGE(Calculateur!$BS$3:$BS$33)*B8)</f>
        <v>1.7062126957380694</v>
      </c>
      <c r="I8" s="147">
        <f>H8*(100%-'Données projet'!$C$24)*(100%-'Données projet'!$C$25)*(100%-'Données projet'!$C$26)*(100%-'Données projet'!$C$27)</f>
        <v>1.4588118548560494</v>
      </c>
      <c r="J8" s="148">
        <f>IF(OR('Données projet'!B11="",'Données projet'!C11="",'Données projet'!C11=0%),0,SUM(Calculateur!$BL$3:$BL$33)*VLOOKUP('Données projet'!$B$11,Paramètres!$A$1:$I$89,9,0)*B8)</f>
        <v>12.370239999999999</v>
      </c>
      <c r="K8" s="149">
        <f>J8*(100%-'Données projet'!$C$24)*(100%-'Données projet'!$C$25)*(100%-'Données projet'!$C$26)*(100%-'Données projet'!$C$27)</f>
        <v>10.576555199999998</v>
      </c>
      <c r="L8" s="150">
        <f t="shared" ca="1" si="2"/>
        <v>261.80611001892407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vert</v>
      </c>
      <c r="B9" s="152">
        <f>'Données projet'!D12</f>
        <v>0.76900000000000002</v>
      </c>
      <c r="C9" s="145">
        <f ca="1">IF(OR('Données projet'!B12="",'Données projet'!C12="",'Données projet'!C12=0%),0,Calculateur!CD3)</f>
        <v>797.57191672067393</v>
      </c>
      <c r="D9" s="145">
        <f>IF(OR('Données projet'!B12="",'Données projet'!C12="",'Données projet'!C12=0%),0,Calculateur!CE3)</f>
        <v>238.59056544987126</v>
      </c>
      <c r="E9" s="145">
        <f t="shared" ca="1" si="0"/>
        <v>238.59056544987126</v>
      </c>
      <c r="F9" s="145">
        <f t="shared" ca="1" si="1"/>
        <v>183.476144830951</v>
      </c>
      <c r="G9" s="145">
        <f ca="1">F9*(100%-'Données projet'!$C$24)*(100%-'Données projet'!$C$25)*(100%-'Données projet'!$C$26)*(100%-'Données projet'!$C$27)</f>
        <v>156.87210383046309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ca="1" si="2"/>
        <v>156.87210383046309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Pin maritime</v>
      </c>
      <c r="B10" s="152">
        <f>'Données projet'!D13</f>
        <v>1.9280000000000002</v>
      </c>
      <c r="C10" s="145">
        <f ca="1">IF(OR('Données projet'!B13="",'Données projet'!C13="",'Données projet'!C13=0%),0,Calculateur!CY3)</f>
        <v>188.98184340090461</v>
      </c>
      <c r="D10" s="145">
        <f>IF(OR('Données projet'!B13="",'Données projet'!C13="",'Données projet'!C13=0%),0,Calculateur!CZ3)</f>
        <v>450.74604661797798</v>
      </c>
      <c r="E10" s="145">
        <f t="shared" ca="1" si="0"/>
        <v>188.98184340090461</v>
      </c>
      <c r="F10" s="145">
        <f t="shared" ca="1" si="1"/>
        <v>364.35699407694409</v>
      </c>
      <c r="G10" s="145">
        <f ca="1">F10*(100%-'Données projet'!$C$24)*(100%-'Données projet'!$C$25)*(100%-'Données projet'!$C$26)*(100%-'Données projet'!$C$27)</f>
        <v>311.52522993578719</v>
      </c>
      <c r="H10" s="153">
        <f>IF(OR('Données projet'!B13="",'Données projet'!C13="",'Données projet'!C13=0%),0,AVERAGE(Calculateur!$DI$3:$DI$33)*B10)</f>
        <v>32.902963536347457</v>
      </c>
      <c r="I10" s="147">
        <f>H10*(100%-'Données projet'!$C$24)*(100%-'Données projet'!$C$25)*(100%-'Données projet'!$C$26)*(100%-'Données projet'!$C$27)</f>
        <v>28.132033823577075</v>
      </c>
      <c r="J10" s="148">
        <f>IF(OR('Données projet'!B13="",'Données projet'!C13="",'Données projet'!C13=0%),0,SUM(Calculateur!$DB$3:$DB$33)*VLOOKUP('Données projet'!$B$13,Paramètres!$A$1:$I$89,9,0)*B10)</f>
        <v>502.78384</v>
      </c>
      <c r="K10" s="149">
        <f>J10*(100%-'Données projet'!$C$24)*(100%-'Données projet'!$C$25)*(100%-'Données projet'!$C$26)*(100%-'Données projet'!$C$27)</f>
        <v>429.88018319999998</v>
      </c>
      <c r="L10" s="150">
        <f t="shared" ca="1" si="2"/>
        <v>769.53744695936416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Robinier faux-acacia</v>
      </c>
      <c r="B11" s="152">
        <f>'Données projet'!D14</f>
        <v>0.95200000000000007</v>
      </c>
      <c r="C11" s="145">
        <f ca="1">IF(OR('Données projet'!B14="",'Données projet'!C14="",'Données projet'!C14=0%),0,Calculateur!DT3)</f>
        <v>442.34161202733173</v>
      </c>
      <c r="D11" s="145">
        <f>IF(OR('Données projet'!B14="",'Données projet'!C14="",'Données projet'!C14=0%),0,Calculateur!DU3)</f>
        <v>622.90413492324399</v>
      </c>
      <c r="E11" s="145">
        <f t="shared" ca="1" si="0"/>
        <v>442.34161202733173</v>
      </c>
      <c r="F11" s="145">
        <f t="shared" ca="1" si="1"/>
        <v>421.10921465001985</v>
      </c>
      <c r="G11" s="145">
        <f ca="1">F11*(100%-'Données projet'!$C$24)*(100%-'Données projet'!$C$25)*(100%-'Données projet'!$C$26)*(100%-'Données projet'!$C$27)</f>
        <v>360.04837852576696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30.702000000000002</v>
      </c>
      <c r="K11" s="149">
        <f>J11*(100%-'Données projet'!$C$24)*(100%-'Données projet'!$C$25)*(100%-'Données projet'!$C$26)*(100%-'Données projet'!$C$27)</f>
        <v>26.250209999999999</v>
      </c>
      <c r="L11" s="150">
        <f t="shared" ca="1" si="2"/>
        <v>386.29858852576695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>Chêne-liège</v>
      </c>
      <c r="B12" s="152">
        <f>'Données projet'!D15</f>
        <v>0.24100000000000002</v>
      </c>
      <c r="C12" s="145">
        <f ca="1">IF(OR('Données projet'!B15="",'Données projet'!C15="",'Données projet'!C15=0%),0,Calculateur!EO3)</f>
        <v>767.9449852393318</v>
      </c>
      <c r="D12" s="145">
        <f>IF(OR('Données projet'!B15="",'Données projet'!C15="",'Données projet'!C15=0%),0,Calculateur!EP3)</f>
        <v>230.95605490295961</v>
      </c>
      <c r="E12" s="145">
        <f t="shared" ca="1" si="0"/>
        <v>230.95605490295961</v>
      </c>
      <c r="F12" s="145">
        <f t="shared" ca="1" si="1"/>
        <v>55.660409231613272</v>
      </c>
      <c r="G12" s="145">
        <f ca="1">F12*(100%-'Données projet'!$C$24)*(100%-'Données projet'!$C$25)*(100%-'Données projet'!$C$26)*(100%-'Données projet'!$C$27)</f>
        <v>47.589649893029346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ca="1" si="2"/>
        <v>47.589649893029346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1633.2696148619373</v>
      </c>
      <c r="G16" s="164">
        <f t="shared" ca="1" si="3"/>
        <v>1396.4455207069564</v>
      </c>
      <c r="H16" s="165">
        <f t="shared" si="3"/>
        <v>56.019924017330595</v>
      </c>
      <c r="I16" s="165">
        <f t="shared" si="3"/>
        <v>47.897035034817655</v>
      </c>
      <c r="J16" s="166">
        <f t="shared" si="3"/>
        <v>869.22328000000005</v>
      </c>
      <c r="K16" s="166">
        <f t="shared" si="3"/>
        <v>743.18590439999991</v>
      </c>
      <c r="L16" s="167">
        <f t="shared" ca="1" si="3"/>
        <v>2187.5284601417738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Pin pignon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Pin maritime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Robinier faux-acacia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>Chêne-liège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K11" zoomScale="90" zoomScaleNormal="90" workbookViewId="0">
      <selection activeCell="I23" sqref="I23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3344.7347805253326</v>
      </c>
      <c r="U10" s="176">
        <f>'Données projet'!D9</f>
        <v>1.2400000000000002</v>
      </c>
      <c r="V10" s="175">
        <f>U10*T10</f>
        <v>4147.4711278514133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 sessile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5041.8614367566352</v>
      </c>
      <c r="U11" s="176">
        <f>'Données projet'!D10</f>
        <v>0.31000000000000005</v>
      </c>
      <c r="V11" s="175">
        <f t="shared" ref="V11" si="0">U11*T11</f>
        <v>1562.9770453945571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Pin pignon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-1925.3475355130142</v>
      </c>
      <c r="U12" s="176">
        <f>'Données projet'!D11</f>
        <v>1.1599999999999999</v>
      </c>
      <c r="V12" s="175">
        <f t="shared" ref="V12:V19" si="1">U12*T12</f>
        <v>-2233.4031411950964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vert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-1168.7052134853402</v>
      </c>
      <c r="U13" s="176">
        <f>'Données projet'!D12</f>
        <v>0.76900000000000002</v>
      </c>
      <c r="V13" s="175">
        <f t="shared" si="1"/>
        <v>-898.73430917022665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Pin maritime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-274.08884446025013</v>
      </c>
      <c r="U14" s="176">
        <f>'Données projet'!D13</f>
        <v>1.9280000000000002</v>
      </c>
      <c r="V14" s="175">
        <f t="shared" si="1"/>
        <v>-528.44329211936224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Robinier faux-acacia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-555.2649403038522</v>
      </c>
      <c r="U15" s="176">
        <f>'Données projet'!D14</f>
        <v>0.95200000000000007</v>
      </c>
      <c r="V15" s="175">
        <f t="shared" si="1"/>
        <v>-528.61222316926728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>Chêne-liège</v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-1163.6652134853402</v>
      </c>
      <c r="U16" s="176">
        <f>'Données projet'!D15</f>
        <v>0.24100000000000002</v>
      </c>
      <c r="V16" s="175">
        <f t="shared" si="1"/>
        <v>-280.44331644996703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2430.1999999999998</v>
      </c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>
        <v>3341.44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858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858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-31417.235045146037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>
        <v>15</v>
      </c>
      <c r="D24" s="180">
        <f t="shared" ref="D24:D42" si="2">B24*C24</f>
        <v>510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2">
        <f ca="1">T23-T24</f>
        <v>-31417.235045146037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est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>
        <v>24</v>
      </c>
      <c r="D29" s="180">
        <f t="shared" si="2"/>
        <v>1032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>
        <v>36.6</v>
      </c>
      <c r="D34" s="180">
        <f t="shared" si="2"/>
        <v>2049.6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>
        <v>51</v>
      </c>
      <c r="D42" s="180">
        <f t="shared" si="2"/>
        <v>15759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 sessile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2428.85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30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34</v>
      </c>
      <c r="B55" s="179">
        <f>'Données projet'!D63</f>
        <v>35.450000000000003</v>
      </c>
      <c r="C55" s="189">
        <v>225</v>
      </c>
      <c r="D55" s="177">
        <f t="shared" ref="D55:D73" si="4">B55*C55</f>
        <v>7976.2500000000009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42</v>
      </c>
      <c r="B56" s="179">
        <f>'Données projet'!D64</f>
        <v>55.41</v>
      </c>
      <c r="C56" s="189">
        <v>225</v>
      </c>
      <c r="D56" s="177">
        <f t="shared" si="4"/>
        <v>12467.25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50</v>
      </c>
      <c r="B57" s="179">
        <f>'Données projet'!D65</f>
        <v>66.62</v>
      </c>
      <c r="C57" s="189">
        <v>225</v>
      </c>
      <c r="D57" s="177">
        <f t="shared" si="4"/>
        <v>14989.500000000002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58</v>
      </c>
      <c r="B58" s="179">
        <f>'Données projet'!D66</f>
        <v>62.16</v>
      </c>
      <c r="C58" s="189">
        <v>225</v>
      </c>
      <c r="D58" s="177">
        <f t="shared" si="4"/>
        <v>13986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66</v>
      </c>
      <c r="B59" s="179">
        <f>'Données projet'!D67</f>
        <v>71.34</v>
      </c>
      <c r="C59" s="189">
        <v>225</v>
      </c>
      <c r="D59" s="177">
        <f t="shared" si="4"/>
        <v>16051.5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74</v>
      </c>
      <c r="B60" s="179">
        <f>'Données projet'!D68</f>
        <v>70.209999999999994</v>
      </c>
      <c r="C60" s="189">
        <v>225</v>
      </c>
      <c r="D60" s="177">
        <f t="shared" si="4"/>
        <v>15797.249999999998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82</v>
      </c>
      <c r="B61" s="179">
        <f>'Données projet'!D69</f>
        <v>53.92</v>
      </c>
      <c r="C61" s="189">
        <v>225</v>
      </c>
      <c r="D61" s="177">
        <f t="shared" si="4"/>
        <v>12132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90</v>
      </c>
      <c r="B62" s="179">
        <f>'Données projet'!D70</f>
        <v>63.25</v>
      </c>
      <c r="C62" s="189">
        <v>225</v>
      </c>
      <c r="D62" s="177">
        <f t="shared" si="4"/>
        <v>14231.25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100</v>
      </c>
      <c r="B63" s="179">
        <f>'Données projet'!D71</f>
        <v>85.23</v>
      </c>
      <c r="C63" s="189">
        <v>225</v>
      </c>
      <c r="D63" s="177">
        <f t="shared" si="4"/>
        <v>19176.75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110</v>
      </c>
      <c r="B64" s="179">
        <f>'Données projet'!D72</f>
        <v>67.22</v>
      </c>
      <c r="C64" s="189">
        <v>225</v>
      </c>
      <c r="D64" s="177">
        <f t="shared" si="4"/>
        <v>15124.5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120</v>
      </c>
      <c r="B65" s="179">
        <f>'Données projet'!D73</f>
        <v>60.46</v>
      </c>
      <c r="C65" s="189">
        <v>225</v>
      </c>
      <c r="D65" s="177">
        <f t="shared" si="4"/>
        <v>13603.5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130</v>
      </c>
      <c r="B66" s="179">
        <f>'Données projet'!D74</f>
        <v>69</v>
      </c>
      <c r="C66" s="189">
        <v>225</v>
      </c>
      <c r="D66" s="177">
        <f t="shared" si="4"/>
        <v>15525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140</v>
      </c>
      <c r="B67" s="179">
        <f>'Données projet'!D75</f>
        <v>67.930000000000007</v>
      </c>
      <c r="C67" s="189">
        <v>225</v>
      </c>
      <c r="D67" s="177">
        <f t="shared" si="4"/>
        <v>15284.250000000002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150</v>
      </c>
      <c r="B68" s="179">
        <f>'Données projet'!D76</f>
        <v>234.51</v>
      </c>
      <c r="C68" s="189">
        <v>225</v>
      </c>
      <c r="D68" s="177">
        <f t="shared" si="4"/>
        <v>52764.75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153</v>
      </c>
      <c r="B69" s="179">
        <f>'Données projet'!D77</f>
        <v>141.22</v>
      </c>
      <c r="C69" s="189">
        <v>225</v>
      </c>
      <c r="D69" s="177">
        <f t="shared" si="4"/>
        <v>31774.5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156</v>
      </c>
      <c r="B70" s="179">
        <f>'Données projet'!D78</f>
        <v>87.28</v>
      </c>
      <c r="C70" s="189">
        <v>225</v>
      </c>
      <c r="D70" s="177">
        <f t="shared" si="4"/>
        <v>19638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159</v>
      </c>
      <c r="B71" s="179">
        <f>'Données projet'!D79</f>
        <v>180.6</v>
      </c>
      <c r="C71" s="189">
        <v>225</v>
      </c>
      <c r="D71" s="177">
        <f t="shared" si="4"/>
        <v>40635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Pin pignon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>
        <v>2434.84</v>
      </c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10</v>
      </c>
      <c r="B85" s="179">
        <f>'Données projet'!D88</f>
        <v>3.9</v>
      </c>
      <c r="C85" s="189">
        <v>15</v>
      </c>
      <c r="D85" s="177">
        <f>B85*C85</f>
        <v>58.5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20</v>
      </c>
      <c r="B86" s="179">
        <f>'Données projet'!D89</f>
        <v>8.9</v>
      </c>
      <c r="C86" s="189">
        <v>15</v>
      </c>
      <c r="D86" s="177">
        <f t="shared" ref="D86:D104" si="6">B86*C86</f>
        <v>133.5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30</v>
      </c>
      <c r="B87" s="179">
        <f>'Données projet'!D90</f>
        <v>12</v>
      </c>
      <c r="C87" s="189">
        <v>15</v>
      </c>
      <c r="D87" s="177">
        <f t="shared" si="6"/>
        <v>180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40</v>
      </c>
      <c r="B88" s="179">
        <f>'Données projet'!D91</f>
        <v>14.5</v>
      </c>
      <c r="C88" s="189">
        <v>51</v>
      </c>
      <c r="D88" s="177">
        <f t="shared" si="6"/>
        <v>739.5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50</v>
      </c>
      <c r="B89" s="179">
        <f>'Données projet'!D92</f>
        <v>15.1</v>
      </c>
      <c r="C89" s="189">
        <v>51</v>
      </c>
      <c r="D89" s="177">
        <f t="shared" si="6"/>
        <v>770.1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60</v>
      </c>
      <c r="B90" s="179">
        <f>'Données projet'!D93</f>
        <v>16.100000000000001</v>
      </c>
      <c r="C90" s="189">
        <v>51</v>
      </c>
      <c r="D90" s="177">
        <f t="shared" si="6"/>
        <v>821.1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70</v>
      </c>
      <c r="B91" s="179">
        <f>'Données projet'!D94</f>
        <v>15.7</v>
      </c>
      <c r="C91" s="189">
        <v>51</v>
      </c>
      <c r="D91" s="177">
        <f t="shared" si="6"/>
        <v>800.69999999999993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80</v>
      </c>
      <c r="B92" s="179">
        <f>'Données projet'!D95</f>
        <v>16.100000000000001</v>
      </c>
      <c r="C92" s="189">
        <v>51</v>
      </c>
      <c r="D92" s="177">
        <f t="shared" si="6"/>
        <v>821.1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90</v>
      </c>
      <c r="B93" s="179">
        <f>'Données projet'!D96</f>
        <v>15.4</v>
      </c>
      <c r="C93" s="189">
        <v>51</v>
      </c>
      <c r="D93" s="177">
        <f t="shared" si="6"/>
        <v>785.4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100</v>
      </c>
      <c r="B94" s="179">
        <f>'Données projet'!D97</f>
        <v>14.6</v>
      </c>
      <c r="C94" s="189">
        <v>51</v>
      </c>
      <c r="D94" s="177">
        <f t="shared" si="6"/>
        <v>744.6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110</v>
      </c>
      <c r="B95" s="179">
        <f>'Données projet'!D98</f>
        <v>13.9</v>
      </c>
      <c r="C95" s="189">
        <v>51</v>
      </c>
      <c r="D95" s="177">
        <f t="shared" si="6"/>
        <v>708.9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120</v>
      </c>
      <c r="B96" s="179">
        <f>'Données projet'!D99</f>
        <v>13.2</v>
      </c>
      <c r="C96" s="189">
        <v>51</v>
      </c>
      <c r="D96" s="177">
        <f t="shared" si="6"/>
        <v>673.19999999999993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130</v>
      </c>
      <c r="B97" s="179">
        <f>'Données projet'!D100</f>
        <v>12.5</v>
      </c>
      <c r="C97" s="189">
        <v>51</v>
      </c>
      <c r="D97" s="177">
        <f t="shared" si="6"/>
        <v>637.5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140</v>
      </c>
      <c r="B98" s="179">
        <f>'Données projet'!D101</f>
        <v>11.8</v>
      </c>
      <c r="C98" s="189">
        <v>51</v>
      </c>
      <c r="D98" s="177">
        <f t="shared" si="6"/>
        <v>601.80000000000007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150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vert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>
        <v>2439.66</v>
      </c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30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42</v>
      </c>
      <c r="B117" s="179">
        <f>'Données projet'!D115</f>
        <v>43.21</v>
      </c>
      <c r="C117" s="189">
        <v>55</v>
      </c>
      <c r="D117" s="177">
        <f t="shared" ref="D117:D135" si="8">B117*C117</f>
        <v>2376.5500000000002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50</v>
      </c>
      <c r="B118" s="179">
        <f>'Données projet'!D116</f>
        <v>35.58</v>
      </c>
      <c r="C118" s="189">
        <v>55</v>
      </c>
      <c r="D118" s="177">
        <f t="shared" si="8"/>
        <v>1956.8999999999999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58</v>
      </c>
      <c r="B119" s="179">
        <f>'Données projet'!D117</f>
        <v>44.93</v>
      </c>
      <c r="C119" s="189">
        <v>55</v>
      </c>
      <c r="D119" s="177">
        <f t="shared" si="8"/>
        <v>2471.15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66</v>
      </c>
      <c r="B120" s="179">
        <f>'Données projet'!D118</f>
        <v>49.91</v>
      </c>
      <c r="C120" s="189">
        <v>55</v>
      </c>
      <c r="D120" s="177">
        <f t="shared" si="8"/>
        <v>2745.0499999999997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74</v>
      </c>
      <c r="B121" s="179">
        <f>'Données projet'!D119</f>
        <v>47.4</v>
      </c>
      <c r="C121" s="189">
        <v>55</v>
      </c>
      <c r="D121" s="177">
        <f t="shared" si="8"/>
        <v>2607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84</v>
      </c>
      <c r="B122" s="179">
        <f>'Données projet'!D120</f>
        <v>61.47</v>
      </c>
      <c r="C122" s="189">
        <v>55</v>
      </c>
      <c r="D122" s="177">
        <f t="shared" si="8"/>
        <v>3380.85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94</v>
      </c>
      <c r="B123" s="179">
        <f>'Données projet'!D121</f>
        <v>61.85</v>
      </c>
      <c r="C123" s="189">
        <v>55</v>
      </c>
      <c r="D123" s="177">
        <f t="shared" si="8"/>
        <v>3401.75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104</v>
      </c>
      <c r="B124" s="179">
        <f>'Données projet'!D122</f>
        <v>60.19</v>
      </c>
      <c r="C124" s="189">
        <v>55</v>
      </c>
      <c r="D124" s="177">
        <f t="shared" si="8"/>
        <v>3310.45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114</v>
      </c>
      <c r="B125" s="179">
        <f>'Données projet'!D123</f>
        <v>56.07</v>
      </c>
      <c r="C125" s="189">
        <v>55</v>
      </c>
      <c r="D125" s="177">
        <f t="shared" si="8"/>
        <v>3083.85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124</v>
      </c>
      <c r="B126" s="179">
        <f>'Données projet'!D124</f>
        <v>52.53</v>
      </c>
      <c r="C126" s="189">
        <v>55</v>
      </c>
      <c r="D126" s="177">
        <f t="shared" si="8"/>
        <v>2889.15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134</v>
      </c>
      <c r="B127" s="179">
        <f>'Données projet'!D125</f>
        <v>54.95</v>
      </c>
      <c r="C127" s="189">
        <v>55</v>
      </c>
      <c r="D127" s="177">
        <f t="shared" si="8"/>
        <v>3022.25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144</v>
      </c>
      <c r="B128" s="179">
        <f>'Données projet'!D126</f>
        <v>56.01</v>
      </c>
      <c r="C128" s="189">
        <v>55</v>
      </c>
      <c r="D128" s="177">
        <f t="shared" si="8"/>
        <v>3080.5499999999997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154</v>
      </c>
      <c r="B129" s="179">
        <f>'Données projet'!D127</f>
        <v>55.13</v>
      </c>
      <c r="C129" s="189">
        <v>55</v>
      </c>
      <c r="D129" s="177">
        <f t="shared" si="8"/>
        <v>3032.15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164</v>
      </c>
      <c r="B130" s="179">
        <f>'Données projet'!D128</f>
        <v>59.58</v>
      </c>
      <c r="C130" s="189">
        <v>55</v>
      </c>
      <c r="D130" s="177">
        <f t="shared" si="8"/>
        <v>3276.9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174</v>
      </c>
      <c r="B131" s="179">
        <f>'Données projet'!D129</f>
        <v>214.77</v>
      </c>
      <c r="C131" s="189">
        <v>55</v>
      </c>
      <c r="D131" s="177">
        <f t="shared" si="8"/>
        <v>11812.35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177</v>
      </c>
      <c r="B132" s="179">
        <f>'Données projet'!D130</f>
        <v>115.19</v>
      </c>
      <c r="C132" s="189">
        <v>55</v>
      </c>
      <c r="D132" s="177">
        <f t="shared" si="8"/>
        <v>6335.45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180</v>
      </c>
      <c r="B133" s="179">
        <f>'Données projet'!D131</f>
        <v>77.72</v>
      </c>
      <c r="C133" s="189">
        <v>55</v>
      </c>
      <c r="D133" s="177">
        <f t="shared" si="8"/>
        <v>4274.6000000000004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183</v>
      </c>
      <c r="B134" s="179">
        <f>'Données projet'!D132</f>
        <v>169.76</v>
      </c>
      <c r="C134" s="189">
        <v>55</v>
      </c>
      <c r="D134" s="177">
        <f t="shared" si="8"/>
        <v>9336.7999999999993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Pin maritime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>
        <v>2436.5100000000002</v>
      </c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11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12</v>
      </c>
      <c r="B148" s="173">
        <f>'Données projet'!D141</f>
        <v>34</v>
      </c>
      <c r="C148" s="189">
        <v>15</v>
      </c>
      <c r="D148" s="180">
        <f t="shared" ref="D148:D166" si="10">B148*C148</f>
        <v>510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13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14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15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16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17</v>
      </c>
      <c r="B153" s="173">
        <f>'Données projet'!D146</f>
        <v>43</v>
      </c>
      <c r="C153" s="189">
        <v>15</v>
      </c>
      <c r="D153" s="180">
        <f t="shared" si="10"/>
        <v>645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18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19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20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21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22</v>
      </c>
      <c r="B158" s="173">
        <f>'Données projet'!D151</f>
        <v>56</v>
      </c>
      <c r="C158" s="189">
        <v>15</v>
      </c>
      <c r="D158" s="180">
        <f t="shared" si="10"/>
        <v>840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23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24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25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26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27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28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29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30</v>
      </c>
      <c r="B166" s="173">
        <f>'Données projet'!D159</f>
        <v>309</v>
      </c>
      <c r="C166" s="189">
        <v>15</v>
      </c>
      <c r="D166" s="180">
        <f t="shared" si="10"/>
        <v>4635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Robinier faux-acacia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>
        <v>2450.63</v>
      </c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5</v>
      </c>
      <c r="B178" s="179">
        <f>'Données projet'!D166</f>
        <v>8</v>
      </c>
      <c r="C178" s="191">
        <v>25</v>
      </c>
      <c r="D178" s="177">
        <f>B178*C178</f>
        <v>200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10</v>
      </c>
      <c r="B179" s="179">
        <f>'Données projet'!D167</f>
        <v>37</v>
      </c>
      <c r="C179" s="191">
        <v>25</v>
      </c>
      <c r="D179" s="177">
        <f t="shared" ref="D179:D197" si="11">B179*C179</f>
        <v>925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15</v>
      </c>
      <c r="B180" s="179">
        <f>'Données projet'!D168</f>
        <v>29</v>
      </c>
      <c r="C180" s="191">
        <v>25</v>
      </c>
      <c r="D180" s="177">
        <f t="shared" si="11"/>
        <v>725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20</v>
      </c>
      <c r="B181" s="179">
        <f>'Données projet'!D169</f>
        <v>23</v>
      </c>
      <c r="C181" s="191">
        <v>25</v>
      </c>
      <c r="D181" s="177">
        <f t="shared" si="11"/>
        <v>575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25</v>
      </c>
      <c r="B182" s="179">
        <f>'Données projet'!D170</f>
        <v>18</v>
      </c>
      <c r="C182" s="191">
        <v>25</v>
      </c>
      <c r="D182" s="177">
        <f t="shared" si="11"/>
        <v>450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30</v>
      </c>
      <c r="B183" s="179">
        <f>'Données projet'!D171</f>
        <v>14</v>
      </c>
      <c r="C183" s="191">
        <v>25</v>
      </c>
      <c r="D183" s="177">
        <f t="shared" si="11"/>
        <v>350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35</v>
      </c>
      <c r="B184" s="179">
        <f>'Données projet'!D172</f>
        <v>11</v>
      </c>
      <c r="C184" s="191">
        <v>55</v>
      </c>
      <c r="D184" s="177">
        <f t="shared" si="11"/>
        <v>605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40</v>
      </c>
      <c r="B185" s="179">
        <f>'Données projet'!D173</f>
        <v>9</v>
      </c>
      <c r="C185" s="191">
        <v>55</v>
      </c>
      <c r="D185" s="177">
        <f t="shared" si="11"/>
        <v>495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45</v>
      </c>
      <c r="B186" s="179">
        <f>'Données projet'!D174</f>
        <v>9</v>
      </c>
      <c r="C186" s="191">
        <v>55</v>
      </c>
      <c r="D186" s="177">
        <f t="shared" si="11"/>
        <v>495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>Chêne-liège</v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>
        <v>2434.62</v>
      </c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30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42</v>
      </c>
      <c r="B210" s="179">
        <f>'Données projet'!D193</f>
        <v>43.21</v>
      </c>
      <c r="C210" s="191">
        <v>55</v>
      </c>
      <c r="D210" s="177">
        <f t="shared" ref="D210:D228" si="12">B210*C210</f>
        <v>2376.5500000000002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50</v>
      </c>
      <c r="B211" s="179">
        <f>'Données projet'!D194</f>
        <v>35.58</v>
      </c>
      <c r="C211" s="191">
        <v>55</v>
      </c>
      <c r="D211" s="177">
        <f t="shared" si="12"/>
        <v>1956.8999999999999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58</v>
      </c>
      <c r="B212" s="179">
        <f>'Données projet'!D195</f>
        <v>44.93</v>
      </c>
      <c r="C212" s="191">
        <v>55</v>
      </c>
      <c r="D212" s="177">
        <f t="shared" si="12"/>
        <v>2471.15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66</v>
      </c>
      <c r="B213" s="179">
        <f>'Données projet'!D196</f>
        <v>49.91</v>
      </c>
      <c r="C213" s="191">
        <v>55</v>
      </c>
      <c r="D213" s="177">
        <f t="shared" si="12"/>
        <v>2745.0499999999997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74</v>
      </c>
      <c r="B214" s="179">
        <f>'Données projet'!D197</f>
        <v>47.4</v>
      </c>
      <c r="C214" s="191">
        <v>55</v>
      </c>
      <c r="D214" s="177">
        <f t="shared" si="12"/>
        <v>2607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84</v>
      </c>
      <c r="B215" s="179">
        <f>'Données projet'!D198</f>
        <v>61.47</v>
      </c>
      <c r="C215" s="191">
        <v>55</v>
      </c>
      <c r="D215" s="177">
        <f t="shared" si="12"/>
        <v>3380.85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94</v>
      </c>
      <c r="B216" s="179">
        <f>'Données projet'!D199</f>
        <v>61.85</v>
      </c>
      <c r="C216" s="191">
        <v>55</v>
      </c>
      <c r="D216" s="177">
        <f t="shared" si="12"/>
        <v>3401.75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104</v>
      </c>
      <c r="B217" s="179">
        <f>'Données projet'!D200</f>
        <v>60.19</v>
      </c>
      <c r="C217" s="191">
        <v>55</v>
      </c>
      <c r="D217" s="177">
        <f t="shared" si="12"/>
        <v>3310.45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114</v>
      </c>
      <c r="B218" s="179">
        <f>'Données projet'!D201</f>
        <v>56.07</v>
      </c>
      <c r="C218" s="191">
        <v>55</v>
      </c>
      <c r="D218" s="177">
        <f t="shared" si="12"/>
        <v>3083.85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124</v>
      </c>
      <c r="B219" s="179">
        <f>'Données projet'!D202</f>
        <v>52.53</v>
      </c>
      <c r="C219" s="191">
        <v>55</v>
      </c>
      <c r="D219" s="177">
        <f t="shared" si="12"/>
        <v>2889.15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134</v>
      </c>
      <c r="B220" s="179">
        <f>'Données projet'!D203</f>
        <v>54.95</v>
      </c>
      <c r="C220" s="191">
        <v>55</v>
      </c>
      <c r="D220" s="177">
        <f t="shared" si="12"/>
        <v>3022.25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144</v>
      </c>
      <c r="B221" s="179">
        <f>'Données projet'!D204</f>
        <v>56.01</v>
      </c>
      <c r="C221" s="191">
        <v>55</v>
      </c>
      <c r="D221" s="177">
        <f t="shared" si="12"/>
        <v>3080.5499999999997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154</v>
      </c>
      <c r="B222" s="179">
        <f>'Données projet'!D205</f>
        <v>55.13</v>
      </c>
      <c r="C222" s="191">
        <v>55</v>
      </c>
      <c r="D222" s="177">
        <f t="shared" si="12"/>
        <v>3032.15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164</v>
      </c>
      <c r="B223" s="179">
        <f>'Données projet'!D206</f>
        <v>59.58</v>
      </c>
      <c r="C223" s="191">
        <v>55</v>
      </c>
      <c r="D223" s="177">
        <f t="shared" si="12"/>
        <v>3276.9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174</v>
      </c>
      <c r="B224" s="179">
        <f>'Données projet'!D207</f>
        <v>214.77</v>
      </c>
      <c r="C224" s="191">
        <v>55</v>
      </c>
      <c r="D224" s="177">
        <f t="shared" si="12"/>
        <v>11812.35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177</v>
      </c>
      <c r="B225" s="179">
        <f>'Données projet'!D208</f>
        <v>115.19</v>
      </c>
      <c r="C225" s="191">
        <v>55</v>
      </c>
      <c r="D225" s="177">
        <f t="shared" si="12"/>
        <v>6335.45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180</v>
      </c>
      <c r="B226" s="179">
        <f>'Données projet'!D209</f>
        <v>77.72</v>
      </c>
      <c r="C226" s="191">
        <v>55</v>
      </c>
      <c r="D226" s="177">
        <f t="shared" si="12"/>
        <v>4274.6000000000004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183</v>
      </c>
      <c r="B227" s="179">
        <f>'Données projet'!D210</f>
        <v>169.76</v>
      </c>
      <c r="C227" s="191">
        <v>55</v>
      </c>
      <c r="D227" s="177">
        <f t="shared" si="12"/>
        <v>9336.7999999999993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2024-10-30T13:12:33Z</dcterms:modified>
</cp:coreProperties>
</file>