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F RISCHAUVERON - 18543470 LE/"/>
    </mc:Choice>
  </mc:AlternateContent>
  <xr:revisionPtr revIDLastSave="169" documentId="13_ncr:1_{91C62E09-7A97-40C6-8A6D-8C8B5668C142}" xr6:coauthVersionLast="47" xr6:coauthVersionMax="47" xr10:uidLastSave="{F629556C-0DAD-447E-A3B4-653ADCCFF660}"/>
  <bookViews>
    <workbookView xWindow="-28920" yWindow="7515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6" l="1" a="1"/>
  <c r="J23" i="6" s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FS156" i="2"/>
  <c r="HH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B162" i="2"/>
  <c r="ED161" i="2"/>
  <c r="EW162" i="2"/>
  <c r="DI161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FR164" i="2"/>
  <c r="HH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DG168" i="2"/>
  <c r="EC168" i="2"/>
  <c r="EV168" i="2"/>
  <c r="EW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HI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A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D184" i="2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A186" i="2"/>
  <c r="ED185" i="2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V190" i="2"/>
  <c r="EY189" i="2"/>
  <c r="ED189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HG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AA195" i="2"/>
  <c r="EY194" i="2"/>
  <c r="ED194" i="2"/>
  <c r="FQ195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FS199" i="2"/>
  <c r="EA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D167" i="2" a="1"/>
  <c r="FD167" i="2" s="1"/>
  <c r="DN6" i="2" a="1"/>
  <c r="DN6" i="2" s="1"/>
  <c r="DO6" i="2" s="1"/>
  <c r="HJ202" i="2"/>
  <c r="AX200" i="2"/>
  <c r="EI35" i="2" l="1" a="1"/>
  <c r="EI35" i="2" s="1"/>
  <c r="EI67" i="2" a="1"/>
  <c r="EI67" i="2" s="1"/>
  <c r="EI139" i="2" a="1"/>
  <c r="EI139" i="2" s="1"/>
  <c r="EI170" i="2" a="1"/>
  <c r="EI170" i="2" s="1"/>
  <c r="EI16" i="2" a="1"/>
  <c r="EI16" i="2" s="1"/>
  <c r="FD189" i="2" a="1"/>
  <c r="FD189" i="2" s="1"/>
  <c r="CS105" i="2" a="1"/>
  <c r="CS105" i="2" s="1"/>
  <c r="CS161" i="2" a="1"/>
  <c r="CS161" i="2" s="1"/>
  <c r="FD48" i="2" a="1"/>
  <c r="FD48" i="2" s="1"/>
  <c r="CS38" i="2" a="1"/>
  <c r="CS38" i="2" s="1"/>
  <c r="CS56" i="2" a="1"/>
  <c r="CS56" i="2" s="1"/>
  <c r="CS77" i="2" a="1"/>
  <c r="CS77" i="2" s="1"/>
  <c r="FY142" i="2" a="1"/>
  <c r="FY142" i="2" s="1"/>
  <c r="CS134" i="2" a="1"/>
  <c r="CS134" i="2" s="1"/>
  <c r="CS185" i="2" a="1"/>
  <c r="CS185" i="2" s="1"/>
  <c r="CS137" i="2" a="1"/>
  <c r="CS137" i="2" s="1"/>
  <c r="FD188" i="2" a="1"/>
  <c r="FD188" i="2" s="1"/>
  <c r="CS72" i="2" a="1"/>
  <c r="CS72" i="2" s="1"/>
  <c r="EI37" i="2" a="1"/>
  <c r="EI37" i="2" s="1"/>
  <c r="CS129" i="2" a="1"/>
  <c r="CS129" i="2" s="1"/>
  <c r="EI38" i="2" a="1"/>
  <c r="EI38" i="2" s="1"/>
  <c r="FD82" i="2" a="1"/>
  <c r="FD82" i="2" s="1"/>
  <c r="GT15" i="2" a="1"/>
  <c r="GT15" i="2" s="1"/>
  <c r="CS116" i="2" a="1"/>
  <c r="CS116" i="2" s="1"/>
  <c r="EI128" i="2" a="1"/>
  <c r="EI128" i="2" s="1"/>
  <c r="CS120" i="2" a="1"/>
  <c r="CS120" i="2" s="1"/>
  <c r="CS24" i="2" a="1"/>
  <c r="CS24" i="2" s="1"/>
  <c r="BC185" i="2" a="1"/>
  <c r="BC185" i="2" s="1"/>
  <c r="CS66" i="2" a="1"/>
  <c r="CS66" i="2" s="1"/>
  <c r="BC143" i="2" a="1"/>
  <c r="BC143" i="2" s="1"/>
  <c r="GT11" i="2" a="1"/>
  <c r="GT11" i="2" s="1"/>
  <c r="GT138" i="2" a="1"/>
  <c r="GT138" i="2" s="1"/>
  <c r="CS52" i="2" a="1"/>
  <c r="CS52" i="2" s="1"/>
  <c r="CS114" i="2" a="1"/>
  <c r="CS114" i="2" s="1"/>
  <c r="FD159" i="2" a="1"/>
  <c r="FD159" i="2" s="1"/>
  <c r="GT102" i="2" a="1"/>
  <c r="GT102" i="2" s="1"/>
  <c r="EI166" i="2" a="1"/>
  <c r="EI166" i="2" s="1"/>
  <c r="EI195" i="2" a="1"/>
  <c r="EI195" i="2" s="1"/>
  <c r="DN63" i="2" a="1"/>
  <c r="DN63" i="2" s="1"/>
  <c r="DN113" i="2" a="1"/>
  <c r="DN113" i="2" s="1"/>
  <c r="DN103" i="2" a="1"/>
  <c r="DN103" i="2" s="1"/>
  <c r="DN70" i="2" a="1"/>
  <c r="DN70" i="2" s="1"/>
  <c r="BC31" i="2" a="1"/>
  <c r="BC31" i="2" s="1"/>
  <c r="BC130" i="2" a="1"/>
  <c r="BC130" i="2" s="1"/>
  <c r="BC192" i="2" a="1"/>
  <c r="BC192" i="2" s="1"/>
  <c r="BC55" i="2" a="1"/>
  <c r="BC55" i="2" s="1"/>
  <c r="BC114" i="2" a="1"/>
  <c r="BC114" i="2" s="1"/>
  <c r="BC126" i="2" a="1"/>
  <c r="BC126" i="2" s="1"/>
  <c r="BC18" i="2" a="1"/>
  <c r="BC18" i="2" s="1"/>
  <c r="BC38" i="2" a="1"/>
  <c r="BC38" i="2" s="1"/>
  <c r="BC83" i="2" a="1"/>
  <c r="BC83" i="2" s="1"/>
  <c r="BC151" i="2" a="1"/>
  <c r="BC151" i="2" s="1"/>
  <c r="BC181" i="2" a="1"/>
  <c r="BC181" i="2" s="1"/>
  <c r="BC7" i="2" a="1"/>
  <c r="BC7" i="2" s="1"/>
  <c r="BD7" i="2" s="1"/>
  <c r="BC65" i="2" a="1"/>
  <c r="BC65" i="2" s="1"/>
  <c r="BC47" i="2" a="1"/>
  <c r="BC47" i="2" s="1"/>
  <c r="BC58" i="2" a="1"/>
  <c r="BC58" i="2" s="1"/>
  <c r="BC82" i="2" a="1"/>
  <c r="BC82" i="2" s="1"/>
  <c r="BC84" i="2" a="1"/>
  <c r="BC84" i="2" s="1"/>
  <c r="BC32" i="2" a="1"/>
  <c r="BC32" i="2" s="1"/>
  <c r="BC164" i="2" a="1"/>
  <c r="BC164" i="2" s="1"/>
  <c r="BC34" i="2" a="1"/>
  <c r="BC34" i="2" s="1"/>
  <c r="DN55" i="2" a="1"/>
  <c r="DN55" i="2" s="1"/>
  <c r="DN184" i="2" a="1"/>
  <c r="DN184" i="2" s="1"/>
  <c r="GT152" i="2" a="1"/>
  <c r="GT152" i="2" s="1"/>
  <c r="DN162" i="2" a="1"/>
  <c r="DN162" i="2" s="1"/>
  <c r="EI113" i="2" a="1"/>
  <c r="EI113" i="2" s="1"/>
  <c r="GT191" i="2" a="1"/>
  <c r="GT191" i="2" s="1"/>
  <c r="FY30" i="2" a="1"/>
  <c r="FY30" i="2" s="1"/>
  <c r="DN192" i="2" a="1"/>
  <c r="DN192" i="2" s="1"/>
  <c r="DN43" i="2" a="1"/>
  <c r="DN43" i="2" s="1"/>
  <c r="GT133" i="2" a="1"/>
  <c r="GT133" i="2" s="1"/>
  <c r="BC68" i="2" a="1"/>
  <c r="BC68" i="2" s="1"/>
  <c r="DN31" i="2" a="1"/>
  <c r="DN31" i="2" s="1"/>
  <c r="DN152" i="2" a="1"/>
  <c r="DN152" i="2" s="1"/>
  <c r="DN16" i="2" a="1"/>
  <c r="DN16" i="2" s="1"/>
  <c r="DN41" i="2" a="1"/>
  <c r="DN41" i="2" s="1"/>
  <c r="DN132" i="2" a="1"/>
  <c r="DN132" i="2" s="1"/>
  <c r="DN188" i="2" a="1"/>
  <c r="DN188" i="2" s="1"/>
  <c r="DN137" i="2" a="1"/>
  <c r="DN137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DN25" i="2" a="1"/>
  <c r="DN25" i="2" s="1"/>
  <c r="GT107" i="2" a="1"/>
  <c r="GT107" i="2" s="1"/>
  <c r="DN150" i="2" a="1"/>
  <c r="DN150" i="2" s="1"/>
  <c r="GT126" i="2" a="1"/>
  <c r="GT126" i="2" s="1"/>
  <c r="GT178" i="2" a="1"/>
  <c r="GT178" i="2" s="1"/>
  <c r="DN177" i="2" a="1"/>
  <c r="DN177" i="2" s="1"/>
  <c r="GT68" i="2" a="1"/>
  <c r="GT68" i="2" s="1"/>
  <c r="FY190" i="2" a="1"/>
  <c r="FY190" i="2" s="1"/>
  <c r="DN123" i="2" a="1"/>
  <c r="DN123" i="2" s="1"/>
  <c r="GT33" i="2" a="1"/>
  <c r="GT33" i="2" s="1"/>
  <c r="FY196" i="2" a="1"/>
  <c r="FY196" i="2" s="1"/>
  <c r="DN46" i="2" a="1"/>
  <c r="DN46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10" i="2" a="1"/>
  <c r="DN110" i="2" s="1"/>
  <c r="BX107" i="2" a="1"/>
  <c r="BX107" i="2" s="1"/>
  <c r="GT174" i="2" a="1"/>
  <c r="GT174" i="2" s="1"/>
  <c r="GT190" i="2" a="1"/>
  <c r="GT190" i="2" s="1"/>
  <c r="GT121" i="2" a="1"/>
  <c r="GT121" i="2" s="1"/>
  <c r="DN38" i="2" a="1"/>
  <c r="DN38" i="2" s="1"/>
  <c r="DN153" i="2" a="1"/>
  <c r="DN153" i="2" s="1"/>
  <c r="GT184" i="2" a="1"/>
  <c r="GT184" i="2" s="1"/>
  <c r="FY78" i="2" a="1"/>
  <c r="FY78" i="2" s="1"/>
  <c r="DN187" i="2" a="1"/>
  <c r="DN187" i="2" s="1"/>
  <c r="DN186" i="2" a="1"/>
  <c r="DN186" i="2" s="1"/>
  <c r="DN164" i="2" a="1"/>
  <c r="DN164" i="2" s="1"/>
  <c r="EI71" i="2" a="1"/>
  <c r="EI71" i="2" s="1"/>
  <c r="GT198" i="2" a="1"/>
  <c r="GT198" i="2" s="1"/>
  <c r="DN190" i="2" a="1"/>
  <c r="DN190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GT147" i="2" a="1"/>
  <c r="GT147" i="2" s="1"/>
  <c r="DN29" i="2" a="1"/>
  <c r="DN29" i="2" s="1"/>
  <c r="GT38" i="2" a="1"/>
  <c r="GT38" i="2" s="1"/>
  <c r="GT189" i="2" a="1"/>
  <c r="GT189" i="2" s="1"/>
  <c r="DN176" i="2" a="1"/>
  <c r="DN176" i="2" s="1"/>
  <c r="AH62" i="2" a="1"/>
  <c r="AH62" i="2" s="1"/>
  <c r="DN80" i="2" a="1"/>
  <c r="DN80" i="2" s="1"/>
  <c r="GT21" i="2" a="1"/>
  <c r="GT21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DN167" i="2" a="1"/>
  <c r="DN167" i="2" s="1"/>
  <c r="DN45" i="2" a="1"/>
  <c r="DN45" i="2" s="1"/>
  <c r="DN49" i="2" a="1"/>
  <c r="DN49" i="2" s="1"/>
  <c r="DN66" i="2" a="1"/>
  <c r="DN66" i="2" s="1"/>
  <c r="EI20" i="2" a="1"/>
  <c r="EI20" i="2" s="1"/>
  <c r="EI165" i="2" a="1"/>
  <c r="EI165" i="2" s="1"/>
  <c r="EI57" i="2" a="1"/>
  <c r="EI57" i="2" s="1"/>
  <c r="EI36" i="2" a="1"/>
  <c r="EI36" i="2" s="1"/>
  <c r="DN133" i="2" a="1"/>
  <c r="DN133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EY203" i="2"/>
  <c r="DI203" i="2"/>
  <c r="ED203" i="2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96" i="2"/>
  <c r="CY33" i="2"/>
  <c r="CY119" i="2"/>
  <c r="CY34" i="2"/>
  <c r="CY67" i="2"/>
  <c r="CY22" i="2"/>
  <c r="CY144" i="2"/>
  <c r="CY30" i="2"/>
  <c r="CY168" i="2"/>
  <c r="CY88" i="2"/>
  <c r="CY121" i="2"/>
  <c r="CY133" i="2"/>
  <c r="CY116" i="2"/>
  <c r="CY75" i="2"/>
  <c r="CY65" i="2"/>
  <c r="CY149" i="2"/>
  <c r="CY169" i="2"/>
  <c r="CY126" i="2"/>
  <c r="CY31" i="2"/>
  <c r="CY190" i="2"/>
  <c r="CY179" i="2"/>
  <c r="CY181" i="2"/>
  <c r="CY101" i="2"/>
  <c r="CY42" i="2"/>
  <c r="CY198" i="2"/>
  <c r="CY104" i="2"/>
  <c r="CY92" i="2"/>
  <c r="CY197" i="2"/>
  <c r="CY25" i="2"/>
  <c r="CY79" i="2"/>
  <c r="CY68" i="2"/>
  <c r="CY185" i="2"/>
  <c r="CY170" i="2"/>
  <c r="CY150" i="2"/>
  <c r="CY143" i="2"/>
  <c r="CY72" i="2"/>
  <c r="CY105" i="2"/>
  <c r="CY118" i="2"/>
  <c r="CY164" i="2"/>
  <c r="CY142" i="2"/>
  <c r="CY202" i="2"/>
  <c r="CY173" i="2"/>
  <c r="CY60" i="2"/>
  <c r="CY161" i="2"/>
  <c r="CY59" i="2"/>
  <c r="CY58" i="2"/>
  <c r="CY131" i="2"/>
  <c r="CY4" i="2"/>
  <c r="CY103" i="2"/>
  <c r="CY47" i="2"/>
  <c r="CY163" i="2"/>
  <c r="CY130" i="2"/>
  <c r="CY53" i="2"/>
  <c r="CY155" i="2"/>
  <c r="CY134" i="2"/>
  <c r="CY152" i="2"/>
  <c r="CY138" i="2"/>
  <c r="CY52" i="2"/>
  <c r="CY114" i="2"/>
  <c r="CY86" i="2"/>
  <c r="CY23" i="2"/>
  <c r="CY9" i="2"/>
  <c r="CY196" i="2"/>
  <c r="CY182" i="2"/>
  <c r="CY174" i="2"/>
  <c r="CY10" i="2"/>
  <c r="CY117" i="2"/>
  <c r="CY54" i="2"/>
  <c r="CY69" i="2"/>
  <c r="CY36" i="2"/>
  <c r="CY78" i="2"/>
  <c r="CY113" i="2"/>
  <c r="CY120" i="2"/>
  <c r="CY49" i="2"/>
  <c r="CY203" i="2"/>
  <c r="CY132" i="2"/>
  <c r="CY62" i="2"/>
  <c r="CY28" i="2"/>
  <c r="CY89" i="2"/>
  <c r="CY37" i="2"/>
  <c r="CY39" i="2"/>
  <c r="CY5" i="2"/>
  <c r="CY77" i="2"/>
  <c r="CY115" i="2"/>
  <c r="CY110" i="2"/>
  <c r="CY106" i="2"/>
  <c r="CY122" i="2"/>
  <c r="CY61" i="2"/>
  <c r="CY166" i="2"/>
  <c r="CY80" i="2"/>
  <c r="CY29" i="2"/>
  <c r="CY18" i="2"/>
  <c r="CY172" i="2"/>
  <c r="CY112" i="2"/>
  <c r="CY94" i="2"/>
  <c r="CY129" i="2"/>
  <c r="CY17" i="2"/>
  <c r="CY55" i="2"/>
  <c r="CY177" i="2"/>
  <c r="CY157" i="2"/>
  <c r="CY187" i="2"/>
  <c r="CY84" i="2"/>
  <c r="CY175" i="2"/>
  <c r="CY136" i="2"/>
  <c r="CY45" i="2"/>
  <c r="CY6" i="2"/>
  <c r="CY27" i="2"/>
  <c r="CY97" i="2"/>
  <c r="CY40" i="2"/>
  <c r="CY15" i="2"/>
  <c r="CY93" i="2"/>
  <c r="CY64" i="2"/>
  <c r="CY160" i="2"/>
  <c r="CY57" i="2"/>
  <c r="CY44" i="2"/>
  <c r="CY85" i="2"/>
  <c r="CY19" i="2"/>
  <c r="CY7" i="2"/>
  <c r="CY91" i="2"/>
  <c r="CY128" i="2"/>
  <c r="CY159" i="2"/>
  <c r="CY184" i="2"/>
  <c r="CY140" i="2"/>
  <c r="CY200" i="2"/>
  <c r="CY48" i="2"/>
  <c r="CY186" i="2"/>
  <c r="CY63" i="2"/>
  <c r="CY199" i="2"/>
  <c r="CY193" i="2"/>
  <c r="CY195" i="2"/>
  <c r="CY176" i="2"/>
  <c r="CY83" i="2"/>
  <c r="CY26" i="2"/>
  <c r="CY137" i="2"/>
  <c r="CY165" i="2"/>
  <c r="CY8" i="2"/>
  <c r="CY98" i="2"/>
  <c r="CY41" i="2"/>
  <c r="CY43" i="2"/>
  <c r="CY50" i="2"/>
  <c r="CY109" i="2"/>
  <c r="CY111" i="2"/>
  <c r="CY99" i="2"/>
  <c r="CY188" i="2"/>
  <c r="CY146" i="2"/>
  <c r="CY191" i="2"/>
  <c r="CY71" i="2"/>
  <c r="CY123" i="2"/>
  <c r="CY153" i="2"/>
  <c r="CY81" i="2"/>
  <c r="CY139" i="2"/>
  <c r="CY16" i="2"/>
  <c r="CY151" i="2"/>
  <c r="CY192" i="2"/>
  <c r="CY167" i="2"/>
  <c r="CY90" i="2"/>
  <c r="CY145" i="2"/>
  <c r="CY178" i="2"/>
  <c r="CY46" i="2"/>
  <c r="CY74" i="2"/>
  <c r="CY73" i="2"/>
  <c r="CY76" i="2"/>
  <c r="CY180" i="2"/>
  <c r="CY147" i="2"/>
  <c r="CY87" i="2"/>
  <c r="CY189" i="2"/>
  <c r="CY82" i="2"/>
  <c r="CY12" i="2"/>
  <c r="CY194" i="2"/>
  <c r="CY51" i="2"/>
  <c r="CY135" i="2"/>
  <c r="CY148" i="2"/>
  <c r="CY32" i="2"/>
  <c r="CY141" i="2"/>
  <c r="CY14" i="2"/>
  <c r="CY13" i="2"/>
  <c r="CY66" i="2"/>
  <c r="CY158" i="2"/>
  <c r="CY38" i="2"/>
  <c r="CY125" i="2"/>
  <c r="CY56" i="2"/>
  <c r="CY201" i="2"/>
  <c r="CY100" i="2"/>
  <c r="CY35" i="2"/>
  <c r="CY171" i="2"/>
  <c r="CY11" i="2"/>
  <c r="CY108" i="2"/>
  <c r="CY156" i="2"/>
  <c r="CY102" i="2"/>
  <c r="CY107" i="2"/>
  <c r="CY183" i="2"/>
  <c r="CY70" i="2"/>
  <c r="CY20" i="2"/>
  <c r="CY95" i="2"/>
  <c r="CY154" i="2"/>
  <c r="CY21" i="2"/>
  <c r="CY3" i="2"/>
  <c r="C10" i="4" s="1"/>
  <c r="E10" i="4" s="1"/>
  <c r="F10" i="4" s="1"/>
  <c r="G10" i="4" s="1"/>
  <c r="L10" i="4" s="1"/>
  <c r="CY162" i="2"/>
  <c r="CY127" i="2"/>
  <c r="CY12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26" i="2" l="1"/>
  <c r="CD183" i="2"/>
  <c r="CD29" i="2"/>
  <c r="CD154" i="2"/>
  <c r="CD139" i="2"/>
  <c r="CD55" i="2"/>
  <c r="CD78" i="2"/>
  <c r="CD71" i="2"/>
  <c r="CD24" i="2"/>
  <c r="CD82" i="2"/>
  <c r="CD11" i="2"/>
  <c r="CD124" i="2"/>
  <c r="CD189" i="2"/>
  <c r="CD53" i="2"/>
  <c r="CD87" i="2"/>
  <c r="CD123" i="2"/>
  <c r="CD181" i="2"/>
  <c r="CD133" i="2"/>
  <c r="CD152" i="2"/>
  <c r="CD54" i="2"/>
  <c r="CD121" i="2"/>
  <c r="CD175" i="2"/>
  <c r="CD88" i="2"/>
  <c r="CD188" i="2"/>
  <c r="CD153" i="2"/>
  <c r="CD63" i="2"/>
  <c r="CD119" i="2"/>
  <c r="CD173" i="2"/>
  <c r="CD15" i="2"/>
  <c r="CD39" i="2"/>
  <c r="CD104" i="2"/>
  <c r="CD84" i="2"/>
  <c r="CD85" i="2"/>
  <c r="CD72" i="2"/>
  <c r="CD125" i="2"/>
  <c r="CD191" i="2"/>
  <c r="CD129" i="2"/>
  <c r="CD33" i="2"/>
  <c r="CD99" i="2"/>
  <c r="CD58" i="2"/>
  <c r="CD165" i="2"/>
  <c r="CD68" i="2"/>
  <c r="CD177" i="2"/>
  <c r="CD96" i="2"/>
  <c r="CD13" i="2"/>
  <c r="CD196" i="2"/>
  <c r="CD56" i="2"/>
  <c r="CD60" i="2"/>
  <c r="CD70" i="2"/>
  <c r="CD174" i="2"/>
  <c r="CD117" i="2"/>
  <c r="CD109" i="2"/>
  <c r="CD91" i="2"/>
  <c r="CD65" i="2"/>
  <c r="CD27" i="2"/>
  <c r="CD77" i="2"/>
  <c r="CD114" i="2"/>
  <c r="CD107" i="2"/>
  <c r="CD161" i="2"/>
  <c r="CD158" i="2"/>
  <c r="CD155" i="2"/>
  <c r="CD148" i="2"/>
  <c r="CD166" i="2"/>
  <c r="CD17" i="2"/>
  <c r="CD8" i="2"/>
  <c r="CD162" i="2"/>
  <c r="CD192" i="2"/>
  <c r="CD137" i="2"/>
  <c r="CD197" i="2"/>
  <c r="CD113" i="2"/>
  <c r="CD10" i="2"/>
  <c r="CD147" i="2"/>
  <c r="CD198" i="2"/>
  <c r="CD127" i="2"/>
  <c r="CD51" i="2"/>
  <c r="CD108" i="2"/>
  <c r="CD28" i="2"/>
  <c r="CD111" i="2"/>
  <c r="CD7" i="2"/>
  <c r="CD103" i="2"/>
  <c r="CD25" i="2"/>
  <c r="CD185" i="2"/>
  <c r="CD106" i="2"/>
  <c r="CD76" i="2"/>
  <c r="CD157" i="2"/>
  <c r="CD172" i="2"/>
  <c r="CD19" i="2"/>
  <c r="CD89" i="2"/>
  <c r="CD179" i="2"/>
  <c r="CD187" i="2"/>
  <c r="CD40" i="2"/>
  <c r="CD36" i="2"/>
  <c r="CD151" i="2"/>
  <c r="CD62" i="2"/>
  <c r="CD201" i="2"/>
  <c r="CD146" i="2"/>
  <c r="CD32" i="2"/>
  <c r="CD145" i="2"/>
  <c r="CD73" i="2"/>
  <c r="CD140" i="2"/>
  <c r="CD30" i="2"/>
  <c r="CD186" i="2"/>
  <c r="CD93" i="2"/>
  <c r="CD164" i="2"/>
  <c r="CD50" i="2"/>
  <c r="CD167" i="2"/>
  <c r="CD14" i="2"/>
  <c r="CD64" i="2"/>
  <c r="CD81" i="2"/>
  <c r="CD110" i="2"/>
  <c r="CD74" i="2"/>
  <c r="CD98" i="2"/>
  <c r="CD102" i="2"/>
  <c r="CD52" i="2"/>
  <c r="CD120" i="2"/>
  <c r="CD202" i="2"/>
  <c r="CD141" i="2"/>
  <c r="CD48" i="2"/>
  <c r="CD67" i="2"/>
  <c r="CD49" i="2"/>
  <c r="CD43" i="2"/>
  <c r="CD144" i="2"/>
  <c r="CD3" i="2"/>
  <c r="C9" i="4" s="1"/>
  <c r="E9" i="4" s="1"/>
  <c r="F9" i="4" s="1"/>
  <c r="G9" i="4" s="1"/>
  <c r="L9" i="4" s="1"/>
  <c r="CD190" i="2"/>
  <c r="CD136" i="2"/>
  <c r="CD163" i="2"/>
  <c r="CD90" i="2"/>
  <c r="CD92" i="2"/>
  <c r="CD38" i="2"/>
  <c r="CD20" i="2"/>
  <c r="CD83" i="2"/>
  <c r="CD37" i="2"/>
  <c r="CD22" i="2"/>
  <c r="CD47" i="2"/>
  <c r="CD116" i="2"/>
  <c r="CD159" i="2"/>
  <c r="CD46" i="2"/>
  <c r="CD150" i="2"/>
  <c r="CD57" i="2"/>
  <c r="CD101" i="2"/>
  <c r="CD168" i="2"/>
  <c r="CD23" i="2"/>
  <c r="CD199" i="2"/>
  <c r="CD112" i="2"/>
  <c r="CD95" i="2"/>
  <c r="CD21" i="2"/>
  <c r="CD184" i="2"/>
  <c r="CD156" i="2"/>
  <c r="CD180" i="2"/>
  <c r="CD169" i="2"/>
  <c r="CD61" i="2"/>
  <c r="CD5" i="2"/>
  <c r="CD170" i="2"/>
  <c r="CD9" i="2"/>
  <c r="CD97" i="2"/>
  <c r="CD149" i="2"/>
  <c r="CD34" i="2"/>
  <c r="CD80" i="2"/>
  <c r="CD193" i="2"/>
  <c r="CD16" i="2"/>
  <c r="CD143" i="2"/>
  <c r="CD142" i="2"/>
  <c r="CD138" i="2"/>
  <c r="CD178" i="2"/>
  <c r="CD12" i="2"/>
  <c r="CD41" i="2"/>
  <c r="CD176" i="2"/>
  <c r="CD160" i="2"/>
  <c r="CD200" i="2"/>
  <c r="CD131" i="2"/>
  <c r="CD182" i="2"/>
  <c r="CD194" i="2"/>
  <c r="CD66" i="2"/>
  <c r="CD122" i="2"/>
  <c r="CD100" i="2"/>
  <c r="CD69" i="2"/>
  <c r="CD203" i="2"/>
  <c r="CD35" i="2"/>
  <c r="CD195" i="2"/>
  <c r="CD135" i="2"/>
  <c r="CD26" i="2"/>
  <c r="CD31" i="2"/>
  <c r="CD44" i="2"/>
  <c r="CD4" i="2"/>
  <c r="CD6" i="2"/>
  <c r="CD134" i="2"/>
  <c r="CD75" i="2"/>
  <c r="CD94" i="2"/>
  <c r="CD45" i="2"/>
  <c r="CD115" i="2"/>
  <c r="CD171" i="2"/>
  <c r="CD86" i="2"/>
  <c r="CD118" i="2"/>
  <c r="CD42" i="2"/>
  <c r="CD132" i="2"/>
  <c r="CD128" i="2"/>
  <c r="CD79" i="2"/>
  <c r="CD105" i="2"/>
  <c r="CD59" i="2"/>
  <c r="CD18" i="2"/>
  <c r="CD130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89" i="2" l="1"/>
  <c r="AN185" i="2"/>
  <c r="AN27" i="2"/>
  <c r="AN154" i="2"/>
  <c r="AN100" i="2"/>
  <c r="AN188" i="2"/>
  <c r="AN103" i="2"/>
  <c r="AN171" i="2"/>
  <c r="AN121" i="2"/>
  <c r="AN96" i="2"/>
  <c r="AN79" i="2"/>
  <c r="AN136" i="2"/>
  <c r="AN55" i="2"/>
  <c r="AN166" i="2"/>
  <c r="AN49" i="2"/>
  <c r="AN131" i="2"/>
  <c r="AN202" i="2"/>
  <c r="AN6" i="2"/>
  <c r="AN138" i="2"/>
  <c r="AN173" i="2"/>
  <c r="AN10" i="2"/>
  <c r="AN15" i="2"/>
  <c r="AN23" i="2"/>
  <c r="AN19" i="2"/>
  <c r="AN113" i="2"/>
  <c r="AN187" i="2"/>
  <c r="AN34" i="2"/>
  <c r="AN30" i="2"/>
  <c r="AN108" i="2"/>
  <c r="AN32" i="2"/>
  <c r="AN132" i="2"/>
  <c r="AN72" i="2"/>
  <c r="AN70" i="2"/>
  <c r="AN165" i="2"/>
  <c r="AN48" i="2"/>
  <c r="AN47" i="2"/>
  <c r="AN84" i="2"/>
  <c r="AN38" i="2"/>
  <c r="AN58" i="2"/>
  <c r="AN26" i="2"/>
  <c r="AN120" i="2"/>
  <c r="AN184" i="2"/>
  <c r="AN14" i="2"/>
  <c r="AN182" i="2"/>
  <c r="AN9" i="2"/>
  <c r="AN125" i="2"/>
  <c r="AN157" i="2"/>
  <c r="AN57" i="2"/>
  <c r="AN97" i="2"/>
  <c r="AN68" i="2"/>
  <c r="AN104" i="2"/>
  <c r="AN140" i="2"/>
  <c r="AN129" i="2"/>
  <c r="AN11" i="2"/>
  <c r="AN142" i="2"/>
  <c r="AN143" i="2"/>
  <c r="AN66" i="2"/>
  <c r="AN135" i="2"/>
  <c r="AN146" i="2"/>
  <c r="AN177" i="2"/>
  <c r="AN109" i="2"/>
  <c r="AN200" i="2"/>
  <c r="AN28" i="2"/>
  <c r="AN106" i="2"/>
  <c r="AN122" i="2"/>
  <c r="AN105" i="2"/>
  <c r="AN63" i="2"/>
  <c r="AN130" i="2"/>
  <c r="AN178" i="2"/>
  <c r="AN4" i="2"/>
  <c r="AN8" i="2"/>
  <c r="AN13" i="2"/>
  <c r="AN180" i="2"/>
  <c r="AN124" i="2"/>
  <c r="AN31" i="2"/>
  <c r="AN83" i="2"/>
  <c r="AN75" i="2"/>
  <c r="AN199" i="2"/>
  <c r="AN181" i="2"/>
  <c r="AN133" i="2"/>
  <c r="AN197" i="2"/>
  <c r="AN167" i="2"/>
  <c r="AN53" i="2"/>
  <c r="AN24" i="2"/>
  <c r="AN81" i="2"/>
  <c r="AN54" i="2"/>
  <c r="AN160" i="2"/>
  <c r="AN37" i="2"/>
  <c r="AN107" i="2"/>
  <c r="AN46" i="2"/>
  <c r="AN64" i="2"/>
  <c r="AN164" i="2"/>
  <c r="AN3" i="2"/>
  <c r="C7" i="4" s="1"/>
  <c r="E7" i="4" s="1"/>
  <c r="F7" i="4" s="1"/>
  <c r="G7" i="4" s="1"/>
  <c r="L7" i="4" s="1"/>
  <c r="AN25" i="2"/>
  <c r="AN139" i="2"/>
  <c r="AN61" i="2"/>
  <c r="AN161" i="2"/>
  <c r="AN175" i="2"/>
  <c r="AN5" i="2"/>
  <c r="AN35" i="2"/>
  <c r="AN110" i="2"/>
  <c r="AN20" i="2"/>
  <c r="AN88" i="2"/>
  <c r="AN80" i="2"/>
  <c r="AN43" i="2"/>
  <c r="AN192" i="2"/>
  <c r="AN92" i="2"/>
  <c r="AN67" i="2"/>
  <c r="AN117" i="2"/>
  <c r="AN91" i="2"/>
  <c r="AN62" i="2"/>
  <c r="AN174" i="2"/>
  <c r="AN52" i="2"/>
  <c r="AN119" i="2"/>
  <c r="AN77" i="2"/>
  <c r="AN56" i="2"/>
  <c r="AN148" i="2"/>
  <c r="AN86" i="2"/>
  <c r="AN158" i="2"/>
  <c r="AN102" i="2"/>
  <c r="AN195" i="2"/>
  <c r="AN82" i="2"/>
  <c r="AN69" i="2"/>
  <c r="AN42" i="2"/>
  <c r="AN172" i="2"/>
  <c r="AN90" i="2"/>
  <c r="AN193" i="2"/>
  <c r="AN22" i="2"/>
  <c r="AN51" i="2"/>
  <c r="AN94" i="2"/>
  <c r="AN12" i="2"/>
  <c r="AN87" i="2"/>
  <c r="AN21" i="2"/>
  <c r="AN71" i="2"/>
  <c r="AN74" i="2"/>
  <c r="AN111" i="2"/>
  <c r="AN99" i="2"/>
  <c r="AN29" i="2"/>
  <c r="AN183" i="2"/>
  <c r="AN176" i="2"/>
  <c r="AN76" i="2"/>
  <c r="AN191" i="2"/>
  <c r="AN126" i="2"/>
  <c r="AN196" i="2"/>
  <c r="AN45" i="2"/>
  <c r="AN127" i="2"/>
  <c r="AN190" i="2"/>
  <c r="AN203" i="2"/>
  <c r="AN112" i="2"/>
  <c r="AN44" i="2"/>
  <c r="AN73" i="2"/>
  <c r="AN201" i="2"/>
  <c r="AN7" i="2"/>
  <c r="AN40" i="2"/>
  <c r="AN36" i="2"/>
  <c r="AN50" i="2"/>
  <c r="AN134" i="2"/>
  <c r="AN114" i="2"/>
  <c r="AN156" i="2"/>
  <c r="AN170" i="2"/>
  <c r="AN93" i="2"/>
  <c r="AN18" i="2"/>
  <c r="AN162" i="2"/>
  <c r="AN150" i="2"/>
  <c r="AN153" i="2"/>
  <c r="AN189" i="2"/>
  <c r="AN168" i="2"/>
  <c r="AN33" i="2"/>
  <c r="AN141" i="2"/>
  <c r="AN98" i="2"/>
  <c r="AN149" i="2"/>
  <c r="AN85" i="2"/>
  <c r="AN137" i="2"/>
  <c r="AN101" i="2"/>
  <c r="AN152" i="2"/>
  <c r="AN169" i="2"/>
  <c r="AN179" i="2"/>
  <c r="AN159" i="2"/>
  <c r="AN39" i="2"/>
  <c r="AN78" i="2"/>
  <c r="AN198" i="2"/>
  <c r="AN65" i="2"/>
  <c r="AN59" i="2"/>
  <c r="AN123" i="2"/>
  <c r="AN155" i="2"/>
  <c r="AN115" i="2"/>
  <c r="AN95" i="2"/>
  <c r="AN16" i="2"/>
  <c r="AN186" i="2"/>
  <c r="AN194" i="2"/>
  <c r="AN128" i="2"/>
  <c r="AN41" i="2"/>
  <c r="AN163" i="2"/>
  <c r="AN151" i="2"/>
  <c r="AN118" i="2"/>
  <c r="AN17" i="2"/>
  <c r="AN60" i="2"/>
  <c r="AN144" i="2"/>
  <c r="AN147" i="2"/>
  <c r="AN116" i="2"/>
  <c r="AN14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78" i="2" l="1"/>
  <c r="BI126" i="2"/>
  <c r="BI99" i="2"/>
  <c r="BI47" i="2"/>
  <c r="BI85" i="2"/>
  <c r="BI159" i="2"/>
  <c r="BI112" i="2"/>
  <c r="BI34" i="2"/>
  <c r="BI4" i="2"/>
  <c r="BI171" i="2"/>
  <c r="BI53" i="2"/>
  <c r="BI82" i="2"/>
  <c r="BI96" i="2"/>
  <c r="BI127" i="2"/>
  <c r="BI106" i="2"/>
  <c r="BI36" i="2"/>
  <c r="BI66" i="2"/>
  <c r="BI61" i="2"/>
  <c r="BI169" i="2"/>
  <c r="BI88" i="2"/>
  <c r="BI170" i="2"/>
  <c r="BI87" i="2"/>
  <c r="BI62" i="2"/>
  <c r="BI50" i="2"/>
  <c r="BI17" i="2"/>
  <c r="BI114" i="2"/>
  <c r="BI130" i="2"/>
  <c r="BI30" i="2"/>
  <c r="BI13" i="2"/>
  <c r="BI152" i="2"/>
  <c r="BI72" i="2"/>
  <c r="BI143" i="2"/>
  <c r="BI157" i="2"/>
  <c r="BI52" i="2"/>
  <c r="BI135" i="2"/>
  <c r="BI124" i="2"/>
  <c r="BI95" i="2"/>
  <c r="BI37" i="2"/>
  <c r="BI168" i="2"/>
  <c r="BI180" i="2"/>
  <c r="BI22" i="2"/>
  <c r="BI84" i="2"/>
  <c r="BI59" i="2"/>
  <c r="BI38" i="2"/>
  <c r="BI68" i="2"/>
  <c r="BI156" i="2"/>
  <c r="BI134" i="2"/>
  <c r="BI201" i="2"/>
  <c r="BI86" i="2"/>
  <c r="BI20" i="2"/>
  <c r="BI89" i="2"/>
  <c r="BI74" i="2"/>
  <c r="BI198" i="2"/>
  <c r="BI136" i="2"/>
  <c r="BI151" i="2"/>
  <c r="BI103" i="2"/>
  <c r="BI202" i="2"/>
  <c r="BI111" i="2"/>
  <c r="BI141" i="2"/>
  <c r="BI203" i="2"/>
  <c r="BI121" i="2"/>
  <c r="BI100" i="2"/>
  <c r="BI32" i="2"/>
  <c r="BI98" i="2"/>
  <c r="BI164" i="2"/>
  <c r="BI79" i="2"/>
  <c r="BI122" i="2"/>
  <c r="BI6" i="2"/>
  <c r="BI146" i="2"/>
  <c r="BI117" i="2"/>
  <c r="BI194" i="2"/>
  <c r="BI31" i="2"/>
  <c r="BI129" i="2"/>
  <c r="BI44" i="2"/>
  <c r="BI60" i="2"/>
  <c r="BI40" i="2"/>
  <c r="BI132" i="2"/>
  <c r="BI107" i="2"/>
  <c r="BI142" i="2"/>
  <c r="BI120" i="2"/>
  <c r="BI8" i="2"/>
  <c r="BI116" i="2"/>
  <c r="BI186" i="2"/>
  <c r="BI193" i="2"/>
  <c r="BI42" i="2"/>
  <c r="BI177" i="2"/>
  <c r="BI185" i="2"/>
  <c r="BI199" i="2"/>
  <c r="BI172" i="2"/>
  <c r="BI11" i="2"/>
  <c r="BI25" i="2"/>
  <c r="BI101" i="2"/>
  <c r="BI102" i="2"/>
  <c r="BI153" i="2"/>
  <c r="BI26" i="2"/>
  <c r="BI45" i="2"/>
  <c r="BI55" i="2"/>
  <c r="BI167" i="2"/>
  <c r="BI162" i="2"/>
  <c r="BI119" i="2"/>
  <c r="BI178" i="2"/>
  <c r="BI197" i="2"/>
  <c r="BI12" i="2"/>
  <c r="BI46" i="2"/>
  <c r="BI75" i="2"/>
  <c r="BI10" i="2"/>
  <c r="BI3" i="2"/>
  <c r="C8" i="4" s="1"/>
  <c r="E8" i="4" s="1"/>
  <c r="F8" i="4" s="1"/>
  <c r="G8" i="4" s="1"/>
  <c r="L8" i="4" s="1"/>
  <c r="BI105" i="2"/>
  <c r="BI28" i="2"/>
  <c r="BI131" i="2"/>
  <c r="BI35" i="2"/>
  <c r="BI138" i="2"/>
  <c r="BI176" i="2"/>
  <c r="BI23" i="2"/>
  <c r="BI189" i="2"/>
  <c r="BI161" i="2"/>
  <c r="BI97" i="2"/>
  <c r="BI110" i="2"/>
  <c r="BI109" i="2"/>
  <c r="BI195" i="2"/>
  <c r="BI54" i="2"/>
  <c r="BI71" i="2"/>
  <c r="BI133" i="2"/>
  <c r="BI144" i="2"/>
  <c r="BI69" i="2"/>
  <c r="BI137" i="2"/>
  <c r="BI200" i="2"/>
  <c r="BI115" i="2"/>
  <c r="BI76" i="2"/>
  <c r="BI57" i="2"/>
  <c r="BI182" i="2"/>
  <c r="BI19" i="2"/>
  <c r="BI41" i="2"/>
  <c r="BI166" i="2"/>
  <c r="BI77" i="2"/>
  <c r="BI192" i="2"/>
  <c r="BI165" i="2"/>
  <c r="BI43" i="2"/>
  <c r="BI123" i="2"/>
  <c r="BI158" i="2"/>
  <c r="BI63" i="2"/>
  <c r="BI48" i="2"/>
  <c r="BI108" i="2"/>
  <c r="BI104" i="2"/>
  <c r="BI147" i="2"/>
  <c r="BI51" i="2"/>
  <c r="BI49" i="2"/>
  <c r="BI39" i="2"/>
  <c r="BI65" i="2"/>
  <c r="BI81" i="2"/>
  <c r="BI191" i="2"/>
  <c r="BI93" i="2"/>
  <c r="BI5" i="2"/>
  <c r="BI148" i="2"/>
  <c r="BI181" i="2"/>
  <c r="BI15" i="2"/>
  <c r="BI29" i="2"/>
  <c r="BI92" i="2"/>
  <c r="BI190" i="2"/>
  <c r="BI154" i="2"/>
  <c r="BI140" i="2"/>
  <c r="BI64" i="2"/>
  <c r="BI33" i="2"/>
  <c r="BI160" i="2"/>
  <c r="BI179" i="2"/>
  <c r="BI24" i="2"/>
  <c r="BI128" i="2"/>
  <c r="BI125" i="2"/>
  <c r="BI14" i="2"/>
  <c r="BI196" i="2"/>
  <c r="BI155" i="2"/>
  <c r="BI80" i="2"/>
  <c r="BI149" i="2"/>
  <c r="BI91" i="2"/>
  <c r="BI9" i="2"/>
  <c r="BI67" i="2"/>
  <c r="BI184" i="2"/>
  <c r="BI188" i="2"/>
  <c r="BI27" i="2"/>
  <c r="BI21" i="2"/>
  <c r="BI175" i="2"/>
  <c r="BI94" i="2"/>
  <c r="BI187" i="2"/>
  <c r="BI90" i="2"/>
  <c r="BI150" i="2"/>
  <c r="BI58" i="2"/>
  <c r="BI83" i="2"/>
  <c r="BI145" i="2"/>
  <c r="BI173" i="2"/>
  <c r="BI118" i="2"/>
  <c r="BI70" i="2"/>
  <c r="BI18" i="2"/>
  <c r="BI7" i="2"/>
  <c r="BI174" i="2"/>
  <c r="BI183" i="2"/>
  <c r="BI73" i="2"/>
  <c r="BI16" i="2"/>
  <c r="BI139" i="2"/>
  <c r="BI113" i="2"/>
  <c r="BI163" i="2"/>
  <c r="BI5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<sst xmlns="http://schemas.openxmlformats.org/spreadsheetml/2006/main" count="1181" uniqueCount="330">
  <si>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</si>
  <si>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</si>
  <si>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</si>
  <si>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</si>
  <si>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</si>
  <si>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</si>
  <si>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</si>
  <si>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</si>
  <si>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</si>
  <si>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</si>
  <si>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</si>
  <si>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</si>
  <si>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</si>
  <si>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</si>
  <si>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</si>
  <si>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</si>
  <si>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</si>
  <si>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</si>
  <si>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</si>
  <si>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</si>
  <si>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</si>
  <si>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</si>
  <si>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</si>
  <si>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</si>
  <si>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</si>
  <si>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</si>
  <si>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</si>
  <si>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</si>
  <si>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</si>
  <si>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</si>
  <si>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</si>
  <si>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</si>
  <si>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</si>
  <si>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</si>
  <si>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</si>
  <si>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</si>
  <si>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</si>
  <si>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</si>
  <si>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</si>
  <si>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</si>
  <si>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</si>
  <si>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</si>
  <si>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</si>
  <si>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</si>
  <si>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</si>
  <si>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</si>
  <si>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</si>
  <si>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</si>
  <si>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</si>
  <si>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</si>
  <si>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</si>
  <si>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</si>
  <si>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</si>
  <si>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</si>
  <si>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</si>
  <si>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</si>
  <si>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</si>
  <si>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</si>
  <si>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</si>
  <si>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</si>
  <si>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</si>
  <si>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</si>
  <si>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</si>
  <si>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</si>
  <si>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</si>
  <si>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</si>
  <si>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</si>
  <si>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</si>
  <si>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</si>
  <si>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</si>
  <si>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</si>
  <si>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</si>
  <si>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</si>
  <si>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</si>
  <si>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</si>
  <si>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</si>
  <si>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</si>
  <si>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</si>
  <si>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</si>
  <si>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</si>
  <si>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</si>
  <si>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</si>
  <si>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</si>
  <si>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</si>
  <si>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</si>
  <si>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</si>
  <si>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</si>
  <si>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</si>
  <si>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</si>
  <si>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</si>
  <si>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</si>
  <si>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</si>
  <si>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</si>
  <si>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</si>
  <si>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</si>
  <si>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</si>
  <si>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</si>
  <si>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</si>
  <si>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</si>
  <si>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</si>
  <si>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</si>
  <si>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</si>
  <si>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</si>
  <si>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</si>
  <si>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</si>
  <si>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</si>
  <si>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</si>
  <si>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</si>
  <si>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</si>
  <si>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</si>
  <si>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</si>
  <si>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</si>
  <si>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</si>
  <si>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</si>
  <si>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</si>
  <si>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</si>
  <si>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</si>
  <si>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</si>
  <si>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</si>
  <si>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</si>
  <si>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</si>
  <si>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</si>
  <si>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</si>
  <si>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</si>
  <si>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</si>
  <si>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</si>
  <si>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</si>
  <si>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</si>
  <si>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</si>
  <si>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</si>
  <si>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</si>
  <si>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</si>
  <si>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</si>
  <si>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</si>
  <si>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</si>
  <si>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</si>
  <si>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</si>
  <si>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</si>
  <si>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</si>
  <si>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</si>
  <si>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</si>
  <si>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</si>
  <si>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</si>
  <si>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</si>
  <si>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</si>
  <si>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</si>
  <si>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</si>
  <si>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</si>
  <si>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</si>
  <si>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</si>
  <si>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</si>
  <si>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</si>
  <si>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</si>
  <si>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</si>
  <si>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</si>
  <si>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</si>
  <si>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</si>
  <si>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</si>
  <si>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</si>
  <si>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</si>
  <si>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</si>
  <si>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</si>
  <si>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</si>
  <si>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</si>
  <si>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</si>
  <si>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</si>
  <si>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</si>
  <si>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</si>
  <si>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</si>
  <si>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</si>
  <si>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</si>
  <si>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</si>
  <si>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</si>
  <si>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</si>
  <si>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</si>
  <si>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</si>
  <si>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</si>
  <si>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</si>
  <si>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</si>
  <si>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</si>
  <si>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</si>
  <si>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</si>
  <si>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</si>
  <si>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</si>
  <si>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</si>
  <si>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</si>
  <si>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</si>
  <si>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</si>
  <si>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</si>
  <si>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</si>
  <si>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</si>
  <si>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</si>
  <si>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</si>
  <si>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</si>
  <si>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</si>
  <si>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</si>
  <si>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</si>
  <si>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</si>
  <si>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</si>
  <si>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</si>
  <si>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</si>
  <si>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</si>
  <si>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</si>
  <si>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</si>
  <si>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</si>
  <si>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</si>
  <si>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</si>
  <si>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</si>
  <si>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</si>
  <si>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</si>
  <si>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</si>
  <si>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</si>
  <si>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</si>
  <si>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</si>
  <si>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</si>
  <si>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</si>
  <si>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</si>
  <si>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</si>
  <si>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</si>
  <si>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</si>
  <si>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</si>
  <si>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</si>
  <si>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</si>
  <si>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</si>
  <si>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</si>
  <si>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</si>
  <si>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</si>
  <si>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</si>
  <si>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</si>
  <si>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</si>
  <si>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</si>
  <si>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</si>
  <si>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</si>
  <si>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</si>
  <si>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</si>
  <si>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</si>
  <si>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</si>
  <si>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</si>
  <si>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</si>
  <si>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</si>
  <si>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</si>
  <si>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</si>
  <si>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</si>
  <si>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</si>
  <si>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</si>
  <si>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</si>
  <si>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</si>
  <si>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</si>
  <si>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</si>
  <si>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</si>
  <si>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</si>
  <si>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</si>
  <si>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</si>
  <si>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</si>
  <si>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</si>
  <si>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</si>
  <si>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</si>
  <si>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</si>
  <si>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</si>
  <si>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</si>
  <si>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</si>
  <si>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</si>
  <si>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</si>
  <si>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</si>
  <si>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</si>
  <si>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</si>
  <si>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</si>
  <si>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</si>
  <si>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</si>
  <si>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</si>
  <si>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</si>
  <si>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</si>
  <si>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</si>
  <si>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</si>
  <si>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</si>
  <si>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</si>
  <si>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</si>
  <si>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</si>
  <si>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</si>
  <si>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</si>
  <si>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</si>
  <si>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</si>
  <si>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</si>
  <si>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</si>
  <si>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</si>
  <si>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</si>
  <si>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</si>
  <si>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</si>
  <si>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</si>
  <si>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</si>
  <si>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</si>
  <si>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</si>
  <si>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</si>
  <si>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</si>
  <si>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</si>
  <si>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</si>
  <si>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</si>
  <si>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</si>
  <si>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</si>
  <si>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</si>
  <si>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</si>
  <si>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</si>
  <si>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</si>
  <si>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</si>
  <si>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</si>
  <si>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</si>
  <si>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</si>
  <si>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</si>
  <si>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</si>
  <si>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</si>
  <si>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</si>
  <si>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</si>
  <si>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</si>
  <si>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</si>
  <si>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</si>
  <si>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</si>
  <si>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</si>
  <si>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</si>
  <si>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</si>
  <si>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</si>
  <si>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</si>
  <si>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</si>
  <si>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</si>
  <si>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</si>
  <si>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</si>
  <si>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ONF_F2_N-E France</t>
  </si>
  <si>
    <t>ONF_South Alps_plantation</t>
  </si>
  <si>
    <t>UK for com_F10</t>
  </si>
  <si>
    <t>UK for com_SAB_F8</t>
  </si>
  <si>
    <t>UK For Com_Red cedar_F18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</si>
</sst>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1.4678096381152426</c:v>
                </c:pt>
                <c:pt idx="2">
                  <c:v>1.8577125064402493</c:v>
                </c:pt>
                <c:pt idx="3">
                  <c:v>2.3516058449587698</c:v>
                </c:pt>
                <c:pt idx="4">
                  <c:v>2.9773303702260798</c:v>
                </c:pt>
                <c:pt idx="5">
                  <c:v>3.7702069504069935</c:v>
                </c:pt>
                <c:pt idx="6">
                  <c:v>4.775052990760897</c:v>
                </c:pt>
                <c:pt idx="7">
                  <c:v>6.0487440231116798</c:v>
                </c:pt>
                <c:pt idx="8">
                  <c:v>7.6634683274288991</c:v>
                </c:pt>
                <c:pt idx="9">
                  <c:v>9.7108625983638834</c:v>
                </c:pt>
                <c:pt idx="10">
                  <c:v>12.30726780313973</c:v>
                </c:pt>
                <c:pt idx="11">
                  <c:v>15.600409448968461</c:v>
                </c:pt>
                <c:pt idx="12">
                  <c:v>19.77788929527058</c:v>
                </c:pt>
                <c:pt idx="13">
                  <c:v>25.077980957302103</c:v>
                </c:pt>
                <c:pt idx="14">
                  <c:v>31.803356029588638</c:v>
                </c:pt>
                <c:pt idx="15">
                  <c:v>40.33853817733057</c:v>
                </c:pt>
                <c:pt idx="16">
                  <c:v>51.172100124303235</c:v>
                </c:pt>
                <c:pt idx="17">
                  <c:v>64.924895375729704</c:v>
                </c:pt>
                <c:pt idx="18">
                  <c:v>82.385969123201647</c:v>
                </c:pt>
                <c:pt idx="19">
                  <c:v>104.55824181585456</c:v>
                </c:pt>
                <c:pt idx="20">
                  <c:v>132.71663076326527</c:v>
                </c:pt>
                <c:pt idx="21">
                  <c:v>149.86349088994214</c:v>
                </c:pt>
                <c:pt idx="22">
                  <c:v>171.75929390005538</c:v>
                </c:pt>
                <c:pt idx="23">
                  <c:v>193.58937066536194</c:v>
                </c:pt>
                <c:pt idx="24">
                  <c:v>215.36217958372643</c:v>
                </c:pt>
                <c:pt idx="25">
                  <c:v>237.08432568129535</c:v>
                </c:pt>
                <c:pt idx="26">
                  <c:v>201.4261589469568</c:v>
                </c:pt>
                <c:pt idx="27">
                  <c:v>225.84813487839025</c:v>
                </c:pt>
                <c:pt idx="28">
                  <c:v>250.20960494403877</c:v>
                </c:pt>
                <c:pt idx="29">
                  <c:v>274.51728748697752</c:v>
                </c:pt>
                <c:pt idx="30">
                  <c:v>298.776612945463</c:v>
                </c:pt>
                <c:pt idx="31">
                  <c:v>263.88892164359248</c:v>
                </c:pt>
                <c:pt idx="32">
                  <c:v>288.73729643997962</c:v>
                </c:pt>
                <c:pt idx="33">
                  <c:v>313.53786869396725</c:v>
                </c:pt>
                <c:pt idx="34">
                  <c:v>338.29494871140395</c:v>
                </c:pt>
                <c:pt idx="35">
                  <c:v>363.01216447261658</c:v>
                </c:pt>
                <c:pt idx="36">
                  <c:v>327.52788280677879</c:v>
                </c:pt>
                <c:pt idx="37">
                  <c:v>351.50737289573021</c:v>
                </c:pt>
                <c:pt idx="38">
                  <c:v>375.45100724100371</c:v>
                </c:pt>
                <c:pt idx="39">
                  <c:v>399.36139216370793</c:v>
                </c:pt>
                <c:pt idx="40">
                  <c:v>423.24079659257137</c:v>
                </c:pt>
                <c:pt idx="41">
                  <c:v>386.75124975440627</c:v>
                </c:pt>
                <c:pt idx="42">
                  <c:v>409.51850419898801</c:v>
                </c:pt>
                <c:pt idx="43">
                  <c:v>432.25843496585861</c:v>
                </c:pt>
                <c:pt idx="44">
                  <c:v>454.97268045088828</c:v>
                </c:pt>
                <c:pt idx="45">
                  <c:v>477.66270222958752</c:v>
                </c:pt>
                <c:pt idx="46">
                  <c:v>439.95779815210875</c:v>
                </c:pt>
                <c:pt idx="47">
                  <c:v>461.35077692036253</c:v>
                </c:pt>
                <c:pt idx="48">
                  <c:v>482.72259451250079</c:v>
                </c:pt>
                <c:pt idx="49">
                  <c:v>504.07431885281977</c:v>
                </c:pt>
                <c:pt idx="50">
                  <c:v>525.40692008667054</c:v>
                </c:pt>
                <c:pt idx="51">
                  <c:v>486.65728665769012</c:v>
                </c:pt>
                <c:pt idx="52">
                  <c:v>506.8823127476889</c:v>
                </c:pt>
                <c:pt idx="53">
                  <c:v>527.09028501417185</c:v>
                </c:pt>
                <c:pt idx="54">
                  <c:v>547.2819487678953</c:v>
                </c:pt>
                <c:pt idx="55">
                  <c:v>567.45798988344666</c:v>
                </c:pt>
                <c:pt idx="56">
                  <c:v>530.08265448348277</c:v>
                </c:pt>
                <c:pt idx="57">
                  <c:v>548.77699801739243</c:v>
                </c:pt>
                <c:pt idx="58">
                  <c:v>567.45798988344666</c:v>
                </c:pt>
                <c:pt idx="59">
                  <c:v>586.12613117064211</c:v>
                </c:pt>
                <c:pt idx="60">
                  <c:v>604.78188847071704</c:v>
                </c:pt>
                <c:pt idx="61">
                  <c:v>572.68634410740208</c:v>
                </c:pt>
                <c:pt idx="62">
                  <c:v>590.04485244072748</c:v>
                </c:pt>
                <c:pt idx="63">
                  <c:v>607.39273139699276</c:v>
                </c:pt>
                <c:pt idx="64">
                  <c:v>624.73032709457823</c:v>
                </c:pt>
                <c:pt idx="65">
                  <c:v>642.05796488895498</c:v>
                </c:pt>
                <c:pt idx="66">
                  <c:v>613.3594992761856</c:v>
                </c:pt>
                <c:pt idx="67">
                  <c:v>629.38925981661589</c:v>
                </c:pt>
                <c:pt idx="68">
                  <c:v>645.41057723213919</c:v>
                </c:pt>
                <c:pt idx="69">
                  <c:v>661.42369048595856</c:v>
                </c:pt>
                <c:pt idx="70">
                  <c:v>677.42882603564658</c:v>
                </c:pt>
                <c:pt idx="71">
                  <c:v>650.25260563533459</c:v>
                </c:pt>
                <c:pt idx="72">
                  <c:v>664.96038766605932</c:v>
                </c:pt>
                <c:pt idx="73">
                  <c:v>679.6614788352457</c:v>
                </c:pt>
                <c:pt idx="74">
                  <c:v>694.35604416044907</c:v>
                </c:pt>
                <c:pt idx="75">
                  <c:v>709.04424111007302</c:v>
                </c:pt>
                <c:pt idx="76">
                  <c:v>682.63811513058772</c:v>
                </c:pt>
                <c:pt idx="77">
                  <c:v>696.21565844927864</c:v>
                </c:pt>
                <c:pt idx="78">
                  <c:v>709.78778066070856</c:v>
                </c:pt>
                <c:pt idx="79">
                  <c:v>723.35459996506006</c:v>
                </c:pt>
                <c:pt idx="80">
                  <c:v>736.91622977013833</c:v>
                </c:pt>
                <c:pt idx="81">
                  <c:v>1.5119369728679821E-12</c:v>
                </c:pt>
                <c:pt idx="82">
                  <c:v>1.5119369728679821E-12</c:v>
                </c:pt>
                <c:pt idx="83">
                  <c:v>1.5119369728679821E-12</c:v>
                </c:pt>
                <c:pt idx="84">
                  <c:v>1.5119369728679821E-12</c:v>
                </c:pt>
                <c:pt idx="85">
                  <c:v>1.5119369728679821E-12</c:v>
                </c:pt>
                <c:pt idx="86">
                  <c:v>1.5119369728679821E-12</c:v>
                </c:pt>
                <c:pt idx="87">
                  <c:v>1.5119369728679821E-12</c:v>
                </c:pt>
                <c:pt idx="88">
                  <c:v>1.5119369728679821E-12</c:v>
                </c:pt>
                <c:pt idx="89">
                  <c:v>1.5119369728679821E-12</c:v>
                </c:pt>
                <c:pt idx="90">
                  <c:v>1.5119369728679821E-12</c:v>
                </c:pt>
                <c:pt idx="91">
                  <c:v>1.5119369728679821E-12</c:v>
                </c:pt>
                <c:pt idx="92">
                  <c:v>1.5119369728679821E-12</c:v>
                </c:pt>
                <c:pt idx="93">
                  <c:v>1.5119369728679821E-12</c:v>
                </c:pt>
                <c:pt idx="94">
                  <c:v>1.5119369728679821E-12</c:v>
                </c:pt>
                <c:pt idx="95">
                  <c:v>1.5119369728679821E-12</c:v>
                </c:pt>
                <c:pt idx="96">
                  <c:v>1.5119369728679821E-12</c:v>
                </c:pt>
                <c:pt idx="97">
                  <c:v>1.5119369728679821E-12</c:v>
                </c:pt>
                <c:pt idx="98">
                  <c:v>1.5119369728679821E-12</c:v>
                </c:pt>
                <c:pt idx="99">
                  <c:v>1.5119369728679821E-12</c:v>
                </c:pt>
                <c:pt idx="100">
                  <c:v>1.5119369728679821E-12</c:v>
                </c:pt>
                <c:pt idx="101">
                  <c:v>1.5119369728679821E-12</c:v>
                </c:pt>
                <c:pt idx="102">
                  <c:v>1.5119369728679821E-12</c:v>
                </c:pt>
                <c:pt idx="103">
                  <c:v>1.5119369728679821E-12</c:v>
                </c:pt>
                <c:pt idx="104">
                  <c:v>1.5119369728679821E-12</c:v>
                </c:pt>
                <c:pt idx="105">
                  <c:v>1.5119369728679821E-12</c:v>
                </c:pt>
                <c:pt idx="106">
                  <c:v>1.5119369728679821E-12</c:v>
                </c:pt>
                <c:pt idx="107">
                  <c:v>1.5119369728679821E-12</c:v>
                </c:pt>
                <c:pt idx="108">
                  <c:v>1.5119369728679821E-12</c:v>
                </c:pt>
                <c:pt idx="109">
                  <c:v>1.5119369728679821E-12</c:v>
                </c:pt>
                <c:pt idx="110">
                  <c:v>1.5119369728679821E-12</c:v>
                </c:pt>
                <c:pt idx="111">
                  <c:v>1.5119369728679821E-12</c:v>
                </c:pt>
                <c:pt idx="112">
                  <c:v>1.5119369728679821E-12</c:v>
                </c:pt>
                <c:pt idx="113">
                  <c:v>1.5119369728679821E-12</c:v>
                </c:pt>
                <c:pt idx="114">
                  <c:v>1.5119369728679821E-12</c:v>
                </c:pt>
                <c:pt idx="115">
                  <c:v>1.5119369728679821E-12</c:v>
                </c:pt>
                <c:pt idx="116">
                  <c:v>1.5119369728679821E-12</c:v>
                </c:pt>
                <c:pt idx="117">
                  <c:v>1.5119369728679821E-12</c:v>
                </c:pt>
                <c:pt idx="118">
                  <c:v>1.5119369728679821E-12</c:v>
                </c:pt>
                <c:pt idx="119">
                  <c:v>1.5119369728679821E-12</c:v>
                </c:pt>
                <c:pt idx="120">
                  <c:v>1.5119369728679821E-12</c:v>
                </c:pt>
                <c:pt idx="121">
                  <c:v>1.5119369728679821E-12</c:v>
                </c:pt>
                <c:pt idx="122">
                  <c:v>1.5119369728679821E-12</c:v>
                </c:pt>
                <c:pt idx="123">
                  <c:v>1.5119369728679821E-12</c:v>
                </c:pt>
                <c:pt idx="124">
                  <c:v>1.5119369728679821E-12</c:v>
                </c:pt>
                <c:pt idx="125">
                  <c:v>1.5119369728679821E-12</c:v>
                </c:pt>
                <c:pt idx="126">
                  <c:v>1.5119369728679821E-12</c:v>
                </c:pt>
                <c:pt idx="127">
                  <c:v>1.5119369728679821E-12</c:v>
                </c:pt>
                <c:pt idx="128">
                  <c:v>1.5119369728679821E-12</c:v>
                </c:pt>
                <c:pt idx="129">
                  <c:v>1.5119369728679821E-12</c:v>
                </c:pt>
                <c:pt idx="130">
                  <c:v>1.5119369728679821E-12</c:v>
                </c:pt>
                <c:pt idx="131">
                  <c:v>1.5119369728679821E-12</c:v>
                </c:pt>
                <c:pt idx="132">
                  <c:v>1.5119369728679821E-12</c:v>
                </c:pt>
                <c:pt idx="133">
                  <c:v>1.5119369728679821E-12</c:v>
                </c:pt>
                <c:pt idx="134">
                  <c:v>1.5119369728679821E-12</c:v>
                </c:pt>
                <c:pt idx="135">
                  <c:v>1.5119369728679821E-12</c:v>
                </c:pt>
                <c:pt idx="136">
                  <c:v>1.5119369728679821E-12</c:v>
                </c:pt>
                <c:pt idx="137">
                  <c:v>1.5119369728679821E-12</c:v>
                </c:pt>
                <c:pt idx="138">
                  <c:v>1.5119369728679821E-12</c:v>
                </c:pt>
                <c:pt idx="139">
                  <c:v>1.5119369728679821E-12</c:v>
                </c:pt>
                <c:pt idx="140">
                  <c:v>1.5119369728679821E-12</c:v>
                </c:pt>
                <c:pt idx="141">
                  <c:v>1.5119369728679821E-12</c:v>
                </c:pt>
                <c:pt idx="142">
                  <c:v>1.5119369728679821E-12</c:v>
                </c:pt>
                <c:pt idx="143">
                  <c:v>1.5119369728679821E-12</c:v>
                </c:pt>
                <c:pt idx="144">
                  <c:v>1.5119369728679821E-12</c:v>
                </c:pt>
                <c:pt idx="145">
                  <c:v>1.5119369728679821E-12</c:v>
                </c:pt>
                <c:pt idx="146">
                  <c:v>1.5119369728679821E-12</c:v>
                </c:pt>
                <c:pt idx="147">
                  <c:v>1.5119369728679821E-12</c:v>
                </c:pt>
                <c:pt idx="148">
                  <c:v>1.5119369728679821E-12</c:v>
                </c:pt>
                <c:pt idx="149">
                  <c:v>1.5119369728679821E-12</c:v>
                </c:pt>
                <c:pt idx="150">
                  <c:v>1.5119369728679821E-12</c:v>
                </c:pt>
                <c:pt idx="151">
                  <c:v>1.5119369728679821E-12</c:v>
                </c:pt>
                <c:pt idx="152">
                  <c:v>1.5119369728679821E-12</c:v>
                </c:pt>
                <c:pt idx="153">
                  <c:v>1.5119369728679821E-12</c:v>
                </c:pt>
                <c:pt idx="154">
                  <c:v>1.5119369728679821E-12</c:v>
                </c:pt>
                <c:pt idx="155">
                  <c:v>1.5119369728679821E-12</c:v>
                </c:pt>
                <c:pt idx="156">
                  <c:v>1.5119369728679821E-12</c:v>
                </c:pt>
                <c:pt idx="157">
                  <c:v>1.5119369728679821E-12</c:v>
                </c:pt>
                <c:pt idx="158">
                  <c:v>1.5119369728679821E-12</c:v>
                </c:pt>
                <c:pt idx="159">
                  <c:v>1.5119369728679821E-12</c:v>
                </c:pt>
                <c:pt idx="160">
                  <c:v>1.5119369728679821E-12</c:v>
                </c:pt>
                <c:pt idx="161">
                  <c:v>1.5119369728679821E-12</c:v>
                </c:pt>
                <c:pt idx="162">
                  <c:v>1.5119369728679821E-12</c:v>
                </c:pt>
                <c:pt idx="163">
                  <c:v>1.5119369728679821E-12</c:v>
                </c:pt>
                <c:pt idx="164">
                  <c:v>1.5119369728679821E-12</c:v>
                </c:pt>
                <c:pt idx="165">
                  <c:v>1.5119369728679821E-12</c:v>
                </c:pt>
                <c:pt idx="166">
                  <c:v>1.5119369728679821E-12</c:v>
                </c:pt>
                <c:pt idx="167">
                  <c:v>1.5119369728679821E-12</c:v>
                </c:pt>
                <c:pt idx="168">
                  <c:v>1.5119369728679821E-12</c:v>
                </c:pt>
                <c:pt idx="169">
                  <c:v>1.5119369728679821E-12</c:v>
                </c:pt>
                <c:pt idx="170">
                  <c:v>1.5119369728679821E-12</c:v>
                </c:pt>
                <c:pt idx="171">
                  <c:v>1.5119369728679821E-12</c:v>
                </c:pt>
                <c:pt idx="172">
                  <c:v>1.5119369728679821E-12</c:v>
                </c:pt>
                <c:pt idx="173">
                  <c:v>1.5119369728679821E-12</c:v>
                </c:pt>
                <c:pt idx="174">
                  <c:v>1.5119369728679821E-12</c:v>
                </c:pt>
                <c:pt idx="175">
                  <c:v>1.5119369728679821E-12</c:v>
                </c:pt>
                <c:pt idx="176">
                  <c:v>1.5119369728679821E-12</c:v>
                </c:pt>
                <c:pt idx="177">
                  <c:v>1.5119369728679821E-12</c:v>
                </c:pt>
                <c:pt idx="178">
                  <c:v>1.5119369728679821E-12</c:v>
                </c:pt>
                <c:pt idx="179">
                  <c:v>1.5119369728679821E-12</c:v>
                </c:pt>
                <c:pt idx="180">
                  <c:v>1.5119369728679821E-12</c:v>
                </c:pt>
                <c:pt idx="181">
                  <c:v>1.5119369728679821E-12</c:v>
                </c:pt>
                <c:pt idx="182">
                  <c:v>1.5119369728679821E-12</c:v>
                </c:pt>
                <c:pt idx="183">
                  <c:v>1.5119369728679821E-12</c:v>
                </c:pt>
                <c:pt idx="184">
                  <c:v>1.5119369728679821E-12</c:v>
                </c:pt>
                <c:pt idx="185">
                  <c:v>1.5119369728679821E-12</c:v>
                </c:pt>
                <c:pt idx="186">
                  <c:v>1.5119369728679821E-12</c:v>
                </c:pt>
                <c:pt idx="187">
                  <c:v>1.5119369728679821E-12</c:v>
                </c:pt>
                <c:pt idx="188">
                  <c:v>1.5119369728679821E-12</c:v>
                </c:pt>
                <c:pt idx="189">
                  <c:v>1.5119369728679821E-12</c:v>
                </c:pt>
                <c:pt idx="190">
                  <c:v>1.5119369728679821E-12</c:v>
                </c:pt>
                <c:pt idx="191">
                  <c:v>1.5119369728679821E-12</c:v>
                </c:pt>
                <c:pt idx="192">
                  <c:v>1.5119369728679821E-12</c:v>
                </c:pt>
                <c:pt idx="193">
                  <c:v>1.5119369728679821E-12</c:v>
                </c:pt>
                <c:pt idx="194">
                  <c:v>1.5119369728679821E-12</c:v>
                </c:pt>
                <c:pt idx="195">
                  <c:v>1.5119369728679821E-12</c:v>
                </c:pt>
                <c:pt idx="196">
                  <c:v>1.5119369728679821E-12</c:v>
                </c:pt>
                <c:pt idx="197">
                  <c:v>1.5119369728679821E-12</c:v>
                </c:pt>
                <c:pt idx="198">
                  <c:v>1.5119369728679821E-12</c:v>
                </c:pt>
                <c:pt idx="199">
                  <c:v>1.5119369728679821E-12</c:v>
                </c:pt>
                <c:pt idx="200">
                  <c:v>1.5119369728679821E-12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10.048304616950057</c:v>
                </c:pt>
                <c:pt idx="2">
                  <c:v>19.659137741821663</c:v>
                </c:pt>
                <c:pt idx="3">
                  <c:v>29.128689534447123</c:v>
                </c:pt>
                <c:pt idx="4">
                  <c:v>38.511152226622073</c:v>
                </c:pt>
                <c:pt idx="5">
                  <c:v>47.831087514335131</c:v>
                </c:pt>
                <c:pt idx="6">
                  <c:v>57.102506414457658</c:v>
                </c:pt>
                <c:pt idx="7">
                  <c:v>66.334441287822742</c:v>
                </c:pt>
                <c:pt idx="8">
                  <c:v>75.53318353034804</c:v>
                </c:pt>
                <c:pt idx="9">
                  <c:v>84.70335739806599</c:v>
                </c:pt>
                <c:pt idx="10">
                  <c:v>93.848499249538975</c:v>
                </c:pt>
                <c:pt idx="11">
                  <c:v>102.97139724369315</c:v>
                </c:pt>
                <c:pt idx="12">
                  <c:v>112.07430352517288</c:v>
                </c:pt>
                <c:pt idx="13">
                  <c:v>121.15907347671678</c:v>
                </c:pt>
                <c:pt idx="14">
                  <c:v>130.22726082253777</c:v>
                </c:pt>
                <c:pt idx="15">
                  <c:v>139.28018474891235</c:v>
                </c:pt>
                <c:pt idx="16">
                  <c:v>148.31897859961927</c:v>
                </c:pt>
                <c:pt idx="17">
                  <c:v>157.3446260433652</c:v>
                </c:pt>
                <c:pt idx="18">
                  <c:v>166.35798848569573</c:v>
                </c:pt>
                <c:pt idx="19">
                  <c:v>175.35982621473178</c:v>
                </c:pt>
                <c:pt idx="20">
                  <c:v>184.35081496817375</c:v>
                </c:pt>
                <c:pt idx="21">
                  <c:v>193.33155909274402</c:v>
                </c:pt>
                <c:pt idx="22">
                  <c:v>202.30260212604904</c:v>
                </c:pt>
                <c:pt idx="23">
                  <c:v>211.26443540008074</c:v>
                </c:pt>
                <c:pt idx="24">
                  <c:v>220.21750510623642</c:v>
                </c:pt>
                <c:pt idx="25">
                  <c:v>229.16221814965567</c:v>
                </c:pt>
                <c:pt idx="26">
                  <c:v>238.09894704049665</c:v>
                </c:pt>
                <c:pt idx="27">
                  <c:v>247.02803401154202</c:v>
                </c:pt>
                <c:pt idx="28">
                  <c:v>255.94979450864125</c:v>
                </c:pt>
                <c:pt idx="29">
                  <c:v>264.86452016850518</c:v>
                </c:pt>
                <c:pt idx="30">
                  <c:v>273.77248137423243</c:v>
                </c:pt>
                <c:pt idx="31">
                  <c:v>282.67392946052559</c:v>
                </c:pt>
                <c:pt idx="32">
                  <c:v>291.56909862637139</c:v>
                </c:pt>
                <c:pt idx="33">
                  <c:v>300.45820760191901</c:v>
                </c:pt>
                <c:pt idx="34">
                  <c:v>309.34146110763578</c:v>
                </c:pt>
                <c:pt idx="35">
                  <c:v>318.21905113697397</c:v>
                </c:pt>
                <c:pt idx="36">
                  <c:v>327.09115808832604</c:v>
                </c:pt>
                <c:pt idx="37">
                  <c:v>335.95795176767251</c:v>
                </c:pt>
                <c:pt idx="38">
                  <c:v>344.81959227978564</c:v>
                </c:pt>
                <c:pt idx="39">
                  <c:v>353.67623082298468</c:v>
                </c:pt>
                <c:pt idx="40">
                  <c:v>362.52801040008325</c:v>
                </c:pt>
                <c:pt idx="41">
                  <c:v>371.3750664562408</c:v>
                </c:pt>
                <c:pt idx="42">
                  <c:v>380.21752745283328</c:v>
                </c:pt>
                <c:pt idx="43">
                  <c:v>389.05551538512827</c:v>
                </c:pt>
                <c:pt idx="44">
                  <c:v>397.8891462504501</c:v>
                </c:pt>
                <c:pt idx="45">
                  <c:v>268.3332207978392</c:v>
                </c:pt>
                <c:pt idx="46">
                  <c:v>287.12426874710326</c:v>
                </c:pt>
                <c:pt idx="47">
                  <c:v>305.88781482274101</c:v>
                </c:pt>
                <c:pt idx="48">
                  <c:v>324.62578288235642</c:v>
                </c:pt>
                <c:pt idx="49">
                  <c:v>343.33985656629596</c:v>
                </c:pt>
                <c:pt idx="50">
                  <c:v>362.0315210237124</c:v>
                </c:pt>
                <c:pt idx="51">
                  <c:v>380.70209556651133</c:v>
                </c:pt>
                <c:pt idx="52">
                  <c:v>304.14921959879979</c:v>
                </c:pt>
                <c:pt idx="53">
                  <c:v>321.868890544267</c:v>
                </c:pt>
                <c:pt idx="54">
                  <c:v>339.56699231057195</c:v>
                </c:pt>
                <c:pt idx="55">
                  <c:v>357.24480696016116</c:v>
                </c:pt>
                <c:pt idx="56">
                  <c:v>374.90347933824819</c:v>
                </c:pt>
                <c:pt idx="57">
                  <c:v>392.54403766469613</c:v>
                </c:pt>
                <c:pt idx="58">
                  <c:v>410.16741023037071</c:v>
                </c:pt>
                <c:pt idx="59">
                  <c:v>427.77443907396082</c:v>
                </c:pt>
                <c:pt idx="60">
                  <c:v>342.61772102411163</c:v>
                </c:pt>
                <c:pt idx="61">
                  <c:v>359.16062505062047</c:v>
                </c:pt>
                <c:pt idx="62">
                  <c:v>375.68686388798625</c:v>
                </c:pt>
                <c:pt idx="63">
                  <c:v>392.19727364217937</c:v>
                </c:pt>
                <c:pt idx="64">
                  <c:v>408.6926142945477</c:v>
                </c:pt>
                <c:pt idx="65">
                  <c:v>425.17357948922836</c:v>
                </c:pt>
                <c:pt idx="66">
                  <c:v>441.64080472385695</c:v>
                </c:pt>
                <c:pt idx="67">
                  <c:v>458.09487425506512</c:v>
                </c:pt>
                <c:pt idx="68">
                  <c:v>389.00384145999186</c:v>
                </c:pt>
                <c:pt idx="69">
                  <c:v>404.88840808380127</c:v>
                </c:pt>
                <c:pt idx="70">
                  <c:v>420.75950620505029</c:v>
                </c:pt>
                <c:pt idx="71">
                  <c:v>436.61771524956117</c:v>
                </c:pt>
                <c:pt idx="72">
                  <c:v>452.46356913105257</c:v>
                </c:pt>
                <c:pt idx="73">
                  <c:v>468.29756132773349</c:v>
                </c:pt>
                <c:pt idx="74">
                  <c:v>484.12014923664145</c:v>
                </c:pt>
                <c:pt idx="75">
                  <c:v>499.93175792920005</c:v>
                </c:pt>
                <c:pt idx="76">
                  <c:v>432.23287601174712</c:v>
                </c:pt>
                <c:pt idx="77">
                  <c:v>447.64293801816285</c:v>
                </c:pt>
                <c:pt idx="78">
                  <c:v>463.04164880223556</c:v>
                </c:pt>
                <c:pt idx="79">
                  <c:v>478.42943889795788</c:v>
                </c:pt>
                <c:pt idx="80">
                  <c:v>493.80670889501863</c:v>
                </c:pt>
                <c:pt idx="81">
                  <c:v>509.17383240843407</c:v>
                </c:pt>
                <c:pt idx="82">
                  <c:v>524.53115867111683</c:v>
                </c:pt>
                <c:pt idx="83">
                  <c:v>539.879014807114</c:v>
                </c:pt>
                <c:pt idx="84">
                  <c:v>555.21770783299235</c:v>
                </c:pt>
                <c:pt idx="85">
                  <c:v>474.82491637704396</c:v>
                </c:pt>
                <c:pt idx="86">
                  <c:v>489.58681562555012</c:v>
                </c:pt>
                <c:pt idx="87">
                  <c:v>504.33927544305925</c:v>
                </c:pt>
                <c:pt idx="88">
                  <c:v>519.08261074179791</c:v>
                </c:pt>
                <c:pt idx="89">
                  <c:v>533.81711709291642</c:v>
                </c:pt>
                <c:pt idx="90">
                  <c:v>548.54307242652112</c:v>
                </c:pt>
                <c:pt idx="91">
                  <c:v>563.26073853972309</c:v>
                </c:pt>
                <c:pt idx="92">
                  <c:v>577.97036243893194</c:v>
                </c:pt>
                <c:pt idx="93">
                  <c:v>592.67217753845057</c:v>
                </c:pt>
                <c:pt idx="94">
                  <c:v>525.39800785268062</c:v>
                </c:pt>
                <c:pt idx="95">
                  <c:v>540.1830286906735</c:v>
                </c:pt>
                <c:pt idx="96">
                  <c:v>554.95955132926986</c:v>
                </c:pt>
                <c:pt idx="97">
                  <c:v>569.727833819701</c:v>
                </c:pt>
                <c:pt idx="98">
                  <c:v>584.48811975027968</c:v>
                </c:pt>
                <c:pt idx="99">
                  <c:v>599.24063940933604</c:v>
                </c:pt>
                <c:pt idx="100">
                  <c:v>613.98561082773153</c:v>
                </c:pt>
                <c:pt idx="101">
                  <c:v>628.72324071607227</c:v>
                </c:pt>
                <c:pt idx="102">
                  <c:v>643.45372530952898</c:v>
                </c:pt>
                <c:pt idx="103">
                  <c:v>658.17725113131621</c:v>
                </c:pt>
                <c:pt idx="104">
                  <c:v>564.13309016863479</c:v>
                </c:pt>
                <c:pt idx="105">
                  <c:v>578.49132971991378</c:v>
                </c:pt>
                <c:pt idx="106">
                  <c:v>592.84213641116253</c:v>
                </c:pt>
                <c:pt idx="107">
                  <c:v>607.18571543100336</c:v>
                </c:pt>
                <c:pt idx="108">
                  <c:v>621.52226148809166</c:v>
                </c:pt>
                <c:pt idx="109">
                  <c:v>635.85195958078464</c:v>
                </c:pt>
                <c:pt idx="110">
                  <c:v>650.17498569385816</c:v>
                </c:pt>
                <c:pt idx="111">
                  <c:v>664.4915074306748</c:v>
                </c:pt>
                <c:pt idx="112">
                  <c:v>678.80168458807077</c:v>
                </c:pt>
                <c:pt idx="113">
                  <c:v>693.1056696802774</c:v>
                </c:pt>
                <c:pt idx="114">
                  <c:v>621.05803334398831</c:v>
                </c:pt>
                <c:pt idx="115">
                  <c:v>636.03374756047731</c:v>
                </c:pt>
                <c:pt idx="116">
                  <c:v>651.00217703731926</c:v>
                </c:pt>
                <c:pt idx="117">
                  <c:v>665.96351276314715</c:v>
                </c:pt>
                <c:pt idx="118">
                  <c:v>680.91793645117184</c:v>
                </c:pt>
                <c:pt idx="119">
                  <c:v>695.86562118765994</c:v>
                </c:pt>
                <c:pt idx="120">
                  <c:v>710.80673202183868</c:v>
                </c:pt>
                <c:pt idx="121">
                  <c:v>725.74142650365923</c:v>
                </c:pt>
                <c:pt idx="122">
                  <c:v>740.66985517502701</c:v>
                </c:pt>
                <c:pt idx="123">
                  <c:v>755.59216201940251</c:v>
                </c:pt>
                <c:pt idx="124">
                  <c:v>770.50848487406813</c:v>
                </c:pt>
                <c:pt idx="125">
                  <c:v>785.41895580883818</c:v>
                </c:pt>
                <c:pt idx="126">
                  <c:v>667.10335010791766</c:v>
                </c:pt>
                <c:pt idx="127">
                  <c:v>681.93031271442624</c:v>
                </c:pt>
                <c:pt idx="128">
                  <c:v>696.75066156269395</c:v>
                </c:pt>
                <c:pt idx="129">
                  <c:v>711.56455705323924</c:v>
                </c:pt>
                <c:pt idx="130">
                  <c:v>726.37215236822306</c:v>
                </c:pt>
                <c:pt idx="131">
                  <c:v>741.17359393984896</c:v>
                </c:pt>
                <c:pt idx="132">
                  <c:v>755.96902187943522</c:v>
                </c:pt>
                <c:pt idx="133">
                  <c:v>770.75857037117385</c:v>
                </c:pt>
                <c:pt idx="134">
                  <c:v>785.54236803412675</c:v>
                </c:pt>
                <c:pt idx="135">
                  <c:v>800.32053825557568</c:v>
                </c:pt>
                <c:pt idx="136">
                  <c:v>815.0931994984943</c:v>
                </c:pt>
                <c:pt idx="137">
                  <c:v>829.86046558559235</c:v>
                </c:pt>
                <c:pt idx="138">
                  <c:v>702.45053268798029</c:v>
                </c:pt>
                <c:pt idx="139">
                  <c:v>716.91008548011894</c:v>
                </c:pt>
                <c:pt idx="140">
                  <c:v>731.36368508615408</c:v>
                </c:pt>
                <c:pt idx="141">
                  <c:v>745.81146564640403</c:v>
                </c:pt>
                <c:pt idx="142">
                  <c:v>760.25355568429995</c:v>
                </c:pt>
                <c:pt idx="143">
                  <c:v>774.69007844601583</c:v>
                </c:pt>
                <c:pt idx="144">
                  <c:v>789.12115221348574</c:v>
                </c:pt>
                <c:pt idx="145">
                  <c:v>803.54689059335408</c:v>
                </c:pt>
                <c:pt idx="146">
                  <c:v>817.96740278411835</c:v>
                </c:pt>
                <c:pt idx="147">
                  <c:v>832.38279382346775</c:v>
                </c:pt>
                <c:pt idx="148">
                  <c:v>846.79316481761714</c:v>
                </c:pt>
                <c:pt idx="149">
                  <c:v>861.1986131542327</c:v>
                </c:pt>
                <c:pt idx="150">
                  <c:v>533.64327606171275</c:v>
                </c:pt>
                <c:pt idx="151">
                  <c:v>542.45026377233353</c:v>
                </c:pt>
                <c:pt idx="152">
                  <c:v>551.25424958322492</c:v>
                </c:pt>
                <c:pt idx="153">
                  <c:v>560.0552882026393</c:v>
                </c:pt>
                <c:pt idx="154">
                  <c:v>367.85381429737589</c:v>
                </c:pt>
                <c:pt idx="155">
                  <c:v>373.21124685754739</c:v>
                </c:pt>
                <c:pt idx="156">
                  <c:v>378.56700327841526</c:v>
                </c:pt>
                <c:pt idx="157">
                  <c:v>383.92111064505872</c:v>
                </c:pt>
                <c:pt idx="158">
                  <c:v>257.32741893799079</c:v>
                </c:pt>
                <c:pt idx="159">
                  <c:v>260.6667052891749</c:v>
                </c:pt>
                <c:pt idx="160">
                  <c:v>264.00502543298677</c:v>
                </c:pt>
                <c:pt idx="161">
                  <c:v>267.34239333724963</c:v>
                </c:pt>
                <c:pt idx="162">
                  <c:v>1.1479655194098737E-11</c:v>
                </c:pt>
                <c:pt idx="163">
                  <c:v>1.1479655194098737E-11</c:v>
                </c:pt>
                <c:pt idx="164">
                  <c:v>1.1479655194098737E-11</c:v>
                </c:pt>
                <c:pt idx="165">
                  <c:v>1.1479655194098737E-11</c:v>
                </c:pt>
                <c:pt idx="166">
                  <c:v>1.1479655194098737E-11</c:v>
                </c:pt>
                <c:pt idx="167">
                  <c:v>1.1479655194098737E-11</c:v>
                </c:pt>
                <c:pt idx="168">
                  <c:v>1.1479655194098737E-11</c:v>
                </c:pt>
                <c:pt idx="169">
                  <c:v>1.1479655194098737E-11</c:v>
                </c:pt>
                <c:pt idx="170">
                  <c:v>1.1479655194098737E-11</c:v>
                </c:pt>
                <c:pt idx="171">
                  <c:v>1.1479655194098737E-11</c:v>
                </c:pt>
                <c:pt idx="172">
                  <c:v>1.1479655194098737E-11</c:v>
                </c:pt>
                <c:pt idx="173">
                  <c:v>1.1479655194098737E-11</c:v>
                </c:pt>
                <c:pt idx="174">
                  <c:v>1.1479655194098737E-11</c:v>
                </c:pt>
                <c:pt idx="175">
                  <c:v>1.1479655194098737E-11</c:v>
                </c:pt>
                <c:pt idx="176">
                  <c:v>1.1479655194098737E-11</c:v>
                </c:pt>
                <c:pt idx="177">
                  <c:v>1.1479655194098737E-11</c:v>
                </c:pt>
                <c:pt idx="178">
                  <c:v>1.1479655194098737E-11</c:v>
                </c:pt>
                <c:pt idx="179">
                  <c:v>1.1479655194098737E-11</c:v>
                </c:pt>
                <c:pt idx="180">
                  <c:v>1.1479655194098737E-11</c:v>
                </c:pt>
                <c:pt idx="181">
                  <c:v>1.1479655194098737E-11</c:v>
                </c:pt>
                <c:pt idx="182">
                  <c:v>1.1479655194098737E-11</c:v>
                </c:pt>
                <c:pt idx="183">
                  <c:v>1.1479655194098737E-11</c:v>
                </c:pt>
                <c:pt idx="184">
                  <c:v>1.1479655194098737E-11</c:v>
                </c:pt>
                <c:pt idx="185">
                  <c:v>1.1479655194098737E-11</c:v>
                </c:pt>
                <c:pt idx="186">
                  <c:v>1.1479655194098737E-11</c:v>
                </c:pt>
                <c:pt idx="187">
                  <c:v>1.1479655194098737E-11</c:v>
                </c:pt>
                <c:pt idx="188">
                  <c:v>1.1479655194098737E-11</c:v>
                </c:pt>
                <c:pt idx="189">
                  <c:v>1.1479655194098737E-11</c:v>
                </c:pt>
                <c:pt idx="190">
                  <c:v>1.1479655194098737E-11</c:v>
                </c:pt>
                <c:pt idx="191">
                  <c:v>1.1479655194098737E-11</c:v>
                </c:pt>
                <c:pt idx="192">
                  <c:v>1.1479655194098737E-11</c:v>
                </c:pt>
                <c:pt idx="193">
                  <c:v>1.1479655194098737E-11</c:v>
                </c:pt>
                <c:pt idx="194">
                  <c:v>1.1479655194098737E-11</c:v>
                </c:pt>
                <c:pt idx="195">
                  <c:v>1.1479655194098737E-11</c:v>
                </c:pt>
                <c:pt idx="196">
                  <c:v>1.1479655194098737E-11</c:v>
                </c:pt>
                <c:pt idx="197">
                  <c:v>1.1479655194098737E-11</c:v>
                </c:pt>
                <c:pt idx="198">
                  <c:v>1.1479655194098737E-11</c:v>
                </c:pt>
                <c:pt idx="199">
                  <c:v>1.1479655194098737E-11</c:v>
                </c:pt>
                <c:pt idx="200">
                  <c:v>1.1479655194098737E-11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8.4931691935452829</c:v>
                </c:pt>
                <c:pt idx="2">
                  <c:v>16.611167026381423</c:v>
                </c:pt>
                <c:pt idx="3">
                  <c:v>24.608003342132736</c:v>
                </c:pt>
                <c:pt idx="4">
                  <c:v>32.530152879635445</c:v>
                </c:pt>
                <c:pt idx="5">
                  <c:v>40.398679514072789</c:v>
                </c:pt>
                <c:pt idx="6">
                  <c:v>48.225598959290672</c:v>
                </c:pt>
                <c:pt idx="7">
                  <c:v>56.018657281411159</c:v>
                </c:pt>
                <c:pt idx="8">
                  <c:v>63.783249921302826</c:v>
                </c:pt>
                <c:pt idx="9">
                  <c:v>71.523342596639537</c:v>
                </c:pt>
                <c:pt idx="10">
                  <c:v>79.241968054646719</c:v>
                </c:pt>
                <c:pt idx="11">
                  <c:v>86.941517393709418</c:v>
                </c:pt>
                <c:pt idx="12">
                  <c:v>94.623922031499475</c:v>
                </c:pt>
                <c:pt idx="13">
                  <c:v>102.29077312647928</c:v>
                </c:pt>
                <c:pt idx="14">
                  <c:v>109.94340313764945</c:v>
                </c:pt>
                <c:pt idx="15">
                  <c:v>117.58294338652325</c:v>
                </c:pt>
                <c:pt idx="16">
                  <c:v>125.21036581786797</c:v>
                </c:pt>
                <c:pt idx="17">
                  <c:v>132.82651401654309</c:v>
                </c:pt>
                <c:pt idx="18">
                  <c:v>140.43212671569248</c:v>
                </c:pt>
                <c:pt idx="19">
                  <c:v>148.02785593112517</c:v>
                </c:pt>
                <c:pt idx="20">
                  <c:v>155.61428116901962</c:v>
                </c:pt>
                <c:pt idx="21">
                  <c:v>163.19192071133543</c:v>
                </c:pt>
                <c:pt idx="22">
                  <c:v>170.76124069071673</c:v>
                </c:pt>
                <c:pt idx="23">
                  <c:v>178.32266246877316</c:v>
                </c:pt>
                <c:pt idx="24">
                  <c:v>185.87656869497241</c:v>
                </c:pt>
                <c:pt idx="25">
                  <c:v>193.42330832726427</c:v>
                </c:pt>
                <c:pt idx="26">
                  <c:v>200.96320082679168</c:v>
                </c:pt>
                <c:pt idx="27">
                  <c:v>208.49653968911068</c:v>
                </c:pt>
                <c:pt idx="28">
                  <c:v>216.02359543755964</c:v>
                </c:pt>
                <c:pt idx="29">
                  <c:v>223.54461817698814</c:v>
                </c:pt>
                <c:pt idx="30">
                  <c:v>231.05983978535122</c:v>
                </c:pt>
                <c:pt idx="31">
                  <c:v>238.5694758048821</c:v>
                </c:pt>
                <c:pt idx="32">
                  <c:v>246.07372708238827</c:v>
                </c:pt>
                <c:pt idx="33">
                  <c:v>253.57278119875036</c:v>
                </c:pt>
                <c:pt idx="34">
                  <c:v>261.06681372027975</c:v>
                </c:pt>
                <c:pt idx="35">
                  <c:v>268.5559892987219</c:v>
                </c:pt>
                <c:pt idx="36">
                  <c:v>276.04046264201014</c:v>
                </c:pt>
                <c:pt idx="37">
                  <c:v>283.52037937412643</c:v>
                </c:pt>
                <c:pt idx="38">
                  <c:v>290.99587679938986</c:v>
                </c:pt>
                <c:pt idx="39">
                  <c:v>298.46708458403054</c:v>
                </c:pt>
                <c:pt idx="40">
                  <c:v>305.9341253658913</c:v>
                </c:pt>
                <c:pt idx="41">
                  <c:v>313.3971153014437</c:v>
                </c:pt>
                <c:pt idx="42">
                  <c:v>320.85616455793291</c:v>
                </c:pt>
                <c:pt idx="43">
                  <c:v>328.3113777573318</c:v>
                </c:pt>
                <c:pt idx="44">
                  <c:v>335.76285437783423</c:v>
                </c:pt>
                <c:pt idx="45">
                  <c:v>343.21068911781862</c:v>
                </c:pt>
                <c:pt idx="46">
                  <c:v>350.65497222654784</c:v>
                </c:pt>
                <c:pt idx="47">
                  <c:v>358.09578980530131</c:v>
                </c:pt>
                <c:pt idx="48">
                  <c:v>365.53322408215553</c:v>
                </c:pt>
                <c:pt idx="49">
                  <c:v>372.96735366321997</c:v>
                </c:pt>
                <c:pt idx="50">
                  <c:v>380.39825376278469</c:v>
                </c:pt>
                <c:pt idx="51">
                  <c:v>292.06981343437297</c:v>
                </c:pt>
                <c:pt idx="52">
                  <c:v>310.20894467809711</c:v>
                </c:pt>
                <c:pt idx="53">
                  <c:v>328.32453782101334</c:v>
                </c:pt>
                <c:pt idx="54">
                  <c:v>346.41807396696601</c:v>
                </c:pt>
                <c:pt idx="55">
                  <c:v>364.49086689572204</c:v>
                </c:pt>
                <c:pt idx="56">
                  <c:v>382.54408949782191</c:v>
                </c:pt>
                <c:pt idx="57">
                  <c:v>400.57879495722767</c:v>
                </c:pt>
                <c:pt idx="58">
                  <c:v>418.59593391949784</c:v>
                </c:pt>
                <c:pt idx="59">
                  <c:v>436.59636854977776</c:v>
                </c:pt>
                <c:pt idx="60">
                  <c:v>454.58088415158903</c:v>
                </c:pt>
                <c:pt idx="61">
                  <c:v>320.93146173348089</c:v>
                </c:pt>
                <c:pt idx="62">
                  <c:v>335.21039496770533</c:v>
                </c:pt>
                <c:pt idx="63">
                  <c:v>349.47593336561744</c:v>
                </c:pt>
                <c:pt idx="64">
                  <c:v>363.72870071561005</c:v>
                </c:pt>
                <c:pt idx="65">
                  <c:v>377.96926792795813</c:v>
                </c:pt>
                <c:pt idx="66">
                  <c:v>392.1981593825065</c:v>
                </c:pt>
                <c:pt idx="67">
                  <c:v>406.41585830696687</c:v>
                </c:pt>
                <c:pt idx="68">
                  <c:v>420.62281136328426</c:v>
                </c:pt>
                <c:pt idx="69">
                  <c:v>434.81943258202756</c:v>
                </c:pt>
                <c:pt idx="70">
                  <c:v>449.00610675617781</c:v>
                </c:pt>
                <c:pt idx="71">
                  <c:v>341.60212744041718</c:v>
                </c:pt>
                <c:pt idx="72">
                  <c:v>352.41207575794368</c:v>
                </c:pt>
                <c:pt idx="73">
                  <c:v>363.21475738690191</c:v>
                </c:pt>
                <c:pt idx="74">
                  <c:v>374.01041899626097</c:v>
                </c:pt>
                <c:pt idx="75">
                  <c:v>384.79929184787062</c:v>
                </c:pt>
                <c:pt idx="76">
                  <c:v>395.58159317306337</c:v>
                </c:pt>
                <c:pt idx="77">
                  <c:v>406.35752739129879</c:v>
                </c:pt>
                <c:pt idx="78">
                  <c:v>417.1272871927718</c:v>
                </c:pt>
                <c:pt idx="79">
                  <c:v>427.89105450336297</c:v>
                </c:pt>
                <c:pt idx="80">
                  <c:v>438.64900134741566</c:v>
                </c:pt>
                <c:pt idx="81">
                  <c:v>357.79224607621353</c:v>
                </c:pt>
                <c:pt idx="82">
                  <c:v>367.1340730012941</c:v>
                </c:pt>
                <c:pt idx="83">
                  <c:v>376.4707115233789</c:v>
                </c:pt>
                <c:pt idx="84">
                  <c:v>385.80230852754977</c:v>
                </c:pt>
                <c:pt idx="85">
                  <c:v>395.12900320996442</c:v>
                </c:pt>
                <c:pt idx="86">
                  <c:v>404.4509276562697</c:v>
                </c:pt>
                <c:pt idx="87">
                  <c:v>413.76820736388873</c:v>
                </c:pt>
                <c:pt idx="88">
                  <c:v>423.08096171479747</c:v>
                </c:pt>
                <c:pt idx="89">
                  <c:v>432.38930440449377</c:v>
                </c:pt>
                <c:pt idx="90">
                  <c:v>441.69334383209247</c:v>
                </c:pt>
                <c:pt idx="91">
                  <c:v>384.29007778278282</c:v>
                </c:pt>
                <c:pt idx="92">
                  <c:v>392.31900717171339</c:v>
                </c:pt>
                <c:pt idx="93">
                  <c:v>400.34437347724707</c:v>
                </c:pt>
                <c:pt idx="94">
                  <c:v>408.36625824381849</c:v>
                </c:pt>
                <c:pt idx="95">
                  <c:v>416.38473954885262</c:v>
                </c:pt>
                <c:pt idx="96">
                  <c:v>424.3998922155568</c:v>
                </c:pt>
                <c:pt idx="97">
                  <c:v>432.41178800879715</c:v>
                </c:pt>
                <c:pt idx="98">
                  <c:v>440.42049581569364</c:v>
                </c:pt>
                <c:pt idx="99">
                  <c:v>448.4260818123916</c:v>
                </c:pt>
                <c:pt idx="100">
                  <c:v>456.4286096182982</c:v>
                </c:pt>
                <c:pt idx="101">
                  <c:v>260.47506996670126</c:v>
                </c:pt>
                <c:pt idx="102">
                  <c:v>265.67943925099331</c:v>
                </c:pt>
                <c:pt idx="103">
                  <c:v>270.88151048259425</c:v>
                </c:pt>
                <c:pt idx="104">
                  <c:v>276.08133409317082</c:v>
                </c:pt>
                <c:pt idx="105">
                  <c:v>281.27895845662522</c:v>
                </c:pt>
                <c:pt idx="106">
                  <c:v>286.47443001039898</c:v>
                </c:pt>
                <c:pt idx="107">
                  <c:v>291.66779336750619</c:v>
                </c:pt>
                <c:pt idx="108">
                  <c:v>296.85909142016072</c:v>
                </c:pt>
                <c:pt idx="109">
                  <c:v>302.04836543576829</c:v>
                </c:pt>
                <c:pt idx="110">
                  <c:v>307.23565514596868</c:v>
                </c:pt>
                <c:pt idx="111">
                  <c:v>164.86803408816087</c:v>
                </c:pt>
                <c:pt idx="112">
                  <c:v>168.30549560937985</c:v>
                </c:pt>
                <c:pt idx="113">
                  <c:v>171.74130170236131</c:v>
                </c:pt>
                <c:pt idx="114">
                  <c:v>175.17549025131424</c:v>
                </c:pt>
                <c:pt idx="115">
                  <c:v>178.6080975298056</c:v>
                </c:pt>
                <c:pt idx="116">
                  <c:v>182.03915829961201</c:v>
                </c:pt>
                <c:pt idx="117">
                  <c:v>185.46870590171181</c:v>
                </c:pt>
                <c:pt idx="118">
                  <c:v>188.89677234018038</c:v>
                </c:pt>
                <c:pt idx="119">
                  <c:v>192.3233883596624</c:v>
                </c:pt>
                <c:pt idx="120">
                  <c:v>195.74858351702292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" zoomScale="80" zoomScaleNormal="80" workbookViewId="0">
      <selection activeCell="I22" sqref="I22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2.61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36</v>
      </c>
      <c r="C9" s="32">
        <v>0.86183574879227054</v>
      </c>
      <c r="D9" s="33">
        <f t="shared" ref="D9:D18" si="0">C9*$C$5</f>
        <v>2.2493913043478262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156</v>
      </c>
      <c r="C10" s="32">
        <v>9.017713365539453E-3</v>
      </c>
      <c r="D10" s="33">
        <f t="shared" si="0"/>
        <v>2.353623188405797E-2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14</v>
      </c>
      <c r="C11" s="32">
        <v>9.0177133655394523E-2</v>
      </c>
      <c r="D11" s="33">
        <f t="shared" si="0"/>
        <v>0.2353623188405797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22</v>
      </c>
      <c r="C12" s="32">
        <v>2.0933977455716585E-2</v>
      </c>
      <c r="D12" s="33">
        <f t="shared" si="0"/>
        <v>5.4637681159420283E-2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47</v>
      </c>
      <c r="C13" s="32">
        <v>9.017713365539453E-3</v>
      </c>
      <c r="D13" s="33">
        <f t="shared" si="0"/>
        <v>2.353623188405797E-2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24</v>
      </c>
      <c r="C14" s="32">
        <v>9.017713365539453E-3</v>
      </c>
      <c r="D14" s="33">
        <f t="shared" si="0"/>
        <v>2.353623188405797E-2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2.6100000000000008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17</v>
      </c>
      <c r="B36" s="60">
        <v>123.63</v>
      </c>
      <c r="C36" s="60">
        <v>1</v>
      </c>
      <c r="D36" s="60">
        <v>41.179999999999993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7.2723529411764707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23</v>
      </c>
      <c r="B37" s="60">
        <v>189.21</v>
      </c>
      <c r="C37" s="60">
        <v>2</v>
      </c>
      <c r="D37" s="60">
        <v>58.370000000000005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17.793333333333333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29</v>
      </c>
      <c r="B38" s="60">
        <v>242.91</v>
      </c>
      <c r="C38" s="60">
        <v>3</v>
      </c>
      <c r="D38" s="60">
        <v>54.97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18.678333333333331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36</v>
      </c>
      <c r="B39" s="60">
        <v>312.57</v>
      </c>
      <c r="C39" s="60">
        <v>4</v>
      </c>
      <c r="D39" s="60">
        <v>76.509999999999991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17.804285714285715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44</v>
      </c>
      <c r="B40" s="60">
        <v>368.73</v>
      </c>
      <c r="C40" s="60">
        <v>5</v>
      </c>
      <c r="D40" s="60">
        <v>78.240000000000009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16.583750000000002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52</v>
      </c>
      <c r="B41" s="60">
        <v>408.01</v>
      </c>
      <c r="C41" s="60">
        <v>6</v>
      </c>
      <c r="D41" s="60">
        <v>75.70999999999998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14.689999999999998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60</v>
      </c>
      <c r="B42" s="60">
        <v>437.74</v>
      </c>
      <c r="C42" s="60">
        <v>7</v>
      </c>
      <c r="D42" s="60">
        <v>437.74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13.18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329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Séquoia toujours vert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20</v>
      </c>
      <c r="B62" s="60">
        <v>134</v>
      </c>
      <c r="C62" s="60">
        <v>1</v>
      </c>
      <c r="D62" s="60">
        <v>5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6.7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25</v>
      </c>
      <c r="B63" s="60">
        <v>243</v>
      </c>
      <c r="C63" s="60">
        <v>2</v>
      </c>
      <c r="D63" s="60">
        <v>63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22.8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30</v>
      </c>
      <c r="B64" s="60">
        <v>308</v>
      </c>
      <c r="C64" s="60">
        <v>3</v>
      </c>
      <c r="D64" s="60">
        <v>63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25.6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35</v>
      </c>
      <c r="B65" s="60">
        <v>376</v>
      </c>
      <c r="C65" s="60">
        <v>4</v>
      </c>
      <c r="D65" s="60">
        <v>63</v>
      </c>
      <c r="E65" s="51">
        <v>0.25</v>
      </c>
      <c r="F65" s="51">
        <v>0.37</v>
      </c>
      <c r="G65" s="51">
        <v>0.38</v>
      </c>
      <c r="H65" s="51">
        <v>0</v>
      </c>
      <c r="I65" s="49">
        <f>IF(A65&lt;&gt;0,(B65-(B64-D64))/(A65-A64),"")</f>
        <v>26.2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40</v>
      </c>
      <c r="B66" s="60">
        <v>440</v>
      </c>
      <c r="C66" s="60">
        <v>5</v>
      </c>
      <c r="D66" s="60">
        <v>63</v>
      </c>
      <c r="E66" s="51">
        <v>0.25</v>
      </c>
      <c r="F66" s="51">
        <v>0.37</v>
      </c>
      <c r="G66" s="51">
        <v>0.38</v>
      </c>
      <c r="H66" s="51">
        <v>0</v>
      </c>
      <c r="I66" s="49">
        <f t="shared" ref="I66:I81" si="2">IF(A66&lt;&gt;0,(B66-(B65-D65))/(A66-A65),"")</f>
        <v>25.4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45</v>
      </c>
      <c r="B67" s="60">
        <v>498</v>
      </c>
      <c r="C67" s="60">
        <v>6</v>
      </c>
      <c r="D67" s="60">
        <v>63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24.2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50</v>
      </c>
      <c r="B68" s="60">
        <v>549</v>
      </c>
      <c r="C68" s="60">
        <v>7</v>
      </c>
      <c r="D68" s="60">
        <v>63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22.8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55</v>
      </c>
      <c r="B69" s="50">
        <v>594</v>
      </c>
      <c r="C69" s="50">
        <v>8</v>
      </c>
      <c r="D69" s="50">
        <v>60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21.6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60</v>
      </c>
      <c r="B70" s="50">
        <v>634</v>
      </c>
      <c r="C70" s="50">
        <v>9</v>
      </c>
      <c r="D70" s="50">
        <v>53</v>
      </c>
      <c r="E70" s="51">
        <v>0.6</v>
      </c>
      <c r="F70" s="51">
        <v>0.2</v>
      </c>
      <c r="G70" s="51">
        <v>0.2</v>
      </c>
      <c r="H70" s="51">
        <v>0</v>
      </c>
      <c r="I70" s="49">
        <f t="shared" si="2"/>
        <v>20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65</v>
      </c>
      <c r="B71" s="50">
        <v>674</v>
      </c>
      <c r="C71" s="50">
        <v>10</v>
      </c>
      <c r="D71" s="50">
        <v>48</v>
      </c>
      <c r="E71" s="51">
        <v>0.6</v>
      </c>
      <c r="F71" s="51">
        <v>0.2</v>
      </c>
      <c r="G71" s="51">
        <v>0.2</v>
      </c>
      <c r="H71" s="51">
        <v>0</v>
      </c>
      <c r="I71" s="49">
        <f t="shared" si="2"/>
        <v>18.600000000000001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70</v>
      </c>
      <c r="B72" s="50">
        <v>712</v>
      </c>
      <c r="C72" s="50">
        <v>11</v>
      </c>
      <c r="D72" s="50">
        <v>45</v>
      </c>
      <c r="E72" s="51">
        <v>0.6</v>
      </c>
      <c r="F72" s="51">
        <v>0.2</v>
      </c>
      <c r="G72" s="51">
        <v>0.2</v>
      </c>
      <c r="H72" s="51">
        <v>0</v>
      </c>
      <c r="I72" s="49">
        <f t="shared" si="2"/>
        <v>17.2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75</v>
      </c>
      <c r="B73" s="50">
        <v>746</v>
      </c>
      <c r="C73" s="50">
        <v>12</v>
      </c>
      <c r="D73" s="50">
        <v>43</v>
      </c>
      <c r="E73" s="51">
        <v>0.6</v>
      </c>
      <c r="F73" s="51">
        <v>0.2</v>
      </c>
      <c r="G73" s="51">
        <v>0.2</v>
      </c>
      <c r="H73" s="51">
        <v>0</v>
      </c>
      <c r="I73" s="49">
        <f t="shared" si="2"/>
        <v>15.8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80</v>
      </c>
      <c r="B74" s="50">
        <v>776</v>
      </c>
      <c r="C74" s="50">
        <v>13</v>
      </c>
      <c r="D74" s="50">
        <v>776</v>
      </c>
      <c r="E74" s="51">
        <v>0.6</v>
      </c>
      <c r="F74" s="51">
        <v>0.2</v>
      </c>
      <c r="G74" s="51">
        <v>0.2</v>
      </c>
      <c r="H74" s="51">
        <v>0</v>
      </c>
      <c r="I74" s="49">
        <f t="shared" si="2"/>
        <v>14.6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44</v>
      </c>
      <c r="B88" s="60">
        <v>201.77</v>
      </c>
      <c r="C88" s="60">
        <v>1</v>
      </c>
      <c r="D88" s="60">
        <v>76.680000000000007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4.5856818181818184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51</v>
      </c>
      <c r="B89" s="60">
        <v>192.85</v>
      </c>
      <c r="C89" s="60">
        <v>2</v>
      </c>
      <c r="D89" s="60">
        <v>48.769999999999982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9.6799999999999979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59</v>
      </c>
      <c r="B90" s="60">
        <v>217.3</v>
      </c>
      <c r="C90" s="60">
        <v>3</v>
      </c>
      <c r="D90" s="60">
        <v>52.75</v>
      </c>
      <c r="E90" s="87">
        <v>0.35</v>
      </c>
      <c r="F90" s="87">
        <v>0.2</v>
      </c>
      <c r="G90" s="87">
        <v>0.1</v>
      </c>
      <c r="H90" s="87">
        <v>0.35</v>
      </c>
      <c r="I90" s="53">
        <f t="shared" si="3"/>
        <v>9.1524999999999999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67</v>
      </c>
      <c r="B91" s="60">
        <v>233.08</v>
      </c>
      <c r="C91" s="60">
        <v>4</v>
      </c>
      <c r="D91" s="60">
        <v>44.170000000000016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8.5662500000000001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75</v>
      </c>
      <c r="B92" s="60">
        <v>254.89</v>
      </c>
      <c r="C92" s="60">
        <v>5</v>
      </c>
      <c r="D92" s="60">
        <v>43.289999999999992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8.2474999999999987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84</v>
      </c>
      <c r="B93" s="60">
        <v>283.77</v>
      </c>
      <c r="C93" s="60">
        <v>6</v>
      </c>
      <c r="D93" s="60">
        <v>49.669999999999987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8.0188888888888883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93</v>
      </c>
      <c r="B94" s="60">
        <v>303.37</v>
      </c>
      <c r="C94" s="60">
        <v>7</v>
      </c>
      <c r="D94" s="60">
        <v>42.910000000000025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7.6966666666666681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103</v>
      </c>
      <c r="B95" s="60">
        <v>337.71</v>
      </c>
      <c r="C95" s="60">
        <v>8</v>
      </c>
      <c r="D95" s="60">
        <v>56.789999999999964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7.7249999999999996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113</v>
      </c>
      <c r="B96" s="60">
        <v>356.05</v>
      </c>
      <c r="C96" s="60">
        <v>9</v>
      </c>
      <c r="D96" s="60">
        <v>45.660000000000025</v>
      </c>
      <c r="E96" s="87">
        <v>0.5</v>
      </c>
      <c r="F96" s="87">
        <v>0.2</v>
      </c>
      <c r="G96" s="87">
        <v>0</v>
      </c>
      <c r="H96" s="87">
        <v>0.3</v>
      </c>
      <c r="I96" s="53">
        <f t="shared" si="3"/>
        <v>7.5129999999999999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125</v>
      </c>
      <c r="B97" s="60">
        <v>404.61</v>
      </c>
      <c r="C97" s="60">
        <v>10</v>
      </c>
      <c r="D97" s="60">
        <v>70</v>
      </c>
      <c r="E97" s="87">
        <v>0.5</v>
      </c>
      <c r="F97" s="87">
        <v>0.2</v>
      </c>
      <c r="G97" s="87">
        <v>0</v>
      </c>
      <c r="H97" s="87">
        <v>0.3</v>
      </c>
      <c r="I97" s="53">
        <f t="shared" si="3"/>
        <v>7.8516666666666692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137</v>
      </c>
      <c r="B98" s="60">
        <v>428.03</v>
      </c>
      <c r="C98" s="60">
        <v>11</v>
      </c>
      <c r="D98" s="60">
        <v>74.669999999999959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7.7849999999999966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149</v>
      </c>
      <c r="B99" s="60">
        <v>444.56</v>
      </c>
      <c r="C99" s="60">
        <v>12</v>
      </c>
      <c r="D99" s="60">
        <v>176.67000000000002</v>
      </c>
      <c r="E99" s="87">
        <v>0.45</v>
      </c>
      <c r="F99" s="87">
        <v>0.05</v>
      </c>
      <c r="G99" s="87">
        <v>0.05</v>
      </c>
      <c r="H99" s="87">
        <v>0.45</v>
      </c>
      <c r="I99" s="53">
        <f t="shared" si="3"/>
        <v>7.5999999999999988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153</v>
      </c>
      <c r="B100" s="60">
        <v>286.3</v>
      </c>
      <c r="C100" s="60">
        <v>13</v>
      </c>
      <c r="D100" s="60">
        <v>102.89000000000001</v>
      </c>
      <c r="E100" s="65">
        <v>0.45</v>
      </c>
      <c r="F100" s="65">
        <v>0.05</v>
      </c>
      <c r="G100" s="65">
        <v>0.05</v>
      </c>
      <c r="H100" s="65">
        <v>0.45</v>
      </c>
      <c r="I100" s="53">
        <f t="shared" si="3"/>
        <v>4.6025000000000063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157</v>
      </c>
      <c r="B101" s="60">
        <v>194.52</v>
      </c>
      <c r="C101" s="60">
        <v>14</v>
      </c>
      <c r="D101" s="60">
        <v>67.13000000000001</v>
      </c>
      <c r="E101" s="65">
        <v>0.45</v>
      </c>
      <c r="F101" s="65">
        <v>0.05</v>
      </c>
      <c r="G101" s="65">
        <v>0.05</v>
      </c>
      <c r="H101" s="65">
        <v>0.45</v>
      </c>
      <c r="I101" s="53">
        <f t="shared" si="3"/>
        <v>2.7775000000000034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161</v>
      </c>
      <c r="B102" s="50">
        <v>134.26</v>
      </c>
      <c r="C102" s="60">
        <v>15</v>
      </c>
      <c r="D102" s="50">
        <v>134.26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1.7174999999999976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327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Erable plane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15</v>
      </c>
      <c r="B114" s="60">
        <v>65</v>
      </c>
      <c r="C114" s="50">
        <v>1</v>
      </c>
      <c r="D114" s="60">
        <v>32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4.333333333333333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20</v>
      </c>
      <c r="B115" s="60">
        <v>102</v>
      </c>
      <c r="C115" s="50">
        <v>2</v>
      </c>
      <c r="D115" s="60">
        <v>35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13.8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25</v>
      </c>
      <c r="B116" s="60">
        <v>141</v>
      </c>
      <c r="C116" s="50">
        <v>3</v>
      </c>
      <c r="D116" s="60">
        <v>35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14.8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30</v>
      </c>
      <c r="B117" s="60">
        <v>177</v>
      </c>
      <c r="C117" s="50">
        <v>4</v>
      </c>
      <c r="D117" s="60">
        <v>35</v>
      </c>
      <c r="E117" s="51">
        <v>0.25</v>
      </c>
      <c r="F117" s="51">
        <v>0.25</v>
      </c>
      <c r="G117" s="51">
        <v>0.25</v>
      </c>
      <c r="H117" s="51">
        <v>0.25</v>
      </c>
      <c r="I117" s="53">
        <f t="shared" si="4"/>
        <v>14.2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35</v>
      </c>
      <c r="B118" s="60">
        <v>206</v>
      </c>
      <c r="C118" s="50">
        <v>5</v>
      </c>
      <c r="D118" s="60">
        <v>35</v>
      </c>
      <c r="E118" s="51">
        <v>0.25</v>
      </c>
      <c r="F118" s="51">
        <v>0.25</v>
      </c>
      <c r="G118" s="51">
        <v>0.25</v>
      </c>
      <c r="H118" s="51">
        <v>0.25</v>
      </c>
      <c r="I118" s="53">
        <f t="shared" si="4"/>
        <v>12.8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40</v>
      </c>
      <c r="B119" s="60">
        <v>228</v>
      </c>
      <c r="C119" s="50">
        <v>6</v>
      </c>
      <c r="D119" s="60">
        <v>35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45</v>
      </c>
      <c r="B120" s="60">
        <v>242</v>
      </c>
      <c r="C120" s="60">
        <v>7</v>
      </c>
      <c r="D120" s="60">
        <v>24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50</v>
      </c>
      <c r="B121" s="60">
        <v>261</v>
      </c>
      <c r="C121" s="60">
        <v>8</v>
      </c>
      <c r="D121" s="60">
        <v>19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55</v>
      </c>
      <c r="B122" s="60">
        <v>279</v>
      </c>
      <c r="C122" s="60">
        <v>9</v>
      </c>
      <c r="D122" s="60">
        <v>16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60</v>
      </c>
      <c r="B123" s="60">
        <v>294</v>
      </c>
      <c r="C123" s="60">
        <v>10</v>
      </c>
      <c r="D123" s="60">
        <v>14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6.2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65</v>
      </c>
      <c r="B124" s="60">
        <v>306</v>
      </c>
      <c r="C124" s="60">
        <v>11</v>
      </c>
      <c r="D124" s="60">
        <v>13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5.2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70</v>
      </c>
      <c r="B125" s="60">
        <v>316</v>
      </c>
      <c r="C125" s="60">
        <v>12</v>
      </c>
      <c r="D125" s="60">
        <v>13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75</v>
      </c>
      <c r="B126" s="60">
        <v>324</v>
      </c>
      <c r="C126" s="60">
        <v>13</v>
      </c>
      <c r="D126" s="60">
        <v>12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80</v>
      </c>
      <c r="B127" s="60">
        <v>330</v>
      </c>
      <c r="C127" s="60">
        <v>14</v>
      </c>
      <c r="D127" s="60">
        <v>330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3.6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326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Sapin méditerranéen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50</v>
      </c>
      <c r="B140" s="60">
        <v>362.47</v>
      </c>
      <c r="C140" s="50">
        <v>1</v>
      </c>
      <c r="D140" s="60">
        <v>103.56</v>
      </c>
      <c r="E140" s="51">
        <v>0.05</v>
      </c>
      <c r="F140" s="51">
        <v>0.45</v>
      </c>
      <c r="G140" s="51">
        <v>0.45</v>
      </c>
      <c r="H140" s="51">
        <v>0.05</v>
      </c>
      <c r="I140" s="57">
        <f>IFERROR(B140/A140,"")</f>
        <v>7.2494000000000005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60</v>
      </c>
      <c r="B141" s="60">
        <v>435</v>
      </c>
      <c r="C141" s="50">
        <v>2</v>
      </c>
      <c r="D141" s="60">
        <v>144.33999999999997</v>
      </c>
      <c r="E141" s="51">
        <v>0.4</v>
      </c>
      <c r="F141" s="51">
        <v>0.1</v>
      </c>
      <c r="G141" s="51">
        <v>0.1</v>
      </c>
      <c r="H141" s="51">
        <v>0.4</v>
      </c>
      <c r="I141" s="57">
        <f t="shared" ref="I141:I159" si="5">IF(A141&lt;&gt;0,(B141-(B140-D140))/(A141-A140),"")</f>
        <v>17.608999999999998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70</v>
      </c>
      <c r="B142" s="60">
        <v>429.54</v>
      </c>
      <c r="C142" s="50">
        <v>3</v>
      </c>
      <c r="D142" s="60">
        <v>115.41000000000003</v>
      </c>
      <c r="E142" s="51">
        <v>0.4</v>
      </c>
      <c r="F142" s="51">
        <v>0.1</v>
      </c>
      <c r="G142" s="51">
        <v>0.1</v>
      </c>
      <c r="H142" s="51">
        <v>0.4</v>
      </c>
      <c r="I142" s="57">
        <f t="shared" si="5"/>
        <v>13.888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80</v>
      </c>
      <c r="B143" s="60">
        <v>419.4</v>
      </c>
      <c r="C143" s="50">
        <v>4</v>
      </c>
      <c r="D143" s="60">
        <v>88.079999999999984</v>
      </c>
      <c r="E143" s="51">
        <v>0.4</v>
      </c>
      <c r="F143" s="51">
        <v>0.1</v>
      </c>
      <c r="G143" s="51">
        <v>0.1</v>
      </c>
      <c r="H143" s="51">
        <v>0.4</v>
      </c>
      <c r="I143" s="57">
        <f t="shared" si="5"/>
        <v>10.526999999999997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90</v>
      </c>
      <c r="B144" s="60">
        <v>422.38</v>
      </c>
      <c r="C144" s="50">
        <v>5</v>
      </c>
      <c r="D144" s="60">
        <v>63.949999999999989</v>
      </c>
      <c r="E144" s="51">
        <v>0.4</v>
      </c>
      <c r="F144" s="51">
        <v>0.1</v>
      </c>
      <c r="G144" s="51">
        <v>0.1</v>
      </c>
      <c r="H144" s="51">
        <v>0.4</v>
      </c>
      <c r="I144" s="57">
        <f t="shared" si="5"/>
        <v>9.1059999999999999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100</v>
      </c>
      <c r="B145" s="60">
        <v>436.81</v>
      </c>
      <c r="C145" s="50">
        <v>6</v>
      </c>
      <c r="D145" s="60">
        <v>195.94</v>
      </c>
      <c r="E145" s="51">
        <v>0.4</v>
      </c>
      <c r="F145" s="51">
        <v>0.1</v>
      </c>
      <c r="G145" s="51">
        <v>0.1</v>
      </c>
      <c r="H145" s="51">
        <v>0.4</v>
      </c>
      <c r="I145" s="57">
        <f t="shared" si="5"/>
        <v>7.8379999999999992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110</v>
      </c>
      <c r="B146" s="60">
        <v>291.24</v>
      </c>
      <c r="C146" s="50">
        <v>7</v>
      </c>
      <c r="D146" s="60">
        <v>140.69</v>
      </c>
      <c r="E146" s="51">
        <v>0.4</v>
      </c>
      <c r="F146" s="51">
        <v>0.1</v>
      </c>
      <c r="G146" s="51">
        <v>0.1</v>
      </c>
      <c r="H146" s="51">
        <v>0.4</v>
      </c>
      <c r="I146" s="57">
        <f t="shared" si="5"/>
        <v>5.0370000000000008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120</v>
      </c>
      <c r="B147" s="60">
        <v>183.47</v>
      </c>
      <c r="C147" s="50">
        <v>8</v>
      </c>
      <c r="D147" s="60">
        <v>183.47</v>
      </c>
      <c r="E147" s="51">
        <v>0.4</v>
      </c>
      <c r="F147" s="51">
        <v>0.1</v>
      </c>
      <c r="G147" s="51">
        <v>0.1</v>
      </c>
      <c r="H147" s="51">
        <v>0.4</v>
      </c>
      <c r="I147" s="57">
        <f>IF(A147&lt;&gt;0,(B147-(B146-D146))/(A147-A146),"")</f>
        <v>3.2919999999999989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C161" s="23" t="s">
        <v>328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Eucalyptus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15</v>
      </c>
      <c r="B166" s="60">
        <v>37</v>
      </c>
      <c r="C166" s="60">
        <v>1</v>
      </c>
      <c r="D166" s="60">
        <v>15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20</v>
      </c>
      <c r="B167" s="60">
        <v>80</v>
      </c>
      <c r="C167" s="60">
        <v>2</v>
      </c>
      <c r="D167" s="60">
        <v>28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25</v>
      </c>
      <c r="B168" s="60">
        <v>115</v>
      </c>
      <c r="C168" s="60">
        <v>3</v>
      </c>
      <c r="D168" s="60">
        <v>28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30</v>
      </c>
      <c r="B169" s="60">
        <v>146</v>
      </c>
      <c r="C169" s="60">
        <v>4</v>
      </c>
      <c r="D169" s="60">
        <v>28</v>
      </c>
      <c r="E169" s="51">
        <v>0</v>
      </c>
      <c r="F169" s="51">
        <v>0.25</v>
      </c>
      <c r="G169" s="51">
        <v>0.25</v>
      </c>
      <c r="H169" s="51">
        <v>0.5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35</v>
      </c>
      <c r="B170" s="60">
        <v>172</v>
      </c>
      <c r="C170" s="60">
        <v>5</v>
      </c>
      <c r="D170" s="60">
        <v>28</v>
      </c>
      <c r="E170" s="51">
        <v>0.25</v>
      </c>
      <c r="F170" s="51">
        <v>0.25</v>
      </c>
      <c r="G170" s="51">
        <v>0.25</v>
      </c>
      <c r="H170" s="51">
        <v>0.25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40</v>
      </c>
      <c r="B171" s="60">
        <v>192</v>
      </c>
      <c r="C171" s="60">
        <v>6</v>
      </c>
      <c r="D171" s="60">
        <v>28</v>
      </c>
      <c r="E171" s="51">
        <v>0.25</v>
      </c>
      <c r="F171" s="51">
        <v>0.25</v>
      </c>
      <c r="G171" s="51">
        <v>0.25</v>
      </c>
      <c r="H171" s="51">
        <v>0.25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45</v>
      </c>
      <c r="B172" s="60">
        <v>205</v>
      </c>
      <c r="C172" s="60">
        <v>7</v>
      </c>
      <c r="D172" s="60">
        <v>22</v>
      </c>
      <c r="E172" s="51">
        <v>0.25</v>
      </c>
      <c r="F172" s="51">
        <v>0.25</v>
      </c>
      <c r="G172" s="51">
        <v>0.25</v>
      </c>
      <c r="H172" s="51">
        <v>0.25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50</v>
      </c>
      <c r="B173" s="50">
        <v>219</v>
      </c>
      <c r="C173" s="50">
        <v>8</v>
      </c>
      <c r="D173" s="50">
        <v>17</v>
      </c>
      <c r="E173" s="51">
        <v>0.25</v>
      </c>
      <c r="F173" s="51">
        <v>0.25</v>
      </c>
      <c r="G173" s="51">
        <v>0.25</v>
      </c>
      <c r="H173" s="51">
        <v>0.25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55</v>
      </c>
      <c r="B174" s="50">
        <v>232</v>
      </c>
      <c r="C174" s="50">
        <v>9</v>
      </c>
      <c r="D174" s="50">
        <v>13</v>
      </c>
      <c r="E174" s="51">
        <v>0.25</v>
      </c>
      <c r="F174" s="51">
        <v>0.25</v>
      </c>
      <c r="G174" s="51">
        <v>0.25</v>
      </c>
      <c r="H174" s="51">
        <v>0.25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60</v>
      </c>
      <c r="B175" s="50">
        <v>245</v>
      </c>
      <c r="C175" s="50">
        <v>10</v>
      </c>
      <c r="D175" s="50">
        <v>12</v>
      </c>
      <c r="E175" s="51">
        <v>0.25</v>
      </c>
      <c r="F175" s="51">
        <v>0.25</v>
      </c>
      <c r="G175" s="51">
        <v>0.25</v>
      </c>
      <c r="H175" s="51">
        <v>0.25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65</v>
      </c>
      <c r="B176" s="50">
        <v>255</v>
      </c>
      <c r="C176" s="50">
        <v>11</v>
      </c>
      <c r="D176" s="50">
        <v>11</v>
      </c>
      <c r="E176" s="51">
        <v>0.25</v>
      </c>
      <c r="F176" s="51">
        <v>0.25</v>
      </c>
      <c r="G176" s="51">
        <v>0.25</v>
      </c>
      <c r="H176" s="51">
        <v>0.25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70</v>
      </c>
      <c r="B177" s="50">
        <v>263</v>
      </c>
      <c r="C177" s="50">
        <v>12</v>
      </c>
      <c r="D177" s="50">
        <v>10</v>
      </c>
      <c r="E177" s="51">
        <v>0.25</v>
      </c>
      <c r="F177" s="51">
        <v>0.25</v>
      </c>
      <c r="G177" s="51">
        <v>0.25</v>
      </c>
      <c r="H177" s="51">
        <v>0.25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75</v>
      </c>
      <c r="B178" s="50">
        <v>270</v>
      </c>
      <c r="C178" s="50">
        <v>13</v>
      </c>
      <c r="D178" s="50">
        <v>9</v>
      </c>
      <c r="E178" s="51">
        <v>0.25</v>
      </c>
      <c r="F178" s="51">
        <v>0.25</v>
      </c>
      <c r="G178" s="51">
        <v>0.25</v>
      </c>
      <c r="H178" s="51">
        <v>0.25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80</v>
      </c>
      <c r="B179" s="50">
        <v>275</v>
      </c>
      <c r="C179" s="50">
        <v>14</v>
      </c>
      <c r="D179" s="50">
        <v>275</v>
      </c>
      <c r="E179" s="51">
        <v>0.25</v>
      </c>
      <c r="F179" s="51">
        <v>0.25</v>
      </c>
      <c r="G179" s="51">
        <v>0.25</v>
      </c>
      <c r="H179" s="51">
        <v>0.25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C27" sqref="C27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Séquoia toujours vert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sessile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Erable plane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Sapin méditerranéen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Eucalyptus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302.00825291248458</v>
      </c>
      <c r="T3" s="59">
        <f>IF('Données projet'!E9&gt;30,$R$33-$H$33,LOOKUP('Données projet'!$E$9,$A$3:$A$203,R3:R203)-LOOKUP('Données projet'!$E$9,$A$3:$A$203,$H$3:$H$203))</f>
        <v>307.35115839449355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394.37446333077651</v>
      </c>
      <c r="AO3" s="59">
        <f>IF('Données projet'!E10&gt;30,$AM$33-$H$33,LOOKUP('Données projet'!$E$10,$A$3:$A$203,AM3:AM203)-LOOKUP('Données projet'!$E$10,$A$3:$A$203,$H$3:$H$203))</f>
        <v>335.44327961212963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490.06222615476065</v>
      </c>
      <c r="BJ3" s="59">
        <f>IF('Données projet'!E11&gt;30,$BH$33-$H$33,LOOKUP('Données projet'!$E$11,$A$3:$A$203,BH3:BH203)-LOOKUP('Données projet'!$E$11,$A$3:$A$203,$H$3:$H$203))</f>
        <v>310.43914804089906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353.37479213497227</v>
      </c>
      <c r="CE3" s="59">
        <f>IF('Données projet'!E12&gt;30,$CC$33-$H$33,LOOKUP('Données projet'!$E$12,$A$3:$A$203,CC3:CC203)-LOOKUP('Données projet'!$E$12,$A$3:$A$203,$H$3:$H$203))</f>
        <v>345.4750813433123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314.18760071409162</v>
      </c>
      <c r="CZ3" s="59">
        <f>IF('Données projet'!E13&gt;30,$CX$33-$H$33,LOOKUP('Données projet'!$E$13,$A$3:$A$203,CX3:CX203)-LOOKUP('Données projet'!$E$13,$A$3:$A$203,$H$3:$H$203))</f>
        <v>267.72650645201787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324.86930206492627</v>
      </c>
      <c r="DU3" s="59">
        <f>IF('Données projet'!E14&gt;30,$DS$33-$H$33,LOOKUP('Données projet'!$E$14,$A$3:$A$203,DS3:DS203)-LOOKUP('Données projet'!$E$14,$A$3:$A$203,$H$3:$H$203))</f>
        <v>317.03005098025352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7.2723529411764707</v>
      </c>
      <c r="N4" s="13">
        <f>IF('Données projet'!$A$36&gt;35,N3+M4-V3,IF(A4&lt;'Données projet'!$A$36,$K$205^A4,IF(A4='Données projet'!$A$36,'Données projet'!$B$36,N3+M4-V3)))</f>
        <v>1.3275965341357465</v>
      </c>
      <c r="O4" s="13">
        <f>N4*VLOOKUP('Données projet'!$B$9,Paramètres!$A$1:$I$89,3,0)*VLOOKUP('Données projet'!$B$9,Paramètres!$A$1:$I$89,5,0)</f>
        <v>0.79390272741317647</v>
      </c>
      <c r="P4" s="13">
        <f>EXP(-1.0587+0.8836*LN(O4)+0.284)</f>
        <v>0.37582567469791356</v>
      </c>
      <c r="Q4" s="20">
        <f t="shared" ref="Q4:Q34" si="2">(O4+P4)*0.475*44/12</f>
        <v>2.0372769670101483</v>
      </c>
      <c r="R4" s="59">
        <f t="shared" si="0"/>
        <v>259.926165855899</v>
      </c>
      <c r="S4" s="59">
        <f ca="1">AVERAGE(OFFSET($R$3,0,0,'Données projet'!$E$9+1,1))-AVERAGE(OFFSET($H$3,0,0,'Données projet'!$E$9+1,1))</f>
        <v>302.00825291248458</v>
      </c>
      <c r="T4" s="59">
        <f>$T$3</f>
        <v>307.35115839449355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</v>
      </c>
      <c r="AI4" s="13">
        <f>IF('Données projet'!$A$62&gt;35,AI3+AH4-AQ3,IF(A4&lt;'Données projet'!$A$62,$AF$205^A4,IF(A4='Données projet'!$A$62,'Données projet'!$B$62,AI3+AH4-AQ3)))</f>
        <v>1.277483324775911</v>
      </c>
      <c r="AJ4" s="13">
        <f>AI4*VLOOKUP('Données projet'!$B$10,Paramètres!$A$1:$I$89,3,0)*VLOOKUP('Données projet'!$B$10,Paramètres!$A$1:$I$89,5,0)</f>
        <v>0.56464762955095271</v>
      </c>
      <c r="AK4" s="13">
        <f>EXP(-1.0587+0.8836*LN(AJ4)+0.284)</f>
        <v>0.2781138851563637</v>
      </c>
      <c r="AL4" s="20">
        <f t="shared" ref="AL4:AL67" si="4">(AJ4+AK4)*0.475*44/12</f>
        <v>1.4678096381152426</v>
      </c>
      <c r="AM4" s="59">
        <f t="shared" ref="AM4:AM67" si="5">AL4+(AD4+AE4)*44/12</f>
        <v>259.35669852700408</v>
      </c>
      <c r="AN4" s="59">
        <f ca="1">AVERAGE(OFFSET($AM$3,0,0,'Données projet'!$E$10+1,1))-AVERAGE(OFFSET($H$3,0,0,'Données projet'!$E$10+1,1))</f>
        <v>394.37446333077651</v>
      </c>
      <c r="AO4" s="59">
        <f>$AO$3</f>
        <v>335.44327961212963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4.5856818181818184</v>
      </c>
      <c r="BD4" s="12">
        <f>IF('Données projet'!$A$88&gt;35,BD3+BC4-BL3,IF(A4&lt;'Données projet'!$A$88,$BA$205^A4,IF(A4='Données projet'!$A$88,'Données projet'!$B$88,BD3+BC4-BL3)))</f>
        <v>4.5856818181818184</v>
      </c>
      <c r="BE4" s="13">
        <f>BD4*VLOOKUP('Données projet'!$B$11,Paramètres!$A$1:$I$89,3,0)*VLOOKUP('Données projet'!$B$11,Paramètres!$A$1:$I$89,5,0)</f>
        <v>4.1491249090909088</v>
      </c>
      <c r="BF4" s="13">
        <f>EXP(-1.0587+0.8836*LN(BE4)+0.284)</f>
        <v>1.6202365934641478</v>
      </c>
      <c r="BG4" s="20">
        <f t="shared" ref="BG4:BG67" si="7">(BE4+BF4)*0.475*44/12</f>
        <v>10.048304616950057</v>
      </c>
      <c r="BH4" s="59">
        <f t="shared" ref="BH4:BH67" si="8">BG4+(AY4+AZ4)*44/12</f>
        <v>267.93719350583893</v>
      </c>
      <c r="BI4" s="59">
        <f ca="1">AVERAGE(OFFSET($BH$3,0,0,'Données projet'!$E$11+1,1))-AVERAGE(OFFSET($H$3,0,0,'Données projet'!$E$11+1,1))</f>
        <v>490.06222615476065</v>
      </c>
      <c r="BJ4" s="59">
        <f>$BJ$3</f>
        <v>310.43914804089906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4.333333333333333</v>
      </c>
      <c r="BY4" s="12">
        <f>IF('Données projet'!$A$114&gt;35,BY3+BX4-CG3,IF(A4&lt;'Données projet'!$A$114,$BV$205^A4,IF(A4='Données projet'!$A$114,'Données projet'!$B$114,BY3+BX4-CG3)))</f>
        <v>1.3208724756526424</v>
      </c>
      <c r="BZ4" s="13">
        <f>BY4*VLOOKUP('Données projet'!$B$12,Paramètres!$A$1:$I$89,3,0)*VLOOKUP('Données projet'!$B$12,Paramètres!$A$1:$I$89,5,0)</f>
        <v>1.0508861416292423</v>
      </c>
      <c r="CA4" s="13">
        <f>EXP(-1.0587+0.8836*LN(BZ4)+0.284)</f>
        <v>0.48150261531866312</v>
      </c>
      <c r="CB4" s="20">
        <f t="shared" ref="CB4:CB67" si="10">(BZ4+CA4)*0.475*44/12</f>
        <v>2.6689104183509347</v>
      </c>
      <c r="CC4" s="59">
        <f t="shared" ref="CC4:CC67" si="11">CB4+(BT4+BU4)*44/12</f>
        <v>260.5577993072398</v>
      </c>
      <c r="CD4" s="59">
        <f ca="1">AVERAGE(OFFSET($CC$3,0,0,'Données projet'!$E$12+1,1))-AVERAGE(OFFSET($H$3,0,0,'Données projet'!$E$12+1,1))</f>
        <v>353.37479213497227</v>
      </c>
      <c r="CE4" s="59">
        <f>$CE$3</f>
        <v>345.4750813433123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7.2494000000000005</v>
      </c>
      <c r="CT4" s="12">
        <f>IF('Données projet'!$A$140&gt;35,CT3+CS4-DB3,IF(A4&lt;'Données projet'!$A$140,$CQ$205^A4,IF(A4='Données projet'!$A$140,'Données projet'!$B$140,CT3+CS4-DB3)))</f>
        <v>7.2494000000000005</v>
      </c>
      <c r="CU4" s="17">
        <f>CT4*VLOOKUP('Données projet'!$B$13,Paramètres!$A$1:$I$89,3,0)*VLOOKUP('Données projet'!$B$13,Paramètres!$A$1:$I$89,5,0)</f>
        <v>3.4869614000000002</v>
      </c>
      <c r="CV4" s="13">
        <f>EXP(-1.0587+0.8836*LN(CU4)+0.284)</f>
        <v>1.3894993809829377</v>
      </c>
      <c r="CW4" s="20">
        <f t="shared" ref="CW4:CW67" si="13">(CU4+CV4)*0.475*44/12</f>
        <v>8.4931691935452829</v>
      </c>
      <c r="CX4" s="59">
        <f t="shared" ref="CX4:CX67" si="14">CW4+(CO4+CP4)*44/12</f>
        <v>266.38205808243413</v>
      </c>
      <c r="CY4" s="59">
        <f ca="1">AVERAGE(OFFSET($CX$3,0,0,'Données projet'!$E$13+1,1))-AVERAGE(OFFSET($H$3,0,0,'Données projet'!$E$13+1,1))</f>
        <v>314.18760071409162</v>
      </c>
      <c r="CZ4" s="59">
        <f>$CZ$3</f>
        <v>267.72650645201787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1.1113718874789602</v>
      </c>
      <c r="DQ4" s="13">
        <f>EXP(-1.0587+0.8836*LN(DP4)+0.284)</f>
        <v>0.5059102014681881</v>
      </c>
      <c r="DR4" s="20">
        <f t="shared" ref="DR4:DR67" si="16">(DP4+DQ4)*0.475*44/12</f>
        <v>2.8167663049162832</v>
      </c>
      <c r="DS4" s="59">
        <f t="shared" ref="DS4:DS67" si="17">DR4+(DJ4+DK4)*44/12</f>
        <v>260.70565519380511</v>
      </c>
      <c r="DT4" s="59">
        <f ca="1">AVERAGE(OFFSET($DS$3,0,0,'Données projet'!$E$14+1,1))-AVERAGE(OFFSET($H$3,0,0,'Données projet'!$E$14+1,1))</f>
        <v>324.86930206492627</v>
      </c>
      <c r="DU4" s="59">
        <f>$DU$3</f>
        <v>317.03005098025352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7.2723529411764707</v>
      </c>
      <c r="N5" s="13">
        <f>IF('Données projet'!$A$36&gt;35,N4+M5-V4,IF(A5&lt;'Données projet'!$A$36,$K$205^A5,IF(A5='Données projet'!$A$36,'Données projet'!$B$36,N4+M5-V4)))</f>
        <v>1.7625125574492464</v>
      </c>
      <c r="O5" s="13">
        <f>N5*VLOOKUP('Données projet'!$B$9,Paramètres!$A$1:$I$89,3,0)*VLOOKUP('Données projet'!$B$9,Paramètres!$A$1:$I$89,5,0)</f>
        <v>1.0539825093546495</v>
      </c>
      <c r="P5" s="13">
        <f t="shared" ref="P5:P68" si="33">EXP(-1.0587+0.8836*LN(O5)+0.284)</f>
        <v>0.48275597819164817</v>
      </c>
      <c r="Q5" s="20">
        <f t="shared" si="2"/>
        <v>2.676486199143135</v>
      </c>
      <c r="R5" s="59">
        <f t="shared" si="0"/>
        <v>261.78759731025428</v>
      </c>
      <c r="S5" s="59">
        <f ca="1">AVERAGE(OFFSET($R$3,0,0,'Données projet'!$E$9+1,1))-AVERAGE(OFFSET($H$3,0,0,'Données projet'!$E$9+1,1))</f>
        <v>302.00825291248458</v>
      </c>
      <c r="T5" s="59">
        <f t="shared" ref="T5:T68" si="34">$T$3</f>
        <v>307.35115839449355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</v>
      </c>
      <c r="AI5" s="13">
        <f>IF('Données projet'!$A$62&gt;35,AI4+AH5-AQ4,IF(A5&lt;'Données projet'!$A$62,$AF$205^A5,IF(A5='Données projet'!$A$62,'Données projet'!$B$62,AI4+AH5-AQ4)))</f>
        <v>1.6319636450805157</v>
      </c>
      <c r="AJ5" s="13">
        <f>AI5*VLOOKUP('Données projet'!$B$10,Paramètres!$A$1:$I$89,3,0)*VLOOKUP('Données projet'!$B$10,Paramètres!$A$1:$I$89,5,0)</f>
        <v>0.72132793112558802</v>
      </c>
      <c r="AK5" s="13">
        <f t="shared" ref="AK5:AK68" si="35">EXP(-1.0587+0.8836*LN(AJ5)+0.284)</f>
        <v>0.34530125917503374</v>
      </c>
      <c r="AL5" s="20">
        <f t="shared" si="4"/>
        <v>1.8577125064402493</v>
      </c>
      <c r="AM5" s="59">
        <f t="shared" si="5"/>
        <v>260.96882361755138</v>
      </c>
      <c r="AN5" s="59">
        <f ca="1">AVERAGE(OFFSET($AM$3,0,0,'Données projet'!$E$10+1,1))-AVERAGE(OFFSET($H$3,0,0,'Données projet'!$E$10+1,1))</f>
        <v>394.37446333077651</v>
      </c>
      <c r="AO5" s="59">
        <f t="shared" ref="AO5:AO68" si="36">$AO$3</f>
        <v>335.44327961212963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4.5856818181818184</v>
      </c>
      <c r="BD5" s="12">
        <f>IF('Données projet'!$A$88&gt;35,BD4+BC5-BL4,IF(A5&lt;'Données projet'!$A$88,$BA$205^A5,IF(A5='Données projet'!$A$88,'Données projet'!$B$88,BD4+BC5-BL4)))</f>
        <v>9.1713636363636368</v>
      </c>
      <c r="BE5" s="13">
        <f>BD5*VLOOKUP('Données projet'!$B$11,Paramètres!$A$1:$I$89,3,0)*VLOOKUP('Données projet'!$B$11,Paramètres!$A$1:$I$89,5,0)</f>
        <v>8.2982498181818176</v>
      </c>
      <c r="BF5" s="13">
        <f t="shared" ref="BF5:BF68" si="37">EXP(-1.0587+0.8836*LN(BE5)+0.284)</f>
        <v>2.9892933828641128</v>
      </c>
      <c r="BG5" s="20">
        <f t="shared" si="7"/>
        <v>19.659137741821663</v>
      </c>
      <c r="BH5" s="59">
        <f t="shared" si="8"/>
        <v>278.77024885293281</v>
      </c>
      <c r="BI5" s="59">
        <f ca="1">AVERAGE(OFFSET($BH$3,0,0,'Données projet'!$E$11+1,1))-AVERAGE(OFFSET($H$3,0,0,'Données projet'!$E$11+1,1))</f>
        <v>490.06222615476065</v>
      </c>
      <c r="BJ5" s="59">
        <f t="shared" ref="BJ5:BJ68" si="38">$BJ$3</f>
        <v>310.43914804089906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4.333333333333333</v>
      </c>
      <c r="BY5" s="12">
        <f>IF('Données projet'!$A$114&gt;35,BY4+BX5-CG4,IF(A5&lt;'Données projet'!$A$114,$BV$205^A5,IF(A5='Données projet'!$A$114,'Données projet'!$B$114,BY4+BX5-CG4)))</f>
        <v>1.7447040969367404</v>
      </c>
      <c r="BZ5" s="13">
        <f>BY5*VLOOKUP('Données projet'!$B$12,Paramètres!$A$1:$I$89,3,0)*VLOOKUP('Données projet'!$B$12,Paramètres!$A$1:$I$89,5,0)</f>
        <v>1.3880865795228707</v>
      </c>
      <c r="CA5" s="13">
        <f t="shared" ref="CA5:CA68" si="39">EXP(-1.0587+0.8836*LN(BZ5)+0.284)</f>
        <v>0.61573144482258502</v>
      </c>
      <c r="CB5" s="20">
        <f t="shared" si="10"/>
        <v>3.4899830590683352</v>
      </c>
      <c r="CC5" s="59">
        <f t="shared" si="11"/>
        <v>262.60109417017946</v>
      </c>
      <c r="CD5" s="59">
        <f ca="1">AVERAGE(OFFSET($CC$3,0,0,'Données projet'!$E$12+1,1))-AVERAGE(OFFSET($H$3,0,0,'Données projet'!$E$12+1,1))</f>
        <v>353.37479213497227</v>
      </c>
      <c r="CE5" s="59">
        <f t="shared" ref="CE5:CE68" si="40">$CE$3</f>
        <v>345.4750813433123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7.2494000000000005</v>
      </c>
      <c r="CT5" s="12">
        <f>IF('Données projet'!$A$140&gt;35,CT4+CS5-DB4,IF(A5&lt;'Données projet'!$A$140,$CQ$205^A5,IF(A5='Données projet'!$A$140,'Données projet'!$B$140,CT4+CS5-DB4)))</f>
        <v>14.498800000000001</v>
      </c>
      <c r="CU5" s="17">
        <f>CT5*VLOOKUP('Données projet'!$B$13,Paramètres!$A$1:$I$89,3,0)*VLOOKUP('Données projet'!$B$13,Paramètres!$A$1:$I$89,5,0)</f>
        <v>6.9739228000000004</v>
      </c>
      <c r="CV5" s="13">
        <f t="shared" ref="CV5:CV68" si="41">EXP(-1.0587+0.8836*LN(CU5)+0.284)</f>
        <v>2.563589368257277</v>
      </c>
      <c r="CW5" s="20">
        <f t="shared" si="13"/>
        <v>16.611167026381423</v>
      </c>
      <c r="CX5" s="59">
        <f t="shared" si="14"/>
        <v>275.72227813749259</v>
      </c>
      <c r="CY5" s="59">
        <f ca="1">AVERAGE(OFFSET($CX$3,0,0,'Données projet'!$E$13+1,1))-AVERAGE(OFFSET($H$3,0,0,'Données projet'!$E$13+1,1))</f>
        <v>314.18760071409162</v>
      </c>
      <c r="CZ5" s="59">
        <f t="shared" ref="CZ5:CZ68" si="42">$CZ$3</f>
        <v>267.72650645201787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1.4138592860331347</v>
      </c>
      <c r="DQ5" s="13">
        <f t="shared" ref="DQ5:DQ68" si="43">EXP(-1.0587+0.8836*LN(DP5)+0.284)</f>
        <v>0.62582221171965613</v>
      </c>
      <c r="DR5" s="20">
        <f t="shared" si="16"/>
        <v>3.5524452752527771</v>
      </c>
      <c r="DS5" s="59">
        <f t="shared" si="17"/>
        <v>262.66355638636389</v>
      </c>
      <c r="DT5" s="59">
        <f ca="1">AVERAGE(OFFSET($DS$3,0,0,'Données projet'!$E$14+1,1))-AVERAGE(OFFSET($H$3,0,0,'Données projet'!$E$14+1,1))</f>
        <v>324.86930206492627</v>
      </c>
      <c r="DU5" s="59">
        <f t="shared" ref="DU5:DU68" si="44">$DU$3</f>
        <v>317.03005098025352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7.2723529411764707</v>
      </c>
      <c r="N6" s="13">
        <f>IF('Données projet'!$A$36&gt;35,N5+M6-V5,IF(A6&lt;'Données projet'!$A$36,$K$205^A6,IF(A6='Données projet'!$A$36,'Données projet'!$B$36,N5+M6-V5)))</f>
        <v>2.3399055626403502</v>
      </c>
      <c r="O6" s="13">
        <f>N6*VLOOKUP('Données projet'!$B$9,Paramètres!$A$1:$I$89,3,0)*VLOOKUP('Données projet'!$B$9,Paramètres!$A$1:$I$89,5,0)</f>
        <v>1.3992635264589295</v>
      </c>
      <c r="P6" s="13">
        <f t="shared" si="33"/>
        <v>0.62011020047287035</v>
      </c>
      <c r="Q6" s="20">
        <f t="shared" si="2"/>
        <v>3.5170759077395513</v>
      </c>
      <c r="R6" s="59">
        <f t="shared" si="0"/>
        <v>263.85040924107284</v>
      </c>
      <c r="S6" s="59">
        <f ca="1">AVERAGE(OFFSET($R$3,0,0,'Données projet'!$E$9+1,1))-AVERAGE(OFFSET($H$3,0,0,'Données projet'!$E$9+1,1))</f>
        <v>302.00825291248458</v>
      </c>
      <c r="T6" s="59">
        <f t="shared" si="34"/>
        <v>307.35115839449355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</v>
      </c>
      <c r="AI6" s="13">
        <f>IF('Données projet'!$A$62&gt;35,AI5+AH6-AQ5,IF(A6&lt;'Données projet'!$A$62,$AF$205^A6,IF(A6='Données projet'!$A$62,'Données projet'!$B$62,AI5+AH6-AQ5)))</f>
        <v>2.0848063432308721</v>
      </c>
      <c r="AJ6" s="13">
        <f>AI6*VLOOKUP('Données projet'!$B$10,Paramètres!$A$1:$I$89,3,0)*VLOOKUP('Données projet'!$B$10,Paramètres!$A$1:$I$89,5,0)</f>
        <v>0.92148440370804563</v>
      </c>
      <c r="AK6" s="13">
        <f t="shared" si="35"/>
        <v>0.42871990918694192</v>
      </c>
      <c r="AL6" s="20">
        <f t="shared" si="4"/>
        <v>2.3516058449587698</v>
      </c>
      <c r="AM6" s="59">
        <f t="shared" si="5"/>
        <v>262.6849391782921</v>
      </c>
      <c r="AN6" s="59">
        <f ca="1">AVERAGE(OFFSET($AM$3,0,0,'Données projet'!$E$10+1,1))-AVERAGE(OFFSET($H$3,0,0,'Données projet'!$E$10+1,1))</f>
        <v>394.37446333077651</v>
      </c>
      <c r="AO6" s="59">
        <f t="shared" si="36"/>
        <v>335.44327961212963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4.5856818181818184</v>
      </c>
      <c r="BD6" s="12">
        <f>IF('Données projet'!$A$88&gt;35,BD5+BC6-BL5,IF(A6&lt;'Données projet'!$A$88,$BA$205^A6,IF(A6='Données projet'!$A$88,'Données projet'!$B$88,BD5+BC6-BL5)))</f>
        <v>13.757045454545455</v>
      </c>
      <c r="BE6" s="13">
        <f>BD6*VLOOKUP('Données projet'!$B$11,Paramètres!$A$1:$I$89,3,0)*VLOOKUP('Données projet'!$B$11,Paramètres!$A$1:$I$89,5,0)</f>
        <v>12.447374727272727</v>
      </c>
      <c r="BF6" s="13">
        <f t="shared" si="37"/>
        <v>4.2772317039887771</v>
      </c>
      <c r="BG6" s="20">
        <f t="shared" si="7"/>
        <v>29.128689534447123</v>
      </c>
      <c r="BH6" s="59">
        <f t="shared" si="8"/>
        <v>289.46202286778043</v>
      </c>
      <c r="BI6" s="59">
        <f ca="1">AVERAGE(OFFSET($BH$3,0,0,'Données projet'!$E$11+1,1))-AVERAGE(OFFSET($H$3,0,0,'Données projet'!$E$11+1,1))</f>
        <v>490.06222615476065</v>
      </c>
      <c r="BJ6" s="59">
        <f t="shared" si="38"/>
        <v>310.43914804089906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4.333333333333333</v>
      </c>
      <c r="BY6" s="12">
        <f>IF('Données projet'!$A$114&gt;35,BY5+BX6-CG5,IF(A6&lt;'Données projet'!$A$114,$BV$205^A6,IF(A6='Données projet'!$A$114,'Données projet'!$B$114,BY5+BX6-CG5)))</f>
        <v>2.3045316198021402</v>
      </c>
      <c r="BZ6" s="13">
        <f>BY6*VLOOKUP('Données projet'!$B$12,Paramètres!$A$1:$I$89,3,0)*VLOOKUP('Données projet'!$B$12,Paramètres!$A$1:$I$89,5,0)</f>
        <v>1.833485356714583</v>
      </c>
      <c r="CA6" s="13">
        <f t="shared" si="39"/>
        <v>0.78737934142351296</v>
      </c>
      <c r="CB6" s="20">
        <f t="shared" si="10"/>
        <v>4.5646726825905164</v>
      </c>
      <c r="CC6" s="59">
        <f t="shared" si="11"/>
        <v>264.89800601592384</v>
      </c>
      <c r="CD6" s="59">
        <f ca="1">AVERAGE(OFFSET($CC$3,0,0,'Données projet'!$E$12+1,1))-AVERAGE(OFFSET($H$3,0,0,'Données projet'!$E$12+1,1))</f>
        <v>353.37479213497227</v>
      </c>
      <c r="CE6" s="59">
        <f t="shared" si="40"/>
        <v>345.4750813433123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7.2494000000000005</v>
      </c>
      <c r="CT6" s="12">
        <f>IF('Données projet'!$A$140&gt;35,CT5+CS6-DB5,IF(A6&lt;'Données projet'!$A$140,$CQ$205^A6,IF(A6='Données projet'!$A$140,'Données projet'!$B$140,CT5+CS6-DB5)))</f>
        <v>21.748200000000001</v>
      </c>
      <c r="CU6" s="17">
        <f>CT6*VLOOKUP('Données projet'!$B$13,Paramètres!$A$1:$I$89,3,0)*VLOOKUP('Données projet'!$B$13,Paramètres!$A$1:$I$89,5,0)</f>
        <v>10.460884200000001</v>
      </c>
      <c r="CV6" s="13">
        <f t="shared" si="41"/>
        <v>3.6681129342388941</v>
      </c>
      <c r="CW6" s="20">
        <f t="shared" si="13"/>
        <v>24.608003342132736</v>
      </c>
      <c r="CX6" s="59">
        <f t="shared" si="14"/>
        <v>284.94133667546606</v>
      </c>
      <c r="CY6" s="59">
        <f ca="1">AVERAGE(OFFSET($CX$3,0,0,'Données projet'!$E$13+1,1))-AVERAGE(OFFSET($H$3,0,0,'Données projet'!$E$13+1,1))</f>
        <v>314.18760071409162</v>
      </c>
      <c r="CZ6" s="59">
        <f t="shared" si="42"/>
        <v>267.72650645201787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1.7986761256276329</v>
      </c>
      <c r="DQ6" s="13">
        <f t="shared" si="43"/>
        <v>0.77415604497611523</v>
      </c>
      <c r="DR6" s="20">
        <f t="shared" si="16"/>
        <v>4.4810160304681945</v>
      </c>
      <c r="DS6" s="59">
        <f t="shared" si="17"/>
        <v>264.81434936380151</v>
      </c>
      <c r="DT6" s="59">
        <f ca="1">AVERAGE(OFFSET($DS$3,0,0,'Données projet'!$E$14+1,1))-AVERAGE(OFFSET($H$3,0,0,'Données projet'!$E$14+1,1))</f>
        <v>324.86930206492627</v>
      </c>
      <c r="DU6" s="59">
        <f t="shared" si="44"/>
        <v>317.03005098025352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7.2723529411764707</v>
      </c>
      <c r="N7" s="13">
        <f>IF('Données projet'!$A$36&gt;35,N6+M7-V6,IF(A7&lt;'Données projet'!$A$36,$K$205^A7,IF(A7='Données projet'!$A$36,'Données projet'!$B$36,N6+M7-V6)))</f>
        <v>3.1064505151662831</v>
      </c>
      <c r="O7" s="13">
        <f>N7*VLOOKUP('Données projet'!$B$9,Paramètres!$A$1:$I$89,3,0)*VLOOKUP('Données projet'!$B$9,Paramètres!$A$1:$I$89,5,0)</f>
        <v>1.8576574080694375</v>
      </c>
      <c r="P7" s="13">
        <f t="shared" si="33"/>
        <v>0.7965445858815392</v>
      </c>
      <c r="Q7" s="20">
        <f t="shared" si="2"/>
        <v>4.6227351394646172</v>
      </c>
      <c r="R7" s="59">
        <f t="shared" si="0"/>
        <v>266.17829069502017</v>
      </c>
      <c r="S7" s="59">
        <f ca="1">AVERAGE(OFFSET($R$3,0,0,'Données projet'!$E$9+1,1))-AVERAGE(OFFSET($H$3,0,0,'Données projet'!$E$9+1,1))</f>
        <v>302.00825291248458</v>
      </c>
      <c r="T7" s="59">
        <f t="shared" si="34"/>
        <v>307.35115839449355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</v>
      </c>
      <c r="AI7" s="13">
        <f>IF('Données projet'!$A$62&gt;35,AI6+AH7-AQ6,IF(A7&lt;'Données projet'!$A$62,$AF$205^A7,IF(A7='Données projet'!$A$62,'Données projet'!$B$62,AI6+AH7-AQ6)))</f>
        <v>2.6633053388644834</v>
      </c>
      <c r="AJ7" s="13">
        <f>AI7*VLOOKUP('Données projet'!$B$10,Paramètres!$A$1:$I$89,3,0)*VLOOKUP('Données projet'!$B$10,Paramètres!$A$1:$I$89,5,0)</f>
        <v>1.1771809597781018</v>
      </c>
      <c r="AK7" s="13">
        <f t="shared" si="35"/>
        <v>0.53229102312682486</v>
      </c>
      <c r="AL7" s="20">
        <f t="shared" si="4"/>
        <v>2.9773303702260798</v>
      </c>
      <c r="AM7" s="59">
        <f t="shared" si="5"/>
        <v>264.53288592578161</v>
      </c>
      <c r="AN7" s="59">
        <f ca="1">AVERAGE(OFFSET($AM$3,0,0,'Données projet'!$E$10+1,1))-AVERAGE(OFFSET($H$3,0,0,'Données projet'!$E$10+1,1))</f>
        <v>394.37446333077651</v>
      </c>
      <c r="AO7" s="59">
        <f t="shared" si="36"/>
        <v>335.44327961212963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4.5856818181818184</v>
      </c>
      <c r="BD7" s="12">
        <f>IF('Données projet'!$A$88&gt;35,BD6+BC7-BL6,IF(A7&lt;'Données projet'!$A$88,$BA$205^A7,IF(A7='Données projet'!$A$88,'Données projet'!$B$88,BD6+BC7-BL6)))</f>
        <v>18.342727272727274</v>
      </c>
      <c r="BE7" s="13">
        <f>BD7*VLOOKUP('Données projet'!$B$11,Paramètres!$A$1:$I$89,3,0)*VLOOKUP('Données projet'!$B$11,Paramètres!$A$1:$I$89,5,0)</f>
        <v>16.596499636363635</v>
      </c>
      <c r="BF7" s="13">
        <f t="shared" si="37"/>
        <v>5.5151667138499949</v>
      </c>
      <c r="BG7" s="20">
        <f t="shared" si="7"/>
        <v>38.511152226622073</v>
      </c>
      <c r="BH7" s="59">
        <f t="shared" si="8"/>
        <v>300.06670778217762</v>
      </c>
      <c r="BI7" s="59">
        <f ca="1">AVERAGE(OFFSET($BH$3,0,0,'Données projet'!$E$11+1,1))-AVERAGE(OFFSET($H$3,0,0,'Données projet'!$E$11+1,1))</f>
        <v>490.06222615476065</v>
      </c>
      <c r="BJ7" s="59">
        <f t="shared" si="38"/>
        <v>310.43914804089906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4.333333333333333</v>
      </c>
      <c r="BY7" s="12">
        <f>IF('Données projet'!$A$114&gt;35,BY6+BX7-CG6,IF(A7&lt;'Données projet'!$A$114,$BV$205^A7,IF(A7='Données projet'!$A$114,'Données projet'!$B$114,BY6+BX7-CG6)))</f>
        <v>3.0439923858678468</v>
      </c>
      <c r="BZ7" s="13">
        <f>BY7*VLOOKUP('Données projet'!$B$12,Paramètres!$A$1:$I$89,3,0)*VLOOKUP('Données projet'!$B$12,Paramètres!$A$1:$I$89,5,0)</f>
        <v>2.4218003421964593</v>
      </c>
      <c r="CA7" s="13">
        <f t="shared" si="39"/>
        <v>1.0068776453006392</v>
      </c>
      <c r="CB7" s="20">
        <f t="shared" si="10"/>
        <v>5.9716141615574472</v>
      </c>
      <c r="CC7" s="59">
        <f t="shared" si="11"/>
        <v>267.527169717113</v>
      </c>
      <c r="CD7" s="59">
        <f ca="1">AVERAGE(OFFSET($CC$3,0,0,'Données projet'!$E$12+1,1))-AVERAGE(OFFSET($H$3,0,0,'Données projet'!$E$12+1,1))</f>
        <v>353.37479213497227</v>
      </c>
      <c r="CE7" s="59">
        <f t="shared" si="40"/>
        <v>345.4750813433123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7.2494000000000005</v>
      </c>
      <c r="CT7" s="12">
        <f>IF('Données projet'!$A$140&gt;35,CT6+CS7-DB6,IF(A7&lt;'Données projet'!$A$140,$CQ$205^A7,IF(A7='Données projet'!$A$140,'Données projet'!$B$140,CT6+CS7-DB6)))</f>
        <v>28.997600000000002</v>
      </c>
      <c r="CU7" s="17">
        <f>CT7*VLOOKUP('Données projet'!$B$13,Paramètres!$A$1:$I$89,3,0)*VLOOKUP('Données projet'!$B$13,Paramètres!$A$1:$I$89,5,0)</f>
        <v>13.947845600000001</v>
      </c>
      <c r="CV7" s="13">
        <f t="shared" si="41"/>
        <v>4.729754139503604</v>
      </c>
      <c r="CW7" s="20">
        <f t="shared" si="13"/>
        <v>32.530152879635445</v>
      </c>
      <c r="CX7" s="59">
        <f t="shared" si="14"/>
        <v>294.08570843519101</v>
      </c>
      <c r="CY7" s="59">
        <f ca="1">AVERAGE(OFFSET($CX$3,0,0,'Données projet'!$E$13+1,1))-AVERAGE(OFFSET($H$3,0,0,'Données projet'!$E$13+1,1))</f>
        <v>314.18760071409162</v>
      </c>
      <c r="CZ7" s="59">
        <f t="shared" si="42"/>
        <v>267.72650645201787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2.2882304037341177</v>
      </c>
      <c r="DQ7" s="13">
        <f t="shared" si="43"/>
        <v>0.95764830769786036</v>
      </c>
      <c r="DR7" s="20">
        <f t="shared" si="16"/>
        <v>5.6532387557440282</v>
      </c>
      <c r="DS7" s="59">
        <f t="shared" si="17"/>
        <v>267.20879431129958</v>
      </c>
      <c r="DT7" s="59">
        <f ca="1">AVERAGE(OFFSET($DS$3,0,0,'Données projet'!$E$14+1,1))-AVERAGE(OFFSET($H$3,0,0,'Données projet'!$E$14+1,1))</f>
        <v>324.86930206492627</v>
      </c>
      <c r="DU7" s="59">
        <f t="shared" si="44"/>
        <v>317.03005098025352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7.2723529411764707</v>
      </c>
      <c r="N8" s="13">
        <f>IF('Données projet'!$A$36&gt;35,N7+M8-V7,IF(A8&lt;'Données projet'!$A$36,$K$205^A8,IF(A8='Données projet'!$A$36,'Données projet'!$B$36,N7+M8-V7)))</f>
        <v>4.1241129373989613</v>
      </c>
      <c r="O8" s="13">
        <f>N8*VLOOKUP('Données projet'!$B$9,Paramètres!$A$1:$I$89,3,0)*VLOOKUP('Données projet'!$B$9,Paramètres!$A$1:$I$89,5,0)</f>
        <v>2.4662195365645792</v>
      </c>
      <c r="P8" s="13">
        <f t="shared" si="33"/>
        <v>1.0231782622078491</v>
      </c>
      <c r="Q8" s="20">
        <f t="shared" si="2"/>
        <v>6.0773678328619782</v>
      </c>
      <c r="R8" s="59">
        <f t="shared" si="0"/>
        <v>268.85514561063974</v>
      </c>
      <c r="S8" s="59">
        <f ca="1">AVERAGE(OFFSET($R$3,0,0,'Données projet'!$E$9+1,1))-AVERAGE(OFFSET($H$3,0,0,'Données projet'!$E$9+1,1))</f>
        <v>302.00825291248458</v>
      </c>
      <c r="T8" s="59">
        <f t="shared" si="34"/>
        <v>307.35115839449355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</v>
      </c>
      <c r="AI8" s="13">
        <f>IF('Données projet'!$A$62&gt;35,AI7+AH8-AQ7,IF(A8&lt;'Données projet'!$A$62,$AF$205^A8,IF(A8='Données projet'!$A$62,'Données projet'!$B$62,AI7+AH8-AQ7)))</f>
        <v>3.4023281591860344</v>
      </c>
      <c r="AJ8" s="13">
        <f>AI8*VLOOKUP('Données projet'!$B$10,Paramètres!$A$1:$I$89,3,0)*VLOOKUP('Données projet'!$B$10,Paramètres!$A$1:$I$89,5,0)</f>
        <v>1.5038290463602273</v>
      </c>
      <c r="AK8" s="13">
        <f t="shared" si="35"/>
        <v>0.66088307827536719</v>
      </c>
      <c r="AL8" s="20">
        <f t="shared" si="4"/>
        <v>3.7702069504069935</v>
      </c>
      <c r="AM8" s="59">
        <f t="shared" si="5"/>
        <v>266.54798472818476</v>
      </c>
      <c r="AN8" s="59">
        <f ca="1">AVERAGE(OFFSET($AM$3,0,0,'Données projet'!$E$10+1,1))-AVERAGE(OFFSET($H$3,0,0,'Données projet'!$E$10+1,1))</f>
        <v>394.37446333077651</v>
      </c>
      <c r="AO8" s="59">
        <f t="shared" si="36"/>
        <v>335.44327961212963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4.5856818181818184</v>
      </c>
      <c r="BD8" s="12">
        <f>IF('Données projet'!$A$88&gt;35,BD7+BC8-BL7,IF(A8&lt;'Données projet'!$A$88,$BA$205^A8,IF(A8='Données projet'!$A$88,'Données projet'!$B$88,BD7+BC8-BL7)))</f>
        <v>22.928409090909092</v>
      </c>
      <c r="BE8" s="13">
        <f>BD8*VLOOKUP('Données projet'!$B$11,Paramètres!$A$1:$I$89,3,0)*VLOOKUP('Données projet'!$B$11,Paramètres!$A$1:$I$89,5,0)</f>
        <v>20.745624545454547</v>
      </c>
      <c r="BF8" s="13">
        <f t="shared" si="37"/>
        <v>6.7172008216278272</v>
      </c>
      <c r="BG8" s="20">
        <f t="shared" si="7"/>
        <v>47.831087514335131</v>
      </c>
      <c r="BH8" s="59">
        <f t="shared" si="8"/>
        <v>310.60886529211291</v>
      </c>
      <c r="BI8" s="59">
        <f ca="1">AVERAGE(OFFSET($BH$3,0,0,'Données projet'!$E$11+1,1))-AVERAGE(OFFSET($H$3,0,0,'Données projet'!$E$11+1,1))</f>
        <v>490.06222615476065</v>
      </c>
      <c r="BJ8" s="59">
        <f t="shared" si="38"/>
        <v>310.43914804089906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4.333333333333333</v>
      </c>
      <c r="BY8" s="12">
        <f>IF('Données projet'!$A$114&gt;35,BY7+BX8-CG7,IF(A8&lt;'Données projet'!$A$114,$BV$205^A8,IF(A8='Données projet'!$A$114,'Données projet'!$B$114,BY7+BX8-CG7)))</f>
        <v>4.0207257585890561</v>
      </c>
      <c r="BZ8" s="13">
        <f>BY8*VLOOKUP('Données projet'!$B$12,Paramètres!$A$1:$I$89,3,0)*VLOOKUP('Données projet'!$B$12,Paramètres!$A$1:$I$89,5,0)</f>
        <v>3.1988894135334531</v>
      </c>
      <c r="CA8" s="13">
        <f t="shared" si="39"/>
        <v>1.2875656488183871</v>
      </c>
      <c r="CB8" s="20">
        <f t="shared" si="10"/>
        <v>7.8139092335961218</v>
      </c>
      <c r="CC8" s="59">
        <f t="shared" si="11"/>
        <v>270.59168701137389</v>
      </c>
      <c r="CD8" s="59">
        <f ca="1">AVERAGE(OFFSET($CC$3,0,0,'Données projet'!$E$12+1,1))-AVERAGE(OFFSET($H$3,0,0,'Données projet'!$E$12+1,1))</f>
        <v>353.37479213497227</v>
      </c>
      <c r="CE8" s="59">
        <f t="shared" si="40"/>
        <v>345.4750813433123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7.2494000000000005</v>
      </c>
      <c r="CT8" s="12">
        <f>IF('Données projet'!$A$140&gt;35,CT7+CS8-DB7,IF(A8&lt;'Données projet'!$A$140,$CQ$205^A8,IF(A8='Données projet'!$A$140,'Données projet'!$B$140,CT7+CS8-DB7)))</f>
        <v>36.247</v>
      </c>
      <c r="CU8" s="17">
        <f>CT8*VLOOKUP('Données projet'!$B$13,Paramètres!$A$1:$I$89,3,0)*VLOOKUP('Données projet'!$B$13,Paramètres!$A$1:$I$89,5,0)</f>
        <v>17.434806999999999</v>
      </c>
      <c r="CV8" s="13">
        <f t="shared" si="41"/>
        <v>5.7606070750657201</v>
      </c>
      <c r="CW8" s="20">
        <f t="shared" si="13"/>
        <v>40.398679514072789</v>
      </c>
      <c r="CX8" s="59">
        <f t="shared" si="14"/>
        <v>303.17645729185057</v>
      </c>
      <c r="CY8" s="59">
        <f ca="1">AVERAGE(OFFSET($CX$3,0,0,'Données projet'!$E$13+1,1))-AVERAGE(OFFSET($H$3,0,0,'Données projet'!$E$13+1,1))</f>
        <v>314.18760071409162</v>
      </c>
      <c r="CZ8" s="59">
        <f t="shared" si="42"/>
        <v>267.72650645201787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2.9110290095979048</v>
      </c>
      <c r="DQ8" s="13">
        <f t="shared" si="43"/>
        <v>1.1846323324451606</v>
      </c>
      <c r="DR8" s="20">
        <f t="shared" si="16"/>
        <v>7.133276837391672</v>
      </c>
      <c r="DS8" s="59">
        <f t="shared" si="17"/>
        <v>269.91105461516946</v>
      </c>
      <c r="DT8" s="59">
        <f ca="1">AVERAGE(OFFSET($DS$3,0,0,'Données projet'!$E$14+1,1))-AVERAGE(OFFSET($H$3,0,0,'Données projet'!$E$14+1,1))</f>
        <v>324.86930206492627</v>
      </c>
      <c r="DU8" s="59">
        <f t="shared" si="44"/>
        <v>317.03005098025352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7.2723529411764707</v>
      </c>
      <c r="N9" s="13">
        <f>IF('Données projet'!$A$36&gt;35,N8+M9-V8,IF(A9&lt;'Données projet'!$A$36,$K$205^A9,IF(A9='Données projet'!$A$36,'Données projet'!$B$36,N8+M9-V8)))</f>
        <v>5.4751580420752548</v>
      </c>
      <c r="O9" s="13">
        <f>N9*VLOOKUP('Données projet'!$B$9,Paramètres!$A$1:$I$89,3,0)*VLOOKUP('Données projet'!$B$9,Paramètres!$A$1:$I$89,5,0)</f>
        <v>3.2741445091610024</v>
      </c>
      <c r="P9" s="13">
        <f t="shared" si="33"/>
        <v>1.3142939827983047</v>
      </c>
      <c r="Q9" s="20">
        <f t="shared" si="2"/>
        <v>7.9915303734957925</v>
      </c>
      <c r="R9" s="59">
        <f t="shared" si="0"/>
        <v>271.99153037349578</v>
      </c>
      <c r="S9" s="59">
        <f ca="1">AVERAGE(OFFSET($R$3,0,0,'Données projet'!$E$9+1,1))-AVERAGE(OFFSET($H$3,0,0,'Données projet'!$E$9+1,1))</f>
        <v>302.00825291248458</v>
      </c>
      <c r="T9" s="59">
        <f t="shared" si="34"/>
        <v>307.35115839449355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</v>
      </c>
      <c r="AI9" s="13">
        <f>IF('Données projet'!$A$62&gt;35,AI8+AH9-AQ8,IF(A9&lt;'Données projet'!$A$62,$AF$205^A9,IF(A9='Données projet'!$A$62,'Données projet'!$B$62,AI8+AH9-AQ8)))</f>
        <v>4.3464174887756801</v>
      </c>
      <c r="AJ9" s="13">
        <f>AI9*VLOOKUP('Données projet'!$B$10,Paramètres!$A$1:$I$89,3,0)*VLOOKUP('Données projet'!$B$10,Paramètres!$A$1:$I$89,5,0)</f>
        <v>1.9211165300388509</v>
      </c>
      <c r="AK9" s="13">
        <f t="shared" si="35"/>
        <v>0.82054068953678427</v>
      </c>
      <c r="AL9" s="20">
        <f t="shared" si="4"/>
        <v>4.775052990760897</v>
      </c>
      <c r="AM9" s="59">
        <f t="shared" si="5"/>
        <v>268.77505299076091</v>
      </c>
      <c r="AN9" s="59">
        <f ca="1">AVERAGE(OFFSET($AM$3,0,0,'Données projet'!$E$10+1,1))-AVERAGE(OFFSET($H$3,0,0,'Données projet'!$E$10+1,1))</f>
        <v>394.37446333077651</v>
      </c>
      <c r="AO9" s="59">
        <f t="shared" si="36"/>
        <v>335.44327961212963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4.5856818181818184</v>
      </c>
      <c r="BD9" s="12">
        <f>IF('Données projet'!$A$88&gt;35,BD8+BC9-BL8,IF(A9&lt;'Données projet'!$A$88,$BA$205^A9,IF(A9='Données projet'!$A$88,'Données projet'!$B$88,BD8+BC9-BL8)))</f>
        <v>27.51409090909091</v>
      </c>
      <c r="BE9" s="13">
        <f>BD9*VLOOKUP('Données projet'!$B$11,Paramètres!$A$1:$I$89,3,0)*VLOOKUP('Données projet'!$B$11,Paramètres!$A$1:$I$89,5,0)</f>
        <v>24.894749454545455</v>
      </c>
      <c r="BF9" s="13">
        <f t="shared" si="37"/>
        <v>7.8913786303106157</v>
      </c>
      <c r="BG9" s="20">
        <f t="shared" si="7"/>
        <v>57.102506414457658</v>
      </c>
      <c r="BH9" s="59">
        <f t="shared" si="8"/>
        <v>321.10250641445765</v>
      </c>
      <c r="BI9" s="59">
        <f ca="1">AVERAGE(OFFSET($BH$3,0,0,'Données projet'!$E$11+1,1))-AVERAGE(OFFSET($H$3,0,0,'Données projet'!$E$11+1,1))</f>
        <v>490.06222615476065</v>
      </c>
      <c r="BJ9" s="59">
        <f t="shared" si="38"/>
        <v>310.43914804089906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4.333333333333333</v>
      </c>
      <c r="BY9" s="12">
        <f>IF('Données projet'!$A$114&gt;35,BY8+BX9-CG8,IF(A9&lt;'Données projet'!$A$114,$BV$205^A9,IF(A9='Données projet'!$A$114,'Données projet'!$B$114,BY8+BX9-CG8)))</f>
        <v>5.310865986667876</v>
      </c>
      <c r="BZ9" s="13">
        <f>BY9*VLOOKUP('Données projet'!$B$12,Paramètres!$A$1:$I$89,3,0)*VLOOKUP('Données projet'!$B$12,Paramètres!$A$1:$I$89,5,0)</f>
        <v>4.2253249789929628</v>
      </c>
      <c r="CA9" s="13">
        <f t="shared" si="39"/>
        <v>1.6465012484432624</v>
      </c>
      <c r="CB9" s="20">
        <f t="shared" si="10"/>
        <v>10.226764012784757</v>
      </c>
      <c r="CC9" s="59">
        <f t="shared" si="11"/>
        <v>274.22676401278477</v>
      </c>
      <c r="CD9" s="59">
        <f ca="1">AVERAGE(OFFSET($CC$3,0,0,'Données projet'!$E$12+1,1))-AVERAGE(OFFSET($H$3,0,0,'Données projet'!$E$12+1,1))</f>
        <v>353.37479213497227</v>
      </c>
      <c r="CE9" s="59">
        <f t="shared" si="40"/>
        <v>345.4750813433123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7.2494000000000005</v>
      </c>
      <c r="CT9" s="12">
        <f>IF('Données projet'!$A$140&gt;35,CT8+CS9-DB8,IF(A9&lt;'Données projet'!$A$140,$CQ$205^A9,IF(A9='Données projet'!$A$140,'Données projet'!$B$140,CT8+CS9-DB8)))</f>
        <v>43.496400000000001</v>
      </c>
      <c r="CU9" s="17">
        <f>CT9*VLOOKUP('Données projet'!$B$13,Paramètres!$A$1:$I$89,3,0)*VLOOKUP('Données projet'!$B$13,Paramètres!$A$1:$I$89,5,0)</f>
        <v>20.921768400000001</v>
      </c>
      <c r="CV9" s="13">
        <f t="shared" si="41"/>
        <v>6.7675707153822033</v>
      </c>
      <c r="CW9" s="20">
        <f t="shared" si="13"/>
        <v>48.225598959290672</v>
      </c>
      <c r="CX9" s="59">
        <f t="shared" si="14"/>
        <v>312.22559895929066</v>
      </c>
      <c r="CY9" s="59">
        <f ca="1">AVERAGE(OFFSET($CX$3,0,0,'Données projet'!$E$13+1,1))-AVERAGE(OFFSET($H$3,0,0,'Données projet'!$E$13+1,1))</f>
        <v>314.18760071409162</v>
      </c>
      <c r="CZ9" s="59">
        <f t="shared" si="42"/>
        <v>267.72650645201787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3.7033376887623981</v>
      </c>
      <c r="DQ9" s="13">
        <f t="shared" si="43"/>
        <v>1.4654166376047331</v>
      </c>
      <c r="DR9" s="20">
        <f t="shared" si="16"/>
        <v>9.002247118422753</v>
      </c>
      <c r="DS9" s="59">
        <f t="shared" si="17"/>
        <v>273.00224711842276</v>
      </c>
      <c r="DT9" s="59">
        <f ca="1">AVERAGE(OFFSET($DS$3,0,0,'Données projet'!$E$14+1,1))-AVERAGE(OFFSET($H$3,0,0,'Données projet'!$E$14+1,1))</f>
        <v>324.86930206492627</v>
      </c>
      <c r="DU9" s="59">
        <f t="shared" si="44"/>
        <v>317.03005098025352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7.2723529411764707</v>
      </c>
      <c r="N10" s="13">
        <f>IF('Données projet'!$A$36&gt;35,N9+M10-V9,IF(A10&lt;'Données projet'!$A$36,$K$205^A10,IF(A10='Données projet'!$A$36,'Données projet'!$B$36,N9+M10-V9)))</f>
        <v>7.2688008405045679</v>
      </c>
      <c r="O10" s="13">
        <f>N10*VLOOKUP('Données projet'!$B$9,Paramètres!$A$1:$I$89,3,0)*VLOOKUP('Données projet'!$B$9,Paramètres!$A$1:$I$89,5,0)</f>
        <v>4.3467429026217319</v>
      </c>
      <c r="P10" s="13">
        <f t="shared" si="33"/>
        <v>1.6882382445190491</v>
      </c>
      <c r="Q10" s="20">
        <f t="shared" si="2"/>
        <v>10.510925497936862</v>
      </c>
      <c r="R10" s="59">
        <f t="shared" si="0"/>
        <v>275.73314772015908</v>
      </c>
      <c r="S10" s="59">
        <f ca="1">AVERAGE(OFFSET($R$3,0,0,'Données projet'!$E$9+1,1))-AVERAGE(OFFSET($H$3,0,0,'Données projet'!$E$9+1,1))</f>
        <v>302.00825291248458</v>
      </c>
      <c r="T10" s="59">
        <f t="shared" si="34"/>
        <v>307.35115839449355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</v>
      </c>
      <c r="AI10" s="13">
        <f>IF('Données projet'!$A$62&gt;35,AI9+AH10-AQ9,IF(A10&lt;'Données projet'!$A$62,$AF$205^A10,IF(A10='Données projet'!$A$62,'Données projet'!$B$62,AI9+AH10-AQ9)))</f>
        <v>5.5524758644253227</v>
      </c>
      <c r="AJ10" s="13">
        <f>AI10*VLOOKUP('Données projet'!$B$10,Paramètres!$A$1:$I$89,3,0)*VLOOKUP('Données projet'!$B$10,Paramètres!$A$1:$I$89,5,0)</f>
        <v>2.4541943320759931</v>
      </c>
      <c r="AK10" s="13">
        <f t="shared" si="35"/>
        <v>1.0187687433948276</v>
      </c>
      <c r="AL10" s="20">
        <f t="shared" si="4"/>
        <v>6.0487440231116798</v>
      </c>
      <c r="AM10" s="59">
        <f t="shared" si="5"/>
        <v>271.27096624533391</v>
      </c>
      <c r="AN10" s="59">
        <f ca="1">AVERAGE(OFFSET($AM$3,0,0,'Données projet'!$E$10+1,1))-AVERAGE(OFFSET($H$3,0,0,'Données projet'!$E$10+1,1))</f>
        <v>394.37446333077651</v>
      </c>
      <c r="AO10" s="59">
        <f t="shared" si="36"/>
        <v>335.44327961212963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4.5856818181818184</v>
      </c>
      <c r="BD10" s="12">
        <f>IF('Données projet'!$A$88&gt;35,BD9+BC10-BL9,IF(A10&lt;'Données projet'!$A$88,$BA$205^A10,IF(A10='Données projet'!$A$88,'Données projet'!$B$88,BD9+BC10-BL9)))</f>
        <v>32.099772727272729</v>
      </c>
      <c r="BE10" s="13">
        <f>BD10*VLOOKUP('Données projet'!$B$11,Paramètres!$A$1:$I$89,3,0)*VLOOKUP('Données projet'!$B$11,Paramètres!$A$1:$I$89,5,0)</f>
        <v>29.043874363636363</v>
      </c>
      <c r="BF10" s="13">
        <f t="shared" si="37"/>
        <v>9.0428861843958348</v>
      </c>
      <c r="BG10" s="20">
        <f t="shared" si="7"/>
        <v>66.334441287822742</v>
      </c>
      <c r="BH10" s="59">
        <f t="shared" si="8"/>
        <v>331.55666351004498</v>
      </c>
      <c r="BI10" s="59">
        <f ca="1">AVERAGE(OFFSET($BH$3,0,0,'Données projet'!$E$11+1,1))-AVERAGE(OFFSET($H$3,0,0,'Données projet'!$E$11+1,1))</f>
        <v>490.06222615476065</v>
      </c>
      <c r="BJ10" s="59">
        <f t="shared" si="38"/>
        <v>310.43914804089906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4.333333333333333</v>
      </c>
      <c r="BY10" s="12">
        <f>IF('Données projet'!$A$114&gt;35,BY9+BX10-CG9,IF(A10&lt;'Données projet'!$A$114,$BV$205^A10,IF(A10='Données projet'!$A$114,'Données projet'!$B$114,BY9+BX10-CG9)))</f>
        <v>7.0149767036694106</v>
      </c>
      <c r="BZ10" s="13">
        <f>BY10*VLOOKUP('Données projet'!$B$12,Paramètres!$A$1:$I$89,3,0)*VLOOKUP('Données projet'!$B$12,Paramètres!$A$1:$I$89,5,0)</f>
        <v>5.5811154654393826</v>
      </c>
      <c r="CA10" s="13">
        <f t="shared" si="39"/>
        <v>2.1054975826771263</v>
      </c>
      <c r="CB10" s="20">
        <f t="shared" si="10"/>
        <v>13.387517725469587</v>
      </c>
      <c r="CC10" s="59">
        <f t="shared" si="11"/>
        <v>278.60973994769182</v>
      </c>
      <c r="CD10" s="59">
        <f ca="1">AVERAGE(OFFSET($CC$3,0,0,'Données projet'!$E$12+1,1))-AVERAGE(OFFSET($H$3,0,0,'Données projet'!$E$12+1,1))</f>
        <v>353.37479213497227</v>
      </c>
      <c r="CE10" s="59">
        <f t="shared" si="40"/>
        <v>345.4750813433123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7.2494000000000005</v>
      </c>
      <c r="CT10" s="12">
        <f>IF('Données projet'!$A$140&gt;35,CT9+CS10-DB9,IF(A10&lt;'Données projet'!$A$140,$CQ$205^A10,IF(A10='Données projet'!$A$140,'Données projet'!$B$140,CT9+CS10-DB9)))</f>
        <v>50.745800000000003</v>
      </c>
      <c r="CU10" s="17">
        <f>CT10*VLOOKUP('Données projet'!$B$13,Paramètres!$A$1:$I$89,3,0)*VLOOKUP('Données projet'!$B$13,Paramètres!$A$1:$I$89,5,0)</f>
        <v>24.408729800000003</v>
      </c>
      <c r="CV10" s="13">
        <f t="shared" si="41"/>
        <v>7.7550925625327256</v>
      </c>
      <c r="CW10" s="20">
        <f t="shared" si="13"/>
        <v>56.018657281411159</v>
      </c>
      <c r="CX10" s="59">
        <f t="shared" si="14"/>
        <v>321.24087950363338</v>
      </c>
      <c r="CY10" s="59">
        <f ca="1">AVERAGE(OFFSET($CX$3,0,0,'Données projet'!$E$13+1,1))-AVERAGE(OFFSET($H$3,0,0,'Données projet'!$E$13+1,1))</f>
        <v>314.18760071409162</v>
      </c>
      <c r="CZ10" s="59">
        <f t="shared" si="42"/>
        <v>267.72650645201787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4.711292808072157</v>
      </c>
      <c r="DQ10" s="13">
        <f t="shared" si="43"/>
        <v>1.8127530905190552</v>
      </c>
      <c r="DR10" s="20">
        <f t="shared" si="16"/>
        <v>11.362713273379695</v>
      </c>
      <c r="DS10" s="59">
        <f t="shared" si="17"/>
        <v>276.58493549560194</v>
      </c>
      <c r="DT10" s="59">
        <f ca="1">AVERAGE(OFFSET($DS$3,0,0,'Données projet'!$E$14+1,1))-AVERAGE(OFFSET($H$3,0,0,'Données projet'!$E$14+1,1))</f>
        <v>324.86930206492627</v>
      </c>
      <c r="DU10" s="59">
        <f t="shared" si="44"/>
        <v>317.03005098025352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7.2723529411764707</v>
      </c>
      <c r="N11" s="13">
        <f>IF('Données projet'!$A$36&gt;35,N10+M11-V10,IF(A11&lt;'Données projet'!$A$36,$K$205^A11,IF(A11='Données projet'!$A$36,'Données projet'!$B$36,N10+M11-V10)))</f>
        <v>9.6500348031768652</v>
      </c>
      <c r="O11" s="13">
        <f>N11*VLOOKUP('Données projet'!$B$9,Paramètres!$A$1:$I$89,3,0)*VLOOKUP('Données projet'!$B$9,Paramètres!$A$1:$I$89,5,0)</f>
        <v>5.770720812299766</v>
      </c>
      <c r="P11" s="13">
        <f t="shared" si="33"/>
        <v>2.168577508198295</v>
      </c>
      <c r="Q11" s="20">
        <f t="shared" si="2"/>
        <v>13.827611241534122</v>
      </c>
      <c r="R11" s="59">
        <f t="shared" si="0"/>
        <v>280.27205568597856</v>
      </c>
      <c r="S11" s="59">
        <f ca="1">AVERAGE(OFFSET($R$3,0,0,'Données projet'!$E$9+1,1))-AVERAGE(OFFSET($H$3,0,0,'Données projet'!$E$9+1,1))</f>
        <v>302.00825291248458</v>
      </c>
      <c r="T11" s="59">
        <f t="shared" si="34"/>
        <v>307.35115839449355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</v>
      </c>
      <c r="AI11" s="13">
        <f>IF('Données projet'!$A$62&gt;35,AI10+AH11-AQ10,IF(A11&lt;'Données projet'!$A$62,$AF$205^A11,IF(A11='Données projet'!$A$62,'Données projet'!$B$62,AI10+AH11-AQ10)))</f>
        <v>7.0931953280240609</v>
      </c>
      <c r="AJ11" s="13">
        <f>AI11*VLOOKUP('Données projet'!$B$10,Paramètres!$A$1:$I$89,3,0)*VLOOKUP('Données projet'!$B$10,Paramètres!$A$1:$I$89,5,0)</f>
        <v>3.1351923349866353</v>
      </c>
      <c r="AK11" s="13">
        <f t="shared" si="35"/>
        <v>1.2648851735849818</v>
      </c>
      <c r="AL11" s="20">
        <f t="shared" si="4"/>
        <v>7.6634683274288991</v>
      </c>
      <c r="AM11" s="59">
        <f t="shared" si="5"/>
        <v>274.10791277187337</v>
      </c>
      <c r="AN11" s="59">
        <f ca="1">AVERAGE(OFFSET($AM$3,0,0,'Données projet'!$E$10+1,1))-AVERAGE(OFFSET($H$3,0,0,'Données projet'!$E$10+1,1))</f>
        <v>394.37446333077651</v>
      </c>
      <c r="AO11" s="59">
        <f t="shared" si="36"/>
        <v>335.44327961212963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4.5856818181818184</v>
      </c>
      <c r="BD11" s="12">
        <f>IF('Données projet'!$A$88&gt;35,BD10+BC11-BL10,IF(A11&lt;'Données projet'!$A$88,$BA$205^A11,IF(A11='Données projet'!$A$88,'Données projet'!$B$88,BD10+BC11-BL10)))</f>
        <v>36.685454545454547</v>
      </c>
      <c r="BE11" s="13">
        <f>BD11*VLOOKUP('Données projet'!$B$11,Paramètres!$A$1:$I$89,3,0)*VLOOKUP('Données projet'!$B$11,Paramètres!$A$1:$I$89,5,0)</f>
        <v>33.19299927272727</v>
      </c>
      <c r="BF11" s="13">
        <f t="shared" si="37"/>
        <v>10.175335768620887</v>
      </c>
      <c r="BG11" s="20">
        <f t="shared" si="7"/>
        <v>75.53318353034804</v>
      </c>
      <c r="BH11" s="59">
        <f t="shared" si="8"/>
        <v>341.97762797479248</v>
      </c>
      <c r="BI11" s="59">
        <f ca="1">AVERAGE(OFFSET($BH$3,0,0,'Données projet'!$E$11+1,1))-AVERAGE(OFFSET($H$3,0,0,'Données projet'!$E$11+1,1))</f>
        <v>490.06222615476065</v>
      </c>
      <c r="BJ11" s="59">
        <f t="shared" si="38"/>
        <v>310.43914804089906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4.333333333333333</v>
      </c>
      <c r="BY11" s="12">
        <f>IF('Données projet'!$A$114&gt;35,BY10+BX11-CG10,IF(A11&lt;'Données projet'!$A$114,$BV$205^A11,IF(A11='Données projet'!$A$114,'Données projet'!$B$114,BY10+BX11-CG10)))</f>
        <v>9.2658896452214261</v>
      </c>
      <c r="BZ11" s="13">
        <f>BY11*VLOOKUP('Données projet'!$B$12,Paramètres!$A$1:$I$89,3,0)*VLOOKUP('Données projet'!$B$12,Paramètres!$A$1:$I$89,5,0)</f>
        <v>7.3719418017381662</v>
      </c>
      <c r="CA11" s="13">
        <f t="shared" si="39"/>
        <v>2.6924486542908248</v>
      </c>
      <c r="CB11" s="20">
        <f t="shared" si="10"/>
        <v>17.528813377583827</v>
      </c>
      <c r="CC11" s="59">
        <f t="shared" si="11"/>
        <v>283.9732578220283</v>
      </c>
      <c r="CD11" s="59">
        <f ca="1">AVERAGE(OFFSET($CC$3,0,0,'Données projet'!$E$12+1,1))-AVERAGE(OFFSET($H$3,0,0,'Données projet'!$E$12+1,1))</f>
        <v>353.37479213497227</v>
      </c>
      <c r="CE11" s="59">
        <f t="shared" si="40"/>
        <v>345.4750813433123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7.2494000000000005</v>
      </c>
      <c r="CT11" s="12">
        <f>IF('Données projet'!$A$140&gt;35,CT10+CS11-DB10,IF(A11&lt;'Données projet'!$A$140,$CQ$205^A11,IF(A11='Données projet'!$A$140,'Données projet'!$B$140,CT10+CS11-DB10)))</f>
        <v>57.995200000000004</v>
      </c>
      <c r="CU11" s="17">
        <f>CT11*VLOOKUP('Données projet'!$B$13,Paramètres!$A$1:$I$89,3,0)*VLOOKUP('Données projet'!$B$13,Paramètres!$A$1:$I$89,5,0)</f>
        <v>27.895691200000002</v>
      </c>
      <c r="CV11" s="13">
        <f t="shared" si="41"/>
        <v>8.726270477303057</v>
      </c>
      <c r="CW11" s="20">
        <f t="shared" si="13"/>
        <v>63.783249921302826</v>
      </c>
      <c r="CX11" s="59">
        <f t="shared" si="14"/>
        <v>330.22769436574731</v>
      </c>
      <c r="CY11" s="59">
        <f ca="1">AVERAGE(OFFSET($CX$3,0,0,'Données projet'!$E$13+1,1))-AVERAGE(OFFSET($H$3,0,0,'Données projet'!$E$13+1,1))</f>
        <v>314.18760071409162</v>
      </c>
      <c r="CZ11" s="59">
        <f t="shared" si="42"/>
        <v>267.72650645201787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5.9935878898502795</v>
      </c>
      <c r="DQ11" s="13">
        <f t="shared" si="43"/>
        <v>2.2424160357272664</v>
      </c>
      <c r="DR11" s="20">
        <f t="shared" si="16"/>
        <v>14.344373503714223</v>
      </c>
      <c r="DS11" s="59">
        <f t="shared" si="17"/>
        <v>280.78881794815868</v>
      </c>
      <c r="DT11" s="59">
        <f ca="1">AVERAGE(OFFSET($DS$3,0,0,'Données projet'!$E$14+1,1))-AVERAGE(OFFSET($H$3,0,0,'Données projet'!$E$14+1,1))</f>
        <v>324.86930206492627</v>
      </c>
      <c r="DU11" s="59">
        <f t="shared" si="44"/>
        <v>317.03005098025352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7.2723529411764707</v>
      </c>
      <c r="N12" s="13">
        <f>IF('Données projet'!$A$36&gt;35,N11+M12-V11,IF(A12&lt;'Données projet'!$A$36,$K$205^A12,IF(A12='Données projet'!$A$36,'Données projet'!$B$36,N11+M12-V11)))</f>
        <v>12.811352758986937</v>
      </c>
      <c r="O12" s="13">
        <f>N12*VLOOKUP('Données projet'!$B$9,Paramètres!$A$1:$I$89,3,0)*VLOOKUP('Données projet'!$B$9,Paramètres!$A$1:$I$89,5,0)</f>
        <v>7.6611889498741892</v>
      </c>
      <c r="P12" s="13">
        <f t="shared" si="33"/>
        <v>2.7855833880858762</v>
      </c>
      <c r="Q12" s="20">
        <f t="shared" si="2"/>
        <v>18.194795155280449</v>
      </c>
      <c r="R12" s="59">
        <f t="shared" si="0"/>
        <v>285.86146182194716</v>
      </c>
      <c r="S12" s="59">
        <f ca="1">AVERAGE(OFFSET($R$3,0,0,'Données projet'!$E$9+1,1))-AVERAGE(OFFSET($H$3,0,0,'Données projet'!$E$9+1,1))</f>
        <v>302.00825291248458</v>
      </c>
      <c r="T12" s="59">
        <f t="shared" si="34"/>
        <v>307.35115839449355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</v>
      </c>
      <c r="AI12" s="13">
        <f>IF('Données projet'!$A$62&gt;35,AI11+AH12-AQ11,IF(A12&lt;'Données projet'!$A$62,$AF$205^A12,IF(A12='Données projet'!$A$62,'Données projet'!$B$62,AI11+AH12-AQ11)))</f>
        <v>9.0614387509291365</v>
      </c>
      <c r="AJ12" s="13">
        <f>AI12*VLOOKUP('Données projet'!$B$10,Paramètres!$A$1:$I$89,3,0)*VLOOKUP('Données projet'!$B$10,Paramètres!$A$1:$I$89,5,0)</f>
        <v>4.0051559279106792</v>
      </c>
      <c r="AK12" s="13">
        <f t="shared" si="35"/>
        <v>1.5704589611020769</v>
      </c>
      <c r="AL12" s="20">
        <f t="shared" si="4"/>
        <v>9.7108625983638834</v>
      </c>
      <c r="AM12" s="59">
        <f t="shared" si="5"/>
        <v>277.37752926503055</v>
      </c>
      <c r="AN12" s="59">
        <f ca="1">AVERAGE(OFFSET($AM$3,0,0,'Données projet'!$E$10+1,1))-AVERAGE(OFFSET($H$3,0,0,'Données projet'!$E$10+1,1))</f>
        <v>394.37446333077651</v>
      </c>
      <c r="AO12" s="59">
        <f t="shared" si="36"/>
        <v>335.44327961212963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4.5856818181818184</v>
      </c>
      <c r="BD12" s="12">
        <f>IF('Données projet'!$A$88&gt;35,BD11+BC12-BL11,IF(A12&lt;'Données projet'!$A$88,$BA$205^A12,IF(A12='Données projet'!$A$88,'Données projet'!$B$88,BD11+BC12-BL11)))</f>
        <v>41.271136363636366</v>
      </c>
      <c r="BE12" s="13">
        <f>BD12*VLOOKUP('Données projet'!$B$11,Paramètres!$A$1:$I$89,3,0)*VLOOKUP('Données projet'!$B$11,Paramètres!$A$1:$I$89,5,0)</f>
        <v>37.342124181818185</v>
      </c>
      <c r="BF12" s="13">
        <f t="shared" si="37"/>
        <v>11.291382458219708</v>
      </c>
      <c r="BG12" s="20">
        <f t="shared" si="7"/>
        <v>84.70335739806599</v>
      </c>
      <c r="BH12" s="59">
        <f t="shared" si="8"/>
        <v>352.37002406473266</v>
      </c>
      <c r="BI12" s="59">
        <f ca="1">AVERAGE(OFFSET($BH$3,0,0,'Données projet'!$E$11+1,1))-AVERAGE(OFFSET($H$3,0,0,'Données projet'!$E$11+1,1))</f>
        <v>490.06222615476065</v>
      </c>
      <c r="BJ12" s="59">
        <f t="shared" si="38"/>
        <v>310.43914804089906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4.333333333333333</v>
      </c>
      <c r="BY12" s="12">
        <f>IF('Données projet'!$A$114&gt;35,BY11+BX12-CG11,IF(A12&lt;'Données projet'!$A$114,$BV$205^A12,IF(A12='Données projet'!$A$114,'Données projet'!$B$114,BY11+BX12-CG11)))</f>
        <v>12.23905859480781</v>
      </c>
      <c r="BZ12" s="13">
        <f>BY12*VLOOKUP('Données projet'!$B$12,Paramètres!$A$1:$I$89,3,0)*VLOOKUP('Données projet'!$B$12,Paramètres!$A$1:$I$89,5,0)</f>
        <v>9.737395018029094</v>
      </c>
      <c r="CA12" s="13">
        <f t="shared" si="39"/>
        <v>3.4430244972188757</v>
      </c>
      <c r="CB12" s="20">
        <f t="shared" si="10"/>
        <v>22.955897322390214</v>
      </c>
      <c r="CC12" s="59">
        <f t="shared" si="11"/>
        <v>290.62256398905691</v>
      </c>
      <c r="CD12" s="59">
        <f ca="1">AVERAGE(OFFSET($CC$3,0,0,'Données projet'!$E$12+1,1))-AVERAGE(OFFSET($H$3,0,0,'Données projet'!$E$12+1,1))</f>
        <v>353.37479213497227</v>
      </c>
      <c r="CE12" s="59">
        <f t="shared" si="40"/>
        <v>345.4750813433123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7.2494000000000005</v>
      </c>
      <c r="CT12" s="12">
        <f>IF('Données projet'!$A$140&gt;35,CT11+CS12-DB11,IF(A12&lt;'Données projet'!$A$140,$CQ$205^A12,IF(A12='Données projet'!$A$140,'Données projet'!$B$140,CT11+CS12-DB11)))</f>
        <v>65.244600000000005</v>
      </c>
      <c r="CU12" s="17">
        <f>CT12*VLOOKUP('Données projet'!$B$13,Paramètres!$A$1:$I$89,3,0)*VLOOKUP('Données projet'!$B$13,Paramètres!$A$1:$I$89,5,0)</f>
        <v>31.382652600000004</v>
      </c>
      <c r="CV12" s="13">
        <f t="shared" si="41"/>
        <v>9.6833814267786842</v>
      </c>
      <c r="CW12" s="20">
        <f t="shared" si="13"/>
        <v>71.523342596639537</v>
      </c>
      <c r="CX12" s="59">
        <f t="shared" si="14"/>
        <v>339.19000926330625</v>
      </c>
      <c r="CY12" s="59">
        <f ca="1">AVERAGE(OFFSET($CX$3,0,0,'Données projet'!$E$13+1,1))-AVERAGE(OFFSET($H$3,0,0,'Données projet'!$E$13+1,1))</f>
        <v>314.18760071409162</v>
      </c>
      <c r="CZ12" s="59">
        <f t="shared" si="42"/>
        <v>267.72650645201787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7.6248913529234681</v>
      </c>
      <c r="DQ12" s="13">
        <f t="shared" si="43"/>
        <v>2.7739186895259813</v>
      </c>
      <c r="DR12" s="20">
        <f t="shared" si="16"/>
        <v>18.111260823932788</v>
      </c>
      <c r="DS12" s="59">
        <f t="shared" si="17"/>
        <v>285.7779274905995</v>
      </c>
      <c r="DT12" s="59">
        <f ca="1">AVERAGE(OFFSET($DS$3,0,0,'Données projet'!$E$14+1,1))-AVERAGE(OFFSET($H$3,0,0,'Données projet'!$E$14+1,1))</f>
        <v>324.86930206492627</v>
      </c>
      <c r="DU12" s="59">
        <f t="shared" si="44"/>
        <v>317.03005098025352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7.2723529411764707</v>
      </c>
      <c r="N13" s="13">
        <f>IF('Données projet'!$A$36&gt;35,N12+M13-V12,IF(A13&lt;'Données projet'!$A$36,$K$205^A13,IF(A13='Données projet'!$A$36,'Données projet'!$B$36,N12+M13-V12)))</f>
        <v>17.008307520421493</v>
      </c>
      <c r="O13" s="13">
        <f>N13*VLOOKUP('Données projet'!$B$9,Paramètres!$A$1:$I$89,3,0)*VLOOKUP('Données projet'!$B$9,Paramètres!$A$1:$I$89,5,0)</f>
        <v>10.170967897212053</v>
      </c>
      <c r="P13" s="13">
        <f t="shared" si="33"/>
        <v>3.5781404089295137</v>
      </c>
      <c r="Q13" s="20">
        <f t="shared" si="2"/>
        <v>23.946363633196558</v>
      </c>
      <c r="R13" s="59">
        <f t="shared" si="0"/>
        <v>292.8352525220854</v>
      </c>
      <c r="S13" s="59">
        <f ca="1">AVERAGE(OFFSET($R$3,0,0,'Données projet'!$E$9+1,1))-AVERAGE(OFFSET($H$3,0,0,'Données projet'!$E$9+1,1))</f>
        <v>302.00825291248458</v>
      </c>
      <c r="T13" s="59">
        <f t="shared" si="34"/>
        <v>307.35115839449355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</v>
      </c>
      <c r="AI13" s="13">
        <f>IF('Données projet'!$A$62&gt;35,AI12+AH13-AQ12,IF(A13&lt;'Données projet'!$A$62,$AF$205^A13,IF(A13='Données projet'!$A$62,'Données projet'!$B$62,AI12+AH13-AQ12)))</f>
        <v>11.575836902790231</v>
      </c>
      <c r="AJ13" s="13">
        <f>AI13*VLOOKUP('Données projet'!$B$10,Paramètres!$A$1:$I$89,3,0)*VLOOKUP('Données projet'!$B$10,Paramètres!$A$1:$I$89,5,0)</f>
        <v>5.1165199110332829</v>
      </c>
      <c r="AK13" s="13">
        <f t="shared" si="35"/>
        <v>1.9498539472287628</v>
      </c>
      <c r="AL13" s="20">
        <f t="shared" si="4"/>
        <v>12.30726780313973</v>
      </c>
      <c r="AM13" s="59">
        <f t="shared" si="5"/>
        <v>281.19615669202858</v>
      </c>
      <c r="AN13" s="59">
        <f ca="1">AVERAGE(OFFSET($AM$3,0,0,'Données projet'!$E$10+1,1))-AVERAGE(OFFSET($H$3,0,0,'Données projet'!$E$10+1,1))</f>
        <v>394.37446333077651</v>
      </c>
      <c r="AO13" s="59">
        <f t="shared" si="36"/>
        <v>335.44327961212963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4.5856818181818184</v>
      </c>
      <c r="BD13" s="12">
        <f>IF('Données projet'!$A$88&gt;35,BD12+BC13-BL12,IF(A13&lt;'Données projet'!$A$88,$BA$205^A13,IF(A13='Données projet'!$A$88,'Données projet'!$B$88,BD12+BC13-BL12)))</f>
        <v>45.856818181818184</v>
      </c>
      <c r="BE13" s="13">
        <f>BD13*VLOOKUP('Données projet'!$B$11,Paramètres!$A$1:$I$89,3,0)*VLOOKUP('Données projet'!$B$11,Paramètres!$A$1:$I$89,5,0)</f>
        <v>41.491249090909093</v>
      </c>
      <c r="BF13" s="13">
        <f t="shared" si="37"/>
        <v>12.393056698299885</v>
      </c>
      <c r="BG13" s="20">
        <f t="shared" si="7"/>
        <v>93.848499249538975</v>
      </c>
      <c r="BH13" s="59">
        <f t="shared" si="8"/>
        <v>362.73738813842783</v>
      </c>
      <c r="BI13" s="59">
        <f ca="1">AVERAGE(OFFSET($BH$3,0,0,'Données projet'!$E$11+1,1))-AVERAGE(OFFSET($H$3,0,0,'Données projet'!$E$11+1,1))</f>
        <v>490.06222615476065</v>
      </c>
      <c r="BJ13" s="59">
        <f t="shared" si="38"/>
        <v>310.43914804089906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4.333333333333333</v>
      </c>
      <c r="BY13" s="12">
        <f>IF('Données projet'!$A$114&gt;35,BY12+BX13-CG12,IF(A13&lt;'Données projet'!$A$114,$BV$205^A13,IF(A13='Données projet'!$A$114,'Données projet'!$B$114,BY12+BX13-CG12)))</f>
        <v>16.166235625781542</v>
      </c>
      <c r="BZ13" s="13">
        <f>BY13*VLOOKUP('Données projet'!$B$12,Paramètres!$A$1:$I$89,3,0)*VLOOKUP('Données projet'!$B$12,Paramètres!$A$1:$I$89,5,0)</f>
        <v>12.861857063871796</v>
      </c>
      <c r="CA13" s="13">
        <f t="shared" si="39"/>
        <v>4.4028389063455258</v>
      </c>
      <c r="CB13" s="20">
        <f t="shared" si="10"/>
        <v>30.069345481461834</v>
      </c>
      <c r="CC13" s="59">
        <f t="shared" si="11"/>
        <v>298.95823437035068</v>
      </c>
      <c r="CD13" s="59">
        <f ca="1">AVERAGE(OFFSET($CC$3,0,0,'Données projet'!$E$12+1,1))-AVERAGE(OFFSET($H$3,0,0,'Données projet'!$E$12+1,1))</f>
        <v>353.37479213497227</v>
      </c>
      <c r="CE13" s="59">
        <f t="shared" si="40"/>
        <v>345.4750813433123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7.2494000000000005</v>
      </c>
      <c r="CT13" s="12">
        <f>IF('Données projet'!$A$140&gt;35,CT12+CS13-DB12,IF(A13&lt;'Données projet'!$A$140,$CQ$205^A13,IF(A13='Données projet'!$A$140,'Données projet'!$B$140,CT12+CS13-DB12)))</f>
        <v>72.494</v>
      </c>
      <c r="CU13" s="17">
        <f>CT13*VLOOKUP('Données projet'!$B$13,Paramètres!$A$1:$I$89,3,0)*VLOOKUP('Données projet'!$B$13,Paramètres!$A$1:$I$89,5,0)</f>
        <v>34.869613999999999</v>
      </c>
      <c r="CV13" s="13">
        <f t="shared" si="41"/>
        <v>10.628166701232569</v>
      </c>
      <c r="CW13" s="20">
        <f t="shared" si="13"/>
        <v>79.241968054646719</v>
      </c>
      <c r="CX13" s="59">
        <f t="shared" si="14"/>
        <v>348.1308569435356</v>
      </c>
      <c r="CY13" s="59">
        <f ca="1">AVERAGE(OFFSET($CX$3,0,0,'Données projet'!$E$13+1,1))-AVERAGE(OFFSET($H$3,0,0,'Données projet'!$E$13+1,1))</f>
        <v>314.18760071409162</v>
      </c>
      <c r="CZ13" s="59">
        <f t="shared" si="42"/>
        <v>267.72650645201787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9.7001944765574137</v>
      </c>
      <c r="DQ13" s="13">
        <f t="shared" si="43"/>
        <v>3.4313993360317685</v>
      </c>
      <c r="DR13" s="20">
        <f t="shared" si="16"/>
        <v>22.870859223592827</v>
      </c>
      <c r="DS13" s="59">
        <f t="shared" si="17"/>
        <v>291.7597481124817</v>
      </c>
      <c r="DT13" s="59">
        <f ca="1">AVERAGE(OFFSET($DS$3,0,0,'Données projet'!$E$14+1,1))-AVERAGE(OFFSET($H$3,0,0,'Données projet'!$E$14+1,1))</f>
        <v>324.86930206492627</v>
      </c>
      <c r="DU13" s="59">
        <f t="shared" si="44"/>
        <v>317.03005098025352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7.2723529411764707</v>
      </c>
      <c r="N14" s="13">
        <f>IF('Données projet'!$A$36&gt;35,N13+M14-V13,IF(A14&lt;'Données projet'!$A$36,$K$205^A14,IF(A14='Données projet'!$A$36,'Données projet'!$B$36,N13+M14-V13)))</f>
        <v>22.580170115626522</v>
      </c>
      <c r="O14" s="13">
        <f>N14*VLOOKUP('Données projet'!$B$9,Paramètres!$A$1:$I$89,3,0)*VLOOKUP('Données projet'!$B$9,Paramètres!$A$1:$I$89,5,0)</f>
        <v>13.502941729144661</v>
      </c>
      <c r="P14" s="13">
        <f t="shared" si="33"/>
        <v>4.5961965600361916</v>
      </c>
      <c r="Q14" s="20">
        <f t="shared" si="2"/>
        <v>31.522665853656651</v>
      </c>
      <c r="R14" s="59">
        <f t="shared" si="0"/>
        <v>301.63377696476778</v>
      </c>
      <c r="S14" s="59">
        <f ca="1">AVERAGE(OFFSET($R$3,0,0,'Données projet'!$E$9+1,1))-AVERAGE(OFFSET($H$3,0,0,'Données projet'!$E$9+1,1))</f>
        <v>302.00825291248458</v>
      </c>
      <c r="T14" s="59">
        <f t="shared" si="34"/>
        <v>307.35115839449355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</v>
      </c>
      <c r="AI14" s="13">
        <f>IF('Données projet'!$A$62&gt;35,AI13+AH14-AQ13,IF(A14&lt;'Données projet'!$A$62,$AF$205^A14,IF(A14='Données projet'!$A$62,'Données projet'!$B$62,AI13+AH14-AQ13)))</f>
        <v>14.787938613640149</v>
      </c>
      <c r="AJ14" s="13">
        <f>AI14*VLOOKUP('Données projet'!$B$10,Paramètres!$A$1:$I$89,3,0)*VLOOKUP('Données projet'!$B$10,Paramètres!$A$1:$I$89,5,0)</f>
        <v>6.5362688672289471</v>
      </c>
      <c r="AK14" s="13">
        <f t="shared" si="35"/>
        <v>2.4209040221309337</v>
      </c>
      <c r="AL14" s="20">
        <f t="shared" si="4"/>
        <v>15.600409448968461</v>
      </c>
      <c r="AM14" s="59">
        <f t="shared" si="5"/>
        <v>285.71152056007958</v>
      </c>
      <c r="AN14" s="59">
        <f ca="1">AVERAGE(OFFSET($AM$3,0,0,'Données projet'!$E$10+1,1))-AVERAGE(OFFSET($H$3,0,0,'Données projet'!$E$10+1,1))</f>
        <v>394.37446333077651</v>
      </c>
      <c r="AO14" s="59">
        <f t="shared" si="36"/>
        <v>335.44327961212963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4.5856818181818184</v>
      </c>
      <c r="BD14" s="12">
        <f>IF('Données projet'!$A$88&gt;35,BD13+BC14-BL13,IF(A14&lt;'Données projet'!$A$88,$BA$205^A14,IF(A14='Données projet'!$A$88,'Données projet'!$B$88,BD13+BC14-BL13)))</f>
        <v>50.442500000000003</v>
      </c>
      <c r="BE14" s="13">
        <f>BD14*VLOOKUP('Données projet'!$B$11,Paramètres!$A$1:$I$89,3,0)*VLOOKUP('Données projet'!$B$11,Paramètres!$A$1:$I$89,5,0)</f>
        <v>45.640374000000001</v>
      </c>
      <c r="BF14" s="13">
        <f t="shared" si="37"/>
        <v>13.481959345661139</v>
      </c>
      <c r="BG14" s="20">
        <f t="shared" si="7"/>
        <v>102.97139724369315</v>
      </c>
      <c r="BH14" s="59">
        <f t="shared" si="8"/>
        <v>373.0825083548043</v>
      </c>
      <c r="BI14" s="59">
        <f ca="1">AVERAGE(OFFSET($BH$3,0,0,'Données projet'!$E$11+1,1))-AVERAGE(OFFSET($H$3,0,0,'Données projet'!$E$11+1,1))</f>
        <v>490.06222615476065</v>
      </c>
      <c r="BJ14" s="59">
        <f t="shared" si="38"/>
        <v>310.43914804089906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4.333333333333333</v>
      </c>
      <c r="BY14" s="12">
        <f>IF('Données projet'!$A$114&gt;35,BY13+BX14-CG13,IF(A14&lt;'Données projet'!$A$114,$BV$205^A14,IF(A14='Données projet'!$A$114,'Données projet'!$B$114,BY13+BX14-CG13)))</f>
        <v>21.353535673010011</v>
      </c>
      <c r="BZ14" s="13">
        <f>BY14*VLOOKUP('Données projet'!$B$12,Paramètres!$A$1:$I$89,3,0)*VLOOKUP('Données projet'!$B$12,Paramètres!$A$1:$I$89,5,0)</f>
        <v>16.988872981446764</v>
      </c>
      <c r="CA14" s="13">
        <f t="shared" si="39"/>
        <v>5.6302214668783828</v>
      </c>
      <c r="CB14" s="20">
        <f t="shared" si="10"/>
        <v>39.394922830832961</v>
      </c>
      <c r="CC14" s="59">
        <f t="shared" si="11"/>
        <v>309.50603394194411</v>
      </c>
      <c r="CD14" s="59">
        <f ca="1">AVERAGE(OFFSET($CC$3,0,0,'Données projet'!$E$12+1,1))-AVERAGE(OFFSET($H$3,0,0,'Données projet'!$E$12+1,1))</f>
        <v>353.37479213497227</v>
      </c>
      <c r="CE14" s="59">
        <f t="shared" si="40"/>
        <v>345.4750813433123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7.2494000000000005</v>
      </c>
      <c r="CT14" s="12">
        <f>IF('Données projet'!$A$140&gt;35,CT13+CS14-DB13,IF(A14&lt;'Données projet'!$A$140,$CQ$205^A14,IF(A14='Données projet'!$A$140,'Données projet'!$B$140,CT13+CS14-DB13)))</f>
        <v>79.743399999999994</v>
      </c>
      <c r="CU14" s="17">
        <f>CT14*VLOOKUP('Données projet'!$B$13,Paramètres!$A$1:$I$89,3,0)*VLOOKUP('Données projet'!$B$13,Paramètres!$A$1:$I$89,5,0)</f>
        <v>38.356575399999997</v>
      </c>
      <c r="CV14" s="13">
        <f t="shared" si="41"/>
        <v>11.561999180120244</v>
      </c>
      <c r="CW14" s="20">
        <f t="shared" si="13"/>
        <v>86.941517393709418</v>
      </c>
      <c r="CX14" s="59">
        <f t="shared" si="14"/>
        <v>357.05262850482058</v>
      </c>
      <c r="CY14" s="59">
        <f ca="1">AVERAGE(OFFSET($CX$3,0,0,'Données projet'!$E$13+1,1))-AVERAGE(OFFSET($H$3,0,0,'Données projet'!$E$13+1,1))</f>
        <v>314.18760071409162</v>
      </c>
      <c r="CZ14" s="59">
        <f t="shared" si="42"/>
        <v>267.72650645201787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12.340342770518083</v>
      </c>
      <c r="DQ14" s="13">
        <f t="shared" si="43"/>
        <v>4.2447175714913801</v>
      </c>
      <c r="DR14" s="20">
        <f t="shared" si="16"/>
        <v>28.885646762333149</v>
      </c>
      <c r="DS14" s="59">
        <f t="shared" si="17"/>
        <v>298.99675787344427</v>
      </c>
      <c r="DT14" s="59">
        <f ca="1">AVERAGE(OFFSET($DS$3,0,0,'Données projet'!$E$14+1,1))-AVERAGE(OFFSET($H$3,0,0,'Données projet'!$E$14+1,1))</f>
        <v>324.86930206492627</v>
      </c>
      <c r="DU14" s="59">
        <f t="shared" si="44"/>
        <v>317.03005098025352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7.2723529411764707</v>
      </c>
      <c r="N15" s="13">
        <f>IF('Données projet'!$A$36&gt;35,N14+M15-V14,IF(A15&lt;'Données projet'!$A$36,$K$205^A15,IF(A15='Données projet'!$A$36,'Données projet'!$B$36,N14+M15-V14)))</f>
        <v>29.977355585701336</v>
      </c>
      <c r="O15" s="13">
        <f>N15*VLOOKUP('Données projet'!$B$9,Paramètres!$A$1:$I$89,3,0)*VLOOKUP('Données projet'!$B$9,Paramètres!$A$1:$I$89,5,0)</f>
        <v>17.9264586402494</v>
      </c>
      <c r="P15" s="13">
        <f t="shared" si="33"/>
        <v>5.9039110834693549</v>
      </c>
      <c r="Q15" s="20">
        <f t="shared" si="2"/>
        <v>41.504560602143492</v>
      </c>
      <c r="R15" s="59">
        <f t="shared" si="0"/>
        <v>312.83789393547681</v>
      </c>
      <c r="S15" s="59">
        <f ca="1">AVERAGE(OFFSET($R$3,0,0,'Données projet'!$E$9+1,1))-AVERAGE(OFFSET($H$3,0,0,'Données projet'!$E$9+1,1))</f>
        <v>302.00825291248458</v>
      </c>
      <c r="T15" s="59">
        <f t="shared" si="34"/>
        <v>307.35115839449355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</v>
      </c>
      <c r="AI15" s="13">
        <f>IF('Données projet'!$A$62&gt;35,AI14+AH15-AQ14,IF(A15&lt;'Données projet'!$A$62,$AF$205^A15,IF(A15='Données projet'!$A$62,'Données projet'!$B$62,AI14+AH15-AQ14)))</f>
        <v>18.891344986735092</v>
      </c>
      <c r="AJ15" s="13">
        <f>AI15*VLOOKUP('Données projet'!$B$10,Paramètres!$A$1:$I$89,3,0)*VLOOKUP('Données projet'!$B$10,Paramètres!$A$1:$I$89,5,0)</f>
        <v>8.3499744841369115</v>
      </c>
      <c r="AK15" s="13">
        <f t="shared" si="35"/>
        <v>3.0057514270232302</v>
      </c>
      <c r="AL15" s="20">
        <f t="shared" si="4"/>
        <v>19.77788929527058</v>
      </c>
      <c r="AM15" s="59">
        <f t="shared" si="5"/>
        <v>291.11122262860391</v>
      </c>
      <c r="AN15" s="59">
        <f ca="1">AVERAGE(OFFSET($AM$3,0,0,'Données projet'!$E$10+1,1))-AVERAGE(OFFSET($H$3,0,0,'Données projet'!$E$10+1,1))</f>
        <v>394.37446333077651</v>
      </c>
      <c r="AO15" s="59">
        <f t="shared" si="36"/>
        <v>335.44327961212963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4.5856818181818184</v>
      </c>
      <c r="BD15" s="12">
        <f>IF('Données projet'!$A$88&gt;35,BD14+BC15-BL14,IF(A15&lt;'Données projet'!$A$88,$BA$205^A15,IF(A15='Données projet'!$A$88,'Données projet'!$B$88,BD14+BC15-BL14)))</f>
        <v>55.028181818181821</v>
      </c>
      <c r="BE15" s="13">
        <f>BD15*VLOOKUP('Données projet'!$B$11,Paramètres!$A$1:$I$89,3,0)*VLOOKUP('Données projet'!$B$11,Paramètres!$A$1:$I$89,5,0)</f>
        <v>49.789498909090909</v>
      </c>
      <c r="BF15" s="13">
        <f t="shared" si="37"/>
        <v>14.559383497706923</v>
      </c>
      <c r="BG15" s="20">
        <f t="shared" si="7"/>
        <v>112.07430352517288</v>
      </c>
      <c r="BH15" s="59">
        <f t="shared" si="8"/>
        <v>383.40763685850618</v>
      </c>
      <c r="BI15" s="59">
        <f ca="1">AVERAGE(OFFSET($BH$3,0,0,'Données projet'!$E$11+1,1))-AVERAGE(OFFSET($H$3,0,0,'Données projet'!$E$11+1,1))</f>
        <v>490.06222615476065</v>
      </c>
      <c r="BJ15" s="59">
        <f t="shared" si="38"/>
        <v>310.43914804089906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4.333333333333333</v>
      </c>
      <c r="BY15" s="12">
        <f>IF('Données projet'!$A$114&gt;35,BY14+BX15-CG14,IF(A15&lt;'Données projet'!$A$114,$BV$205^A15,IF(A15='Données projet'!$A$114,'Données projet'!$B$114,BY14+BX15-CG14)))</f>
        <v>28.205297528345746</v>
      </c>
      <c r="BZ15" s="13">
        <f>BY15*VLOOKUP('Données projet'!$B$12,Paramètres!$A$1:$I$89,3,0)*VLOOKUP('Données projet'!$B$12,Paramètres!$A$1:$I$89,5,0)</f>
        <v>22.440134713551878</v>
      </c>
      <c r="CA15" s="13">
        <f t="shared" si="39"/>
        <v>7.1997623443392129</v>
      </c>
      <c r="CB15" s="20">
        <f t="shared" si="10"/>
        <v>51.622820709160315</v>
      </c>
      <c r="CC15" s="59">
        <f t="shared" si="11"/>
        <v>322.95615404249361</v>
      </c>
      <c r="CD15" s="59">
        <f ca="1">AVERAGE(OFFSET($CC$3,0,0,'Données projet'!$E$12+1,1))-AVERAGE(OFFSET($H$3,0,0,'Données projet'!$E$12+1,1))</f>
        <v>353.37479213497227</v>
      </c>
      <c r="CE15" s="59">
        <f t="shared" si="40"/>
        <v>345.4750813433123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7.2494000000000005</v>
      </c>
      <c r="CT15" s="12">
        <f>IF('Données projet'!$A$140&gt;35,CT14+CS15-DB14,IF(A15&lt;'Données projet'!$A$140,$CQ$205^A15,IF(A15='Données projet'!$A$140,'Données projet'!$B$140,CT14+CS15-DB14)))</f>
        <v>86.992799999999988</v>
      </c>
      <c r="CU15" s="17">
        <f>CT15*VLOOKUP('Données projet'!$B$13,Paramètres!$A$1:$I$89,3,0)*VLOOKUP('Données projet'!$B$13,Paramètres!$A$1:$I$89,5,0)</f>
        <v>41.843536799999995</v>
      </c>
      <c r="CV15" s="13">
        <f t="shared" si="41"/>
        <v>12.485987811387263</v>
      </c>
      <c r="CW15" s="20">
        <f t="shared" si="13"/>
        <v>94.623922031499475</v>
      </c>
      <c r="CX15" s="59">
        <f t="shared" si="14"/>
        <v>365.9572553648328</v>
      </c>
      <c r="CY15" s="59">
        <f ca="1">AVERAGE(OFFSET($CX$3,0,0,'Données projet'!$E$13+1,1))-AVERAGE(OFFSET($H$3,0,0,'Données projet'!$E$13+1,1))</f>
        <v>314.18760071409162</v>
      </c>
      <c r="CZ15" s="59">
        <f t="shared" si="42"/>
        <v>267.72650645201787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15.699072844560465</v>
      </c>
      <c r="DQ15" s="13">
        <f t="shared" si="43"/>
        <v>5.250810382962916</v>
      </c>
      <c r="DR15" s="20">
        <f t="shared" si="16"/>
        <v>36.48771328793655</v>
      </c>
      <c r="DS15" s="59">
        <f t="shared" si="17"/>
        <v>307.82104662126989</v>
      </c>
      <c r="DT15" s="59">
        <f ca="1">AVERAGE(OFFSET($DS$3,0,0,'Données projet'!$E$14+1,1))-AVERAGE(OFFSET($H$3,0,0,'Données projet'!$E$14+1,1))</f>
        <v>324.86930206492627</v>
      </c>
      <c r="DU15" s="59">
        <f t="shared" si="44"/>
        <v>317.03005098025352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7.2723529411764707</v>
      </c>
      <c r="N16" s="13">
        <f>IF('Données projet'!$A$36&gt;35,N15+M16-V15,IF(A16&lt;'Données projet'!$A$36,$K$205^A16,IF(A16='Données projet'!$A$36,'Données projet'!$B$36,N15+M16-V15)))</f>
        <v>39.797833378131948</v>
      </c>
      <c r="O16" s="13">
        <f>N16*VLOOKUP('Données projet'!$B$9,Paramètres!$A$1:$I$89,3,0)*VLOOKUP('Données projet'!$B$9,Paramètres!$A$1:$I$89,5,0)</f>
        <v>23.799104360122907</v>
      </c>
      <c r="P16" s="13">
        <f t="shared" si="33"/>
        <v>7.583697874147882</v>
      </c>
      <c r="Q16" s="20">
        <f t="shared" si="2"/>
        <v>54.658380558021626</v>
      </c>
      <c r="R16" s="59">
        <f t="shared" si="0"/>
        <v>327.21393611357718</v>
      </c>
      <c r="S16" s="59">
        <f ca="1">AVERAGE(OFFSET($R$3,0,0,'Données projet'!$E$9+1,1))-AVERAGE(OFFSET($H$3,0,0,'Données projet'!$E$9+1,1))</f>
        <v>302.00825291248458</v>
      </c>
      <c r="T16" s="59">
        <f t="shared" si="34"/>
        <v>307.35115839449355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</v>
      </c>
      <c r="AI16" s="13">
        <f>IF('Données projet'!$A$62&gt;35,AI15+AH16-AQ15,IF(A16&lt;'Données projet'!$A$62,$AF$205^A16,IF(A16='Données projet'!$A$62,'Données projet'!$B$62,AI15+AH16-AQ15)))</f>
        <v>24.133378203143081</v>
      </c>
      <c r="AJ16" s="13">
        <f>AI16*VLOOKUP('Données projet'!$B$10,Paramètres!$A$1:$I$89,3,0)*VLOOKUP('Données projet'!$B$10,Paramètres!$A$1:$I$89,5,0)</f>
        <v>10.666953165789243</v>
      </c>
      <c r="AK16" s="13">
        <f t="shared" si="35"/>
        <v>3.7318875752454574</v>
      </c>
      <c r="AL16" s="20">
        <f t="shared" si="4"/>
        <v>25.077980957302103</v>
      </c>
      <c r="AM16" s="59">
        <f t="shared" si="5"/>
        <v>297.63353651285763</v>
      </c>
      <c r="AN16" s="59">
        <f ca="1">AVERAGE(OFFSET($AM$3,0,0,'Données projet'!$E$10+1,1))-AVERAGE(OFFSET($H$3,0,0,'Données projet'!$E$10+1,1))</f>
        <v>394.37446333077651</v>
      </c>
      <c r="AO16" s="59">
        <f t="shared" si="36"/>
        <v>335.44327961212963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4.5856818181818184</v>
      </c>
      <c r="BD16" s="12">
        <f>IF('Données projet'!$A$88&gt;35,BD15+BC16-BL15,IF(A16&lt;'Données projet'!$A$88,$BA$205^A16,IF(A16='Données projet'!$A$88,'Données projet'!$B$88,BD15+BC16-BL15)))</f>
        <v>59.613863636363639</v>
      </c>
      <c r="BE16" s="13">
        <f>BD16*VLOOKUP('Données projet'!$B$11,Paramètres!$A$1:$I$89,3,0)*VLOOKUP('Données projet'!$B$11,Paramètres!$A$1:$I$89,5,0)</f>
        <v>53.938623818181817</v>
      </c>
      <c r="BF16" s="13">
        <f t="shared" si="37"/>
        <v>15.62639444596179</v>
      </c>
      <c r="BG16" s="20">
        <f t="shared" si="7"/>
        <v>121.15907347671678</v>
      </c>
      <c r="BH16" s="59">
        <f t="shared" si="8"/>
        <v>393.71462903227234</v>
      </c>
      <c r="BI16" s="59">
        <f ca="1">AVERAGE(OFFSET($BH$3,0,0,'Données projet'!$E$11+1,1))-AVERAGE(OFFSET($H$3,0,0,'Données projet'!$E$11+1,1))</f>
        <v>490.06222615476065</v>
      </c>
      <c r="BJ16" s="59">
        <f t="shared" si="38"/>
        <v>310.43914804089906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4.333333333333333</v>
      </c>
      <c r="BY16" s="12">
        <f>IF('Données projet'!$A$114&gt;35,BY15+BX16-CG15,IF(A16&lt;'Données projet'!$A$114,$BV$205^A16,IF(A16='Données projet'!$A$114,'Données projet'!$B$114,BY15+BX16-CG15)))</f>
        <v>37.255601172785397</v>
      </c>
      <c r="BZ16" s="13">
        <f>BY16*VLOOKUP('Données projet'!$B$12,Paramètres!$A$1:$I$89,3,0)*VLOOKUP('Données projet'!$B$12,Paramètres!$A$1:$I$89,5,0)</f>
        <v>29.640556293068066</v>
      </c>
      <c r="CA16" s="13">
        <f t="shared" si="39"/>
        <v>9.2068452582035114</v>
      </c>
      <c r="CB16" s="20">
        <f t="shared" si="10"/>
        <v>67.659224368464649</v>
      </c>
      <c r="CC16" s="59">
        <f t="shared" si="11"/>
        <v>340.21477992402021</v>
      </c>
      <c r="CD16" s="59">
        <f ca="1">AVERAGE(OFFSET($CC$3,0,0,'Données projet'!$E$12+1,1))-AVERAGE(OFFSET($H$3,0,0,'Données projet'!$E$12+1,1))</f>
        <v>353.37479213497227</v>
      </c>
      <c r="CE16" s="59">
        <f t="shared" si="40"/>
        <v>345.4750813433123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7.2494000000000005</v>
      </c>
      <c r="CT16" s="12">
        <f>IF('Données projet'!$A$140&gt;35,CT15+CS16-DB15,IF(A16&lt;'Données projet'!$A$140,$CQ$205^A16,IF(A16='Données projet'!$A$140,'Données projet'!$B$140,CT15+CS16-DB15)))</f>
        <v>94.242199999999983</v>
      </c>
      <c r="CU16" s="17">
        <f>CT16*VLOOKUP('Données projet'!$B$13,Paramètres!$A$1:$I$89,3,0)*VLOOKUP('Données projet'!$B$13,Paramètres!$A$1:$I$89,5,0)</f>
        <v>45.330498199999994</v>
      </c>
      <c r="CV16" s="13">
        <f t="shared" si="41"/>
        <v>13.401046178839788</v>
      </c>
      <c r="CW16" s="20">
        <f t="shared" si="13"/>
        <v>102.29077312647928</v>
      </c>
      <c r="CX16" s="59">
        <f t="shared" si="14"/>
        <v>374.84632868203482</v>
      </c>
      <c r="CY16" s="59">
        <f ca="1">AVERAGE(OFFSET($CX$3,0,0,'Données projet'!$E$13+1,1))-AVERAGE(OFFSET($H$3,0,0,'Données projet'!$E$13+1,1))</f>
        <v>314.18760071409162</v>
      </c>
      <c r="CZ16" s="59">
        <f t="shared" si="42"/>
        <v>267.72650645201787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19.971964536319657</v>
      </c>
      <c r="DQ16" s="13">
        <f t="shared" si="43"/>
        <v>6.4953696479137237</v>
      </c>
      <c r="DR16" s="20">
        <f t="shared" si="16"/>
        <v>46.097273704206465</v>
      </c>
      <c r="DS16" s="59">
        <f t="shared" si="17"/>
        <v>318.65282925976203</v>
      </c>
      <c r="DT16" s="59">
        <f ca="1">AVERAGE(OFFSET($DS$3,0,0,'Données projet'!$E$14+1,1))-AVERAGE(OFFSET($H$3,0,0,'Données projet'!$E$14+1,1))</f>
        <v>324.86930206492627</v>
      </c>
      <c r="DU16" s="59">
        <f t="shared" si="44"/>
        <v>317.03005098025352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7.2723529411764707</v>
      </c>
      <c r="N17" s="13">
        <f>IF('Données projet'!$A$36&gt;35,N16+M17-V16,IF(A17&lt;'Données projet'!$A$36,$K$205^A17,IF(A17='Données projet'!$A$36,'Données projet'!$B$36,N16+M17-V16)))</f>
        <v>52.835465658919915</v>
      </c>
      <c r="O17" s="13">
        <f>N17*VLOOKUP('Données projet'!$B$9,Paramètres!$A$1:$I$89,3,0)*VLOOKUP('Données projet'!$B$9,Paramètres!$A$1:$I$89,5,0)</f>
        <v>31.595608464034111</v>
      </c>
      <c r="P17" s="13">
        <f t="shared" si="33"/>
        <v>9.7414193122567614</v>
      </c>
      <c r="Q17" s="20">
        <f t="shared" si="2"/>
        <v>71.995323377039924</v>
      </c>
      <c r="R17" s="59">
        <f t="shared" si="0"/>
        <v>345.77310115481771</v>
      </c>
      <c r="S17" s="59">
        <f ca="1">AVERAGE(OFFSET($R$3,0,0,'Données projet'!$E$9+1,1))-AVERAGE(OFFSET($H$3,0,0,'Données projet'!$E$9+1,1))</f>
        <v>302.00825291248458</v>
      </c>
      <c r="T17" s="59">
        <f t="shared" si="34"/>
        <v>307.35115839449355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</v>
      </c>
      <c r="AI17" s="13">
        <f>IF('Données projet'!$A$62&gt;35,AI16+AH17-AQ16,IF(A17&lt;'Données projet'!$A$62,$AF$205^A17,IF(A17='Données projet'!$A$62,'Données projet'!$B$62,AI16+AH17-AQ16)))</f>
        <v>30.829988225025726</v>
      </c>
      <c r="AJ17" s="13">
        <f>AI17*VLOOKUP('Données projet'!$B$10,Paramètres!$A$1:$I$89,3,0)*VLOOKUP('Données projet'!$B$10,Paramètres!$A$1:$I$89,5,0)</f>
        <v>13.626854795461373</v>
      </c>
      <c r="AK17" s="13">
        <f t="shared" si="35"/>
        <v>4.6334453172210992</v>
      </c>
      <c r="AL17" s="20">
        <f t="shared" si="4"/>
        <v>31.803356029588638</v>
      </c>
      <c r="AM17" s="59">
        <f t="shared" si="5"/>
        <v>305.58113380736643</v>
      </c>
      <c r="AN17" s="59">
        <f ca="1">AVERAGE(OFFSET($AM$3,0,0,'Données projet'!$E$10+1,1))-AVERAGE(OFFSET($H$3,0,0,'Données projet'!$E$10+1,1))</f>
        <v>394.37446333077651</v>
      </c>
      <c r="AO17" s="59">
        <f t="shared" si="36"/>
        <v>335.44327961212963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4.5856818181818184</v>
      </c>
      <c r="BD17" s="12">
        <f>IF('Données projet'!$A$88&gt;35,BD16+BC17-BL16,IF(A17&lt;'Données projet'!$A$88,$BA$205^A17,IF(A17='Données projet'!$A$88,'Données projet'!$B$88,BD16+BC17-BL16)))</f>
        <v>64.199545454545458</v>
      </c>
      <c r="BE17" s="13">
        <f>BD17*VLOOKUP('Données projet'!$B$11,Paramètres!$A$1:$I$89,3,0)*VLOOKUP('Données projet'!$B$11,Paramètres!$A$1:$I$89,5,0)</f>
        <v>58.087748727272725</v>
      </c>
      <c r="BF17" s="13">
        <f t="shared" si="37"/>
        <v>16.683884280882914</v>
      </c>
      <c r="BG17" s="20">
        <f t="shared" si="7"/>
        <v>130.22726082253777</v>
      </c>
      <c r="BH17" s="59">
        <f t="shared" si="8"/>
        <v>404.00503860031552</v>
      </c>
      <c r="BI17" s="59">
        <f ca="1">AVERAGE(OFFSET($BH$3,0,0,'Données projet'!$E$11+1,1))-AVERAGE(OFFSET($H$3,0,0,'Données projet'!$E$11+1,1))</f>
        <v>490.06222615476065</v>
      </c>
      <c r="BJ17" s="59">
        <f t="shared" si="38"/>
        <v>310.43914804089906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4.333333333333333</v>
      </c>
      <c r="BY17" s="12">
        <f>IF('Données projet'!$A$114&gt;35,BY16+BX17-CG16,IF(A17&lt;'Données projet'!$A$114,$BV$205^A17,IF(A17='Données projet'!$A$114,'Données projet'!$B$114,BY16+BX17-CG16)))</f>
        <v>49.209898153024547</v>
      </c>
      <c r="BZ17" s="13">
        <f>BY17*VLOOKUP('Données projet'!$B$12,Paramètres!$A$1:$I$89,3,0)*VLOOKUP('Données projet'!$B$12,Paramètres!$A$1:$I$89,5,0)</f>
        <v>39.151394970546335</v>
      </c>
      <c r="CA17" s="13">
        <f t="shared" si="39"/>
        <v>11.773444115853561</v>
      </c>
      <c r="CB17" s="20">
        <f t="shared" si="10"/>
        <v>88.69409474214649</v>
      </c>
      <c r="CC17" s="59">
        <f t="shared" si="11"/>
        <v>362.47187251992426</v>
      </c>
      <c r="CD17" s="59">
        <f ca="1">AVERAGE(OFFSET($CC$3,0,0,'Données projet'!$E$12+1,1))-AVERAGE(OFFSET($H$3,0,0,'Données projet'!$E$12+1,1))</f>
        <v>353.37479213497227</v>
      </c>
      <c r="CE17" s="59">
        <f t="shared" si="40"/>
        <v>345.4750813433123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7.2494000000000005</v>
      </c>
      <c r="CT17" s="12">
        <f>IF('Données projet'!$A$140&gt;35,CT16+CS17-DB16,IF(A17&lt;'Données projet'!$A$140,$CQ$205^A17,IF(A17='Données projet'!$A$140,'Données projet'!$B$140,CT16+CS17-DB16)))</f>
        <v>101.49159999999998</v>
      </c>
      <c r="CU17" s="17">
        <f>CT17*VLOOKUP('Données projet'!$B$13,Paramètres!$A$1:$I$89,3,0)*VLOOKUP('Données projet'!$B$13,Paramètres!$A$1:$I$89,5,0)</f>
        <v>48.817459599999985</v>
      </c>
      <c r="CV17" s="13">
        <f t="shared" si="41"/>
        <v>14.307939330707837</v>
      </c>
      <c r="CW17" s="20">
        <f t="shared" si="13"/>
        <v>109.94340313764945</v>
      </c>
      <c r="CX17" s="59">
        <f t="shared" si="14"/>
        <v>383.72118091542723</v>
      </c>
      <c r="CY17" s="59">
        <f ca="1">AVERAGE(OFFSET($CX$3,0,0,'Données projet'!$E$13+1,1))-AVERAGE(OFFSET($H$3,0,0,'Données projet'!$E$13+1,1))</f>
        <v>314.18760071409162</v>
      </c>
      <c r="CZ17" s="59">
        <f t="shared" si="42"/>
        <v>267.72650645201787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25.407829582637852</v>
      </c>
      <c r="DQ17" s="13">
        <f t="shared" si="43"/>
        <v>8.0349172386667025</v>
      </c>
      <c r="DR17" s="20">
        <f t="shared" si="16"/>
        <v>58.246117380438761</v>
      </c>
      <c r="DS17" s="59">
        <f t="shared" si="17"/>
        <v>332.02389515821653</v>
      </c>
      <c r="DT17" s="59">
        <f ca="1">AVERAGE(OFFSET($DS$3,0,0,'Données projet'!$E$14+1,1))-AVERAGE(OFFSET($H$3,0,0,'Données projet'!$E$14+1,1))</f>
        <v>324.86930206492627</v>
      </c>
      <c r="DU17" s="59">
        <f t="shared" si="44"/>
        <v>317.03005098025352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7.2723529411764707</v>
      </c>
      <c r="N18" s="13">
        <f>IF('Données projet'!$A$36&gt;35,N17+M18-V17,IF(A18&lt;'Données projet'!$A$36,$K$205^A18,IF(A18='Données projet'!$A$36,'Données projet'!$B$36,N17+M18-V17)))</f>
        <v>70.144181088230326</v>
      </c>
      <c r="O18" s="13">
        <f>N18*VLOOKUP('Données projet'!$B$9,Paramètres!$A$1:$I$89,3,0)*VLOOKUP('Données projet'!$B$9,Paramètres!$A$1:$I$89,5,0)</f>
        <v>41.946220290761737</v>
      </c>
      <c r="P18" s="13">
        <f t="shared" si="33"/>
        <v>12.51305785014169</v>
      </c>
      <c r="Q18" s="20">
        <f t="shared" si="2"/>
        <v>94.849909428740133</v>
      </c>
      <c r="R18" s="59">
        <f t="shared" si="0"/>
        <v>369.84990942874015</v>
      </c>
      <c r="S18" s="59">
        <f ca="1">AVERAGE(OFFSET($R$3,0,0,'Données projet'!$E$9+1,1))-AVERAGE(OFFSET($H$3,0,0,'Données projet'!$E$9+1,1))</f>
        <v>302.00825291248458</v>
      </c>
      <c r="T18" s="59">
        <f t="shared" si="34"/>
        <v>307.35115839449355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</v>
      </c>
      <c r="AI18" s="13">
        <f>IF('Données projet'!$A$62&gt;35,AI17+AH18-AQ17,IF(A18&lt;'Données projet'!$A$62,$AF$205^A18,IF(A18='Données projet'!$A$62,'Données projet'!$B$62,AI17+AH18-AQ17)))</f>
        <v>39.384795860508056</v>
      </c>
      <c r="AJ18" s="13">
        <f>AI18*VLOOKUP('Données projet'!$B$10,Paramètres!$A$1:$I$89,3,0)*VLOOKUP('Données projet'!$B$10,Paramètres!$A$1:$I$89,5,0)</f>
        <v>17.408079770344564</v>
      </c>
      <c r="AK18" s="13">
        <f t="shared" si="35"/>
        <v>5.7528033936729912</v>
      </c>
      <c r="AL18" s="20">
        <f t="shared" si="4"/>
        <v>40.33853817733057</v>
      </c>
      <c r="AM18" s="59">
        <f t="shared" si="5"/>
        <v>315.33853817733058</v>
      </c>
      <c r="AN18" s="59">
        <f ca="1">AVERAGE(OFFSET($AM$3,0,0,'Données projet'!$E$10+1,1))-AVERAGE(OFFSET($H$3,0,0,'Données projet'!$E$10+1,1))</f>
        <v>394.37446333077651</v>
      </c>
      <c r="AO18" s="59">
        <f t="shared" si="36"/>
        <v>335.44327961212963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4.5856818181818184</v>
      </c>
      <c r="BD18" s="12">
        <f>IF('Données projet'!$A$88&gt;35,BD17+BC18-BL17,IF(A18&lt;'Données projet'!$A$88,$BA$205^A18,IF(A18='Données projet'!$A$88,'Données projet'!$B$88,BD17+BC18-BL17)))</f>
        <v>68.785227272727269</v>
      </c>
      <c r="BE18" s="13">
        <f>BD18*VLOOKUP('Données projet'!$B$11,Paramètres!$A$1:$I$89,3,0)*VLOOKUP('Données projet'!$B$11,Paramètres!$A$1:$I$89,5,0)</f>
        <v>62.236873636363626</v>
      </c>
      <c r="BF18" s="13">
        <f t="shared" si="37"/>
        <v>17.732610429997528</v>
      </c>
      <c r="BG18" s="20">
        <f t="shared" si="7"/>
        <v>139.28018474891235</v>
      </c>
      <c r="BH18" s="59">
        <f t="shared" si="8"/>
        <v>414.28018474891235</v>
      </c>
      <c r="BI18" s="59">
        <f ca="1">AVERAGE(OFFSET($BH$3,0,0,'Données projet'!$E$11+1,1))-AVERAGE(OFFSET($H$3,0,0,'Données projet'!$E$11+1,1))</f>
        <v>490.06222615476065</v>
      </c>
      <c r="BJ18" s="59">
        <f t="shared" si="38"/>
        <v>310.43914804089906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4.333333333333333</v>
      </c>
      <c r="BX18" s="12">
        <f t="array" ref="BX18">INDEX(BW:BW,MIN(IF(ISNUMBER(BW18:BW214),ROW(BW18:BW214),"")))</f>
        <v>4.333333333333333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51.713999999999999</v>
      </c>
      <c r="CA18" s="13">
        <f t="shared" si="39"/>
        <v>15.055535578337075</v>
      </c>
      <c r="CB18" s="20">
        <f t="shared" si="10"/>
        <v>116.29027446560372</v>
      </c>
      <c r="CC18" s="59">
        <f t="shared" si="11"/>
        <v>391.29027446560372</v>
      </c>
      <c r="CD18" s="59">
        <f ca="1">AVERAGE(OFFSET($CC$3,0,0,'Données projet'!$E$12+1,1))-AVERAGE(OFFSET($H$3,0,0,'Données projet'!$E$12+1,1))</f>
        <v>353.37479213497227</v>
      </c>
      <c r="CE18" s="59">
        <f t="shared" si="40"/>
        <v>345.4750813433123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0.13250000000000001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3.7144488588845932</v>
      </c>
      <c r="CM18" s="21">
        <f>EXP(-LN(2)/2)*CM17+(1-EXP(-LN(2)/2))/(LN(2)/2)*CG18*CJ18*VLOOKUP('Données projet'!$B$12,Paramètres!$A$1:$I$89,3,0)*0.475*44/12</f>
        <v>6.0053601060803743</v>
      </c>
      <c r="CN18" s="22">
        <f t="shared" si="12"/>
        <v>9.719808964964967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7.2494000000000005</v>
      </c>
      <c r="CT18" s="12">
        <f>IF('Données projet'!$A$140&gt;35,CT17+CS18-DB17,IF(A18&lt;'Données projet'!$A$140,$CQ$205^A18,IF(A18='Données projet'!$A$140,'Données projet'!$B$140,CT17+CS18-DB17)))</f>
        <v>108.74099999999997</v>
      </c>
      <c r="CU18" s="17">
        <f>CT18*VLOOKUP('Données projet'!$B$13,Paramètres!$A$1:$I$89,3,0)*VLOOKUP('Données projet'!$B$13,Paramètres!$A$1:$I$89,5,0)</f>
        <v>52.304420999999991</v>
      </c>
      <c r="CV18" s="13">
        <f t="shared" si="41"/>
        <v>15.207316829582746</v>
      </c>
      <c r="CW18" s="20">
        <f t="shared" si="13"/>
        <v>117.58294338652325</v>
      </c>
      <c r="CX18" s="59">
        <f t="shared" si="14"/>
        <v>392.58294338652325</v>
      </c>
      <c r="CY18" s="59">
        <f ca="1">AVERAGE(OFFSET($CX$3,0,0,'Données projet'!$E$13+1,1))-AVERAGE(OFFSET($H$3,0,0,'Données projet'!$E$13+1,1))</f>
        <v>314.18760071409162</v>
      </c>
      <c r="CZ18" s="59">
        <f t="shared" si="42"/>
        <v>267.72650645201787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32.323200000000007</v>
      </c>
      <c r="DQ18" s="13">
        <f t="shared" si="43"/>
        <v>9.9393719729191545</v>
      </c>
      <c r="DR18" s="20">
        <f t="shared" si="16"/>
        <v>73.607312852834198</v>
      </c>
      <c r="DS18" s="59">
        <f t="shared" si="17"/>
        <v>348.60731285283418</v>
      </c>
      <c r="DT18" s="59">
        <f ca="1">AVERAGE(OFFSET($DS$3,0,0,'Données projet'!$E$14+1,1))-AVERAGE(OFFSET($H$3,0,0,'Données projet'!$E$14+1,1))</f>
        <v>324.86930206492627</v>
      </c>
      <c r="DU18" s="59">
        <f t="shared" si="44"/>
        <v>317.03005098025352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0.13250000000000001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1.91184867736707</v>
      </c>
      <c r="EC18" s="21">
        <f>EXP(-LN(2)/2)*EC17+(1-EXP(-LN(2)/2))/(LN(2)/2)*DW18*DZ18*VLOOKUP('Données projet'!$B$14,Paramètres!$A$1:$I$89,3,0)*0.475*44/12</f>
        <v>3.0909941722472518</v>
      </c>
      <c r="ED18" s="22">
        <f t="shared" si="18"/>
        <v>5.0028428496143214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7.2723529411764707</v>
      </c>
      <c r="N19" s="13">
        <f>IF('Données projet'!$A$36&gt;35,N18+M19-V18,IF(A19&lt;'Données projet'!$A$36,$K$205^A19,IF(A19='Données projet'!$A$36,'Données projet'!$B$36,N18+M19-V18)))</f>
        <v>93.123171702524758</v>
      </c>
      <c r="O19" s="13">
        <f>N19*VLOOKUP('Données projet'!$B$9,Paramètres!$A$1:$I$89,3,0)*VLOOKUP('Données projet'!$B$9,Paramètres!$A$1:$I$89,5,0)</f>
        <v>55.687656678109811</v>
      </c>
      <c r="P19" s="13">
        <f t="shared" si="33"/>
        <v>16.073285805897523</v>
      </c>
      <c r="Q19" s="20">
        <f t="shared" si="2"/>
        <v>124.98364149297942</v>
      </c>
      <c r="R19" s="59">
        <f t="shared" si="0"/>
        <v>401.20586371520164</v>
      </c>
      <c r="S19" s="59">
        <f ca="1">AVERAGE(OFFSET($R$3,0,0,'Données projet'!$E$9+1,1))-AVERAGE(OFFSET($H$3,0,0,'Données projet'!$E$9+1,1))</f>
        <v>302.00825291248458</v>
      </c>
      <c r="T19" s="59">
        <f t="shared" si="34"/>
        <v>307.35115839449355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</v>
      </c>
      <c r="AI19" s="13">
        <f>IF('Données projet'!$A$62&gt;35,AI18+AH19-AQ18,IF(A19&lt;'Données projet'!$A$62,$AF$205^A19,IF(A19='Données projet'!$A$62,'Données projet'!$B$62,AI18+AH19-AQ18)))</f>
        <v>50.313419961502369</v>
      </c>
      <c r="AJ19" s="13">
        <f>AI19*VLOOKUP('Données projet'!$B$10,Paramètres!$A$1:$I$89,3,0)*VLOOKUP('Données projet'!$B$10,Paramètres!$A$1:$I$89,5,0)</f>
        <v>22.238531622984048</v>
      </c>
      <c r="AK19" s="13">
        <f t="shared" si="35"/>
        <v>7.1425784962331207</v>
      </c>
      <c r="AL19" s="20">
        <f t="shared" si="4"/>
        <v>51.172100124303235</v>
      </c>
      <c r="AM19" s="59">
        <f t="shared" si="5"/>
        <v>327.39432234652548</v>
      </c>
      <c r="AN19" s="59">
        <f ca="1">AVERAGE(OFFSET($AM$3,0,0,'Données projet'!$E$10+1,1))-AVERAGE(OFFSET($H$3,0,0,'Données projet'!$E$10+1,1))</f>
        <v>394.37446333077651</v>
      </c>
      <c r="AO19" s="59">
        <f t="shared" si="36"/>
        <v>335.44327961212963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4.5856818181818184</v>
      </c>
      <c r="BD19" s="12">
        <f>IF('Données projet'!$A$88&gt;35,BD18+BC19-BL18,IF(A19&lt;'Données projet'!$A$88,$BA$205^A19,IF(A19='Données projet'!$A$88,'Données projet'!$B$88,BD18+BC19-BL18)))</f>
        <v>73.370909090909095</v>
      </c>
      <c r="BE19" s="13">
        <f>BD19*VLOOKUP('Données projet'!$B$11,Paramètres!$A$1:$I$89,3,0)*VLOOKUP('Données projet'!$B$11,Paramètres!$A$1:$I$89,5,0)</f>
        <v>66.385998545454541</v>
      </c>
      <c r="BF19" s="13">
        <f t="shared" si="37"/>
        <v>18.773223617006281</v>
      </c>
      <c r="BG19" s="20">
        <f t="shared" si="7"/>
        <v>148.31897859961927</v>
      </c>
      <c r="BH19" s="59">
        <f t="shared" si="8"/>
        <v>424.54120082184147</v>
      </c>
      <c r="BI19" s="59">
        <f ca="1">AVERAGE(OFFSET($BH$3,0,0,'Données projet'!$E$11+1,1))-AVERAGE(OFFSET($H$3,0,0,'Données projet'!$E$11+1,1))</f>
        <v>490.06222615476065</v>
      </c>
      <c r="BJ19" s="59">
        <f t="shared" si="38"/>
        <v>310.43914804089906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37.234079999999999</v>
      </c>
      <c r="CA19" s="13">
        <f t="shared" si="39"/>
        <v>11.262510356679771</v>
      </c>
      <c r="CB19" s="20">
        <f t="shared" si="10"/>
        <v>84.464894871217254</v>
      </c>
      <c r="CC19" s="59">
        <f t="shared" si="11"/>
        <v>360.6871170934395</v>
      </c>
      <c r="CD19" s="59">
        <f ca="1">AVERAGE(OFFSET($CC$3,0,0,'Données projet'!$E$12+1,1))-AVERAGE(OFFSET($H$3,0,0,'Données projet'!$E$12+1,1))</f>
        <v>353.37479213497227</v>
      </c>
      <c r="CE19" s="59">
        <f t="shared" si="40"/>
        <v>345.4750813433123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3.6128770595040178</v>
      </c>
      <c r="CM19" s="21">
        <f>EXP(-LN(2)/2)*CM18+(1-EXP(-LN(2)/2))/(LN(2)/2)*CG19*CJ19*VLOOKUP('Données projet'!$B$12,Paramètres!$A$1:$I$89,3,0)*0.475*44/12</f>
        <v>4.2464308544765972</v>
      </c>
      <c r="CN19" s="22">
        <f t="shared" si="12"/>
        <v>7.859307913980615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7.2494000000000005</v>
      </c>
      <c r="CT19" s="12">
        <f>IF('Données projet'!$A$140&gt;35,CT18+CS19-DB18,IF(A19&lt;'Données projet'!$A$140,$CQ$205^A19,IF(A19='Données projet'!$A$140,'Données projet'!$B$140,CT18+CS19-DB18)))</f>
        <v>115.99039999999997</v>
      </c>
      <c r="CU19" s="17">
        <f>CT19*VLOOKUP('Données projet'!$B$13,Paramètres!$A$1:$I$89,3,0)*VLOOKUP('Données projet'!$B$13,Paramètres!$A$1:$I$89,5,0)</f>
        <v>55.791382399999989</v>
      </c>
      <c r="CV19" s="13">
        <f t="shared" si="41"/>
        <v>16.099736729876355</v>
      </c>
      <c r="CW19" s="20">
        <f t="shared" si="13"/>
        <v>125.21036581786797</v>
      </c>
      <c r="CX19" s="59">
        <f t="shared" si="14"/>
        <v>401.4325880400902</v>
      </c>
      <c r="CY19" s="59">
        <f ca="1">AVERAGE(OFFSET($CX$3,0,0,'Données projet'!$E$13+1,1))-AVERAGE(OFFSET($H$3,0,0,'Données projet'!$E$13+1,1))</f>
        <v>314.18760071409162</v>
      </c>
      <c r="CZ19" s="59">
        <f t="shared" si="42"/>
        <v>267.72650645201787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29.352960000000007</v>
      </c>
      <c r="DQ19" s="13">
        <f t="shared" si="43"/>
        <v>9.1278666361046881</v>
      </c>
      <c r="DR19" s="20">
        <f t="shared" si="16"/>
        <v>67.020773057882352</v>
      </c>
      <c r="DS19" s="59">
        <f t="shared" si="17"/>
        <v>343.24299528010459</v>
      </c>
      <c r="DT19" s="59">
        <f ca="1">AVERAGE(OFFSET($DS$3,0,0,'Données projet'!$E$14+1,1))-AVERAGE(OFFSET($H$3,0,0,'Données projet'!$E$14+1,1))</f>
        <v>324.86930206492627</v>
      </c>
      <c r="DU19" s="59">
        <f t="shared" si="44"/>
        <v>317.03005098025352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1.8595690747447151</v>
      </c>
      <c r="EC19" s="21">
        <f>EXP(-LN(2)/2)*EC18+(1-EXP(-LN(2)/2))/(LN(2)/2)*DW19*DZ19*VLOOKUP('Données projet'!$B$14,Paramètres!$A$1:$I$89,3,0)*0.475*44/12</f>
        <v>2.1856629398041312</v>
      </c>
      <c r="ED19" s="22">
        <f t="shared" si="18"/>
        <v>4.0452320145488461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123.63</v>
      </c>
      <c r="L20" s="12">
        <f>VLOOKUP(A20,'Données projet'!$A$35:$I$55,9,0)</f>
        <v>7.2723529411764707</v>
      </c>
      <c r="M20" s="12">
        <f t="array" ref="M20">INDEX(L:L,MIN(IF(ISNUMBER(L20:L216),ROW(L20:L216),"")))</f>
        <v>7.2723529411764707</v>
      </c>
      <c r="N20" s="13">
        <f>IF('Données projet'!$A$36&gt;35,N19+M20-V19,IF(A20&lt;'Données projet'!$A$36,$K$205^A20,IF(A20='Données projet'!$A$36,'Données projet'!$B$36,N19+M20-V19)))</f>
        <v>123.63</v>
      </c>
      <c r="O20" s="13">
        <f>N20*VLOOKUP('Données projet'!$B$9,Paramètres!$A$1:$I$89,3,0)*VLOOKUP('Données projet'!$B$9,Paramètres!$A$1:$I$89,5,0)</f>
        <v>73.93074</v>
      </c>
      <c r="P20" s="13">
        <f t="shared" si="33"/>
        <v>20.646473443351134</v>
      </c>
      <c r="Q20" s="20">
        <f t="shared" si="2"/>
        <v>164.72198008050322</v>
      </c>
      <c r="R20" s="59">
        <f t="shared" si="0"/>
        <v>442.16642452494767</v>
      </c>
      <c r="S20" s="59">
        <f ca="1">AVERAGE(OFFSET($R$3,0,0,'Données projet'!$E$9+1,1))-AVERAGE(OFFSET($H$3,0,0,'Données projet'!$E$9+1,1))</f>
        <v>302.00825291248458</v>
      </c>
      <c r="T20" s="59">
        <f t="shared" si="34"/>
        <v>307.35115839449355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41.179999999999993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0.22500000000000001</v>
      </c>
      <c r="Y20" s="16">
        <f>IF(ISNA(VLOOKUP(A20,'Données projet'!$A$35:$I$55,7,0)),0%,VLOOKUP(A20,'Données projet'!$A$35:$I$55,7,0))</f>
        <v>0.5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7.3212467235098906</v>
      </c>
      <c r="AB20" s="21">
        <f>EXP(-LN(2)/2)*AB19+(1-EXP(-LN(2)/2))/(LN(2)/2)*V20*Y20*VLOOKUP('Données projet'!$B$9,Paramètres!$A$1:$I$89,3,0)*0.475*44/12</f>
        <v>13.940972477629819</v>
      </c>
      <c r="AC20" s="22">
        <f t="shared" si="3"/>
        <v>21.262219201139708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</v>
      </c>
      <c r="AI20" s="13">
        <f>IF('Données projet'!$A$62&gt;35,AI19+AH20-AQ19,IF(A20&lt;'Données projet'!$A$62,$AF$205^A20,IF(A20='Données projet'!$A$62,'Données projet'!$B$62,AI19+AH20-AQ19)))</f>
        <v>64.274555013266735</v>
      </c>
      <c r="AJ20" s="13">
        <f>AI20*VLOOKUP('Données projet'!$B$10,Paramètres!$A$1:$I$89,3,0)*VLOOKUP('Données projet'!$B$10,Paramètres!$A$1:$I$89,5,0)</f>
        <v>28.4093533158639</v>
      </c>
      <c r="AK20" s="13">
        <f t="shared" si="35"/>
        <v>8.8680985745072238</v>
      </c>
      <c r="AL20" s="20">
        <f t="shared" si="4"/>
        <v>64.924895375729704</v>
      </c>
      <c r="AM20" s="59">
        <f t="shared" si="5"/>
        <v>342.36933982017416</v>
      </c>
      <c r="AN20" s="59">
        <f ca="1">AVERAGE(OFFSET($AM$3,0,0,'Données projet'!$E$10+1,1))-AVERAGE(OFFSET($H$3,0,0,'Données projet'!$E$10+1,1))</f>
        <v>394.37446333077651</v>
      </c>
      <c r="AO20" s="59">
        <f t="shared" si="36"/>
        <v>335.44327961212963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4.5856818181818184</v>
      </c>
      <c r="BD20" s="12">
        <f>IF('Données projet'!$A$88&gt;35,BD19+BC20-BL19,IF(A20&lt;'Données projet'!$A$88,$BA$205^A20,IF(A20='Données projet'!$A$88,'Données projet'!$B$88,BD19+BC20-BL19)))</f>
        <v>77.95659090909092</v>
      </c>
      <c r="BE20" s="13">
        <f>BD20*VLOOKUP('Données projet'!$B$11,Paramètres!$A$1:$I$89,3,0)*VLOOKUP('Données projet'!$B$11,Paramètres!$A$1:$I$89,5,0)</f>
        <v>70.53512345454547</v>
      </c>
      <c r="BF20" s="13">
        <f t="shared" si="37"/>
        <v>19.806288627769469</v>
      </c>
      <c r="BG20" s="20">
        <f t="shared" si="7"/>
        <v>157.3446260433652</v>
      </c>
      <c r="BH20" s="59">
        <f t="shared" si="8"/>
        <v>434.78907048780968</v>
      </c>
      <c r="BI20" s="59">
        <f ca="1">AVERAGE(OFFSET($BH$3,0,0,'Données projet'!$E$11+1,1))-AVERAGE(OFFSET($H$3,0,0,'Données projet'!$E$11+1,1))</f>
        <v>490.06222615476065</v>
      </c>
      <c r="BJ20" s="59">
        <f t="shared" si="38"/>
        <v>310.43914804089906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48.213360000000002</v>
      </c>
      <c r="CA20" s="13">
        <f t="shared" si="39"/>
        <v>14.151379520104694</v>
      </c>
      <c r="CB20" s="20">
        <f t="shared" si="10"/>
        <v>108.61858799751566</v>
      </c>
      <c r="CC20" s="59">
        <f t="shared" si="11"/>
        <v>386.0630324419601</v>
      </c>
      <c r="CD20" s="59">
        <f ca="1">AVERAGE(OFFSET($CC$3,0,0,'Données projet'!$E$12+1,1))-AVERAGE(OFFSET($H$3,0,0,'Données projet'!$E$12+1,1))</f>
        <v>353.37479213497227</v>
      </c>
      <c r="CE20" s="59">
        <f t="shared" si="40"/>
        <v>345.4750813433123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3.514082746318933</v>
      </c>
      <c r="CM20" s="21">
        <f>EXP(-LN(2)/2)*CM19+(1-EXP(-LN(2)/2))/(LN(2)/2)*CG20*CJ20*VLOOKUP('Données projet'!$B$12,Paramètres!$A$1:$I$89,3,0)*0.475*44/12</f>
        <v>3.0026800530401876</v>
      </c>
      <c r="CN20" s="22">
        <f t="shared" si="12"/>
        <v>6.5167627993591211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7.2494000000000005</v>
      </c>
      <c r="CT20" s="12">
        <f>IF('Données projet'!$A$140&gt;35,CT19+CS20-DB19,IF(A20&lt;'Données projet'!$A$140,$CQ$205^A20,IF(A20='Données projet'!$A$140,'Données projet'!$B$140,CT19+CS20-DB19)))</f>
        <v>123.23979999999996</v>
      </c>
      <c r="CU20" s="17">
        <f>CT20*VLOOKUP('Données projet'!$B$13,Paramètres!$A$1:$I$89,3,0)*VLOOKUP('Données projet'!$B$13,Paramètres!$A$1:$I$89,5,0)</f>
        <v>59.27834379999998</v>
      </c>
      <c r="CV20" s="13">
        <f t="shared" si="41"/>
        <v>16.985683386531939</v>
      </c>
      <c r="CW20" s="20">
        <f t="shared" si="13"/>
        <v>132.82651401654309</v>
      </c>
      <c r="CX20" s="59">
        <f t="shared" si="14"/>
        <v>410.27095846098757</v>
      </c>
      <c r="CY20" s="59">
        <f ca="1">AVERAGE(OFFSET($CX$3,0,0,'Données projet'!$E$13+1,1))-AVERAGE(OFFSET($H$3,0,0,'Données projet'!$E$13+1,1))</f>
        <v>314.18760071409162</v>
      </c>
      <c r="CZ20" s="59">
        <f t="shared" si="42"/>
        <v>267.72650645201787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39.486720000000005</v>
      </c>
      <c r="DQ20" s="13">
        <f t="shared" si="43"/>
        <v>11.862499896265861</v>
      </c>
      <c r="DR20" s="20">
        <f t="shared" si="16"/>
        <v>89.433224652663043</v>
      </c>
      <c r="DS20" s="59">
        <f t="shared" si="17"/>
        <v>366.87766909710751</v>
      </c>
      <c r="DT20" s="59">
        <f ca="1">AVERAGE(OFFSET($DS$3,0,0,'Données projet'!$E$14+1,1))-AVERAGE(OFFSET($H$3,0,0,'Données projet'!$E$14+1,1))</f>
        <v>324.86930206492627</v>
      </c>
      <c r="DU20" s="59">
        <f t="shared" si="44"/>
        <v>317.03005098025352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1.8087190606053334</v>
      </c>
      <c r="EC20" s="21">
        <f>EXP(-LN(2)/2)*EC19+(1-EXP(-LN(2)/2))/(LN(2)/2)*DW20*DZ20*VLOOKUP('Données projet'!$B$14,Paramètres!$A$1:$I$89,3,0)*0.475*44/12</f>
        <v>1.5454970861236261</v>
      </c>
      <c r="ED20" s="22">
        <f t="shared" si="18"/>
        <v>3.3542161467289597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17.793333333333333</v>
      </c>
      <c r="N21" s="13">
        <f>IF('Données projet'!$A$36&gt;35,N20+M21-V20,IF(A21&lt;'Données projet'!$A$36,$K$205^A21,IF(A21='Données projet'!$A$36,'Données projet'!$B$36,N20+M21-V20)))</f>
        <v>100.24333333333333</v>
      </c>
      <c r="O21" s="13">
        <f>N21*VLOOKUP('Données projet'!$B$9,Paramètres!$A$1:$I$89,3,0)*VLOOKUP('Données projet'!$B$9,Paramètres!$A$1:$I$89,5,0)</f>
        <v>59.945513333333338</v>
      </c>
      <c r="P21" s="13">
        <f t="shared" si="33"/>
        <v>17.15449234531231</v>
      </c>
      <c r="Q21" s="20">
        <f t="shared" si="2"/>
        <v>134.28250989030781</v>
      </c>
      <c r="R21" s="59">
        <f t="shared" si="0"/>
        <v>412.94917655697452</v>
      </c>
      <c r="S21" s="59">
        <f ca="1">AVERAGE(OFFSET($R$3,0,0,'Données projet'!$E$9+1,1))-AVERAGE(OFFSET($H$3,0,0,'Données projet'!$E$9+1,1))</f>
        <v>302.00825291248458</v>
      </c>
      <c r="T21" s="59">
        <f t="shared" si="34"/>
        <v>307.35115839449355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7.1210468468478805</v>
      </c>
      <c r="AB21" s="21">
        <f>EXP(-LN(2)/2)*AB20+(1-EXP(-LN(2)/2))/(LN(2)/2)*V21*Y21*VLOOKUP('Données projet'!$B$9,Paramètres!$A$1:$I$89,3,0)*0.475*44/12</f>
        <v>9.8577561752670704</v>
      </c>
      <c r="AC21" s="22">
        <f t="shared" si="3"/>
        <v>16.978803022114953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</v>
      </c>
      <c r="AI21" s="13">
        <f>IF('Données projet'!$A$62&gt;35,AI20+AH21-AQ20,IF(A21&lt;'Données projet'!$A$62,$AF$205^A21,IF(A21='Données projet'!$A$62,'Données projet'!$B$62,AI20+AH21-AQ20)))</f>
        <v>82.109672236840183</v>
      </c>
      <c r="AJ21" s="13">
        <f>AI21*VLOOKUP('Données projet'!$B$10,Paramètres!$A$1:$I$89,3,0)*VLOOKUP('Données projet'!$B$10,Paramètres!$A$1:$I$89,5,0)</f>
        <v>36.292475128683364</v>
      </c>
      <c r="AK21" s="13">
        <f t="shared" si="35"/>
        <v>11.010473650188397</v>
      </c>
      <c r="AL21" s="20">
        <f t="shared" si="4"/>
        <v>82.385969123201647</v>
      </c>
      <c r="AM21" s="59">
        <f t="shared" si="5"/>
        <v>361.0526357898683</v>
      </c>
      <c r="AN21" s="59">
        <f ca="1">AVERAGE(OFFSET($AM$3,0,0,'Données projet'!$E$10+1,1))-AVERAGE(OFFSET($H$3,0,0,'Données projet'!$E$10+1,1))</f>
        <v>394.37446333077651</v>
      </c>
      <c r="AO21" s="59">
        <f t="shared" si="36"/>
        <v>335.44327961212963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4.5856818181818184</v>
      </c>
      <c r="BD21" s="12">
        <f>IF('Données projet'!$A$88&gt;35,BD20+BC21-BL20,IF(A21&lt;'Données projet'!$A$88,$BA$205^A21,IF(A21='Données projet'!$A$88,'Données projet'!$B$88,BD20+BC21-BL20)))</f>
        <v>82.542272727272746</v>
      </c>
      <c r="BE21" s="13">
        <f>BD21*VLOOKUP('Données projet'!$B$11,Paramètres!$A$1:$I$89,3,0)*VLOOKUP('Données projet'!$B$11,Paramètres!$A$1:$I$89,5,0)</f>
        <v>74.684248363636371</v>
      </c>
      <c r="BF21" s="13">
        <f t="shared" si="37"/>
        <v>20.832300049203276</v>
      </c>
      <c r="BG21" s="20">
        <f t="shared" si="7"/>
        <v>166.35798848569573</v>
      </c>
      <c r="BH21" s="59">
        <f t="shared" si="8"/>
        <v>445.02465515236241</v>
      </c>
      <c r="BI21" s="59">
        <f ca="1">AVERAGE(OFFSET($BH$3,0,0,'Données projet'!$E$11+1,1))-AVERAGE(OFFSET($H$3,0,0,'Données projet'!$E$11+1,1))</f>
        <v>490.06222615476065</v>
      </c>
      <c r="BJ21" s="59">
        <f t="shared" si="38"/>
        <v>310.43914804089906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59.192639999999997</v>
      </c>
      <c r="CA21" s="13">
        <f t="shared" si="39"/>
        <v>16.963982408330725</v>
      </c>
      <c r="CB21" s="20">
        <f t="shared" si="10"/>
        <v>132.63945069450935</v>
      </c>
      <c r="CC21" s="59">
        <f t="shared" si="11"/>
        <v>411.30611736117601</v>
      </c>
      <c r="CD21" s="59">
        <f ca="1">AVERAGE(OFFSET($CC$3,0,0,'Données projet'!$E$12+1,1))-AVERAGE(OFFSET($H$3,0,0,'Données projet'!$E$12+1,1))</f>
        <v>353.37479213497227</v>
      </c>
      <c r="CE21" s="59">
        <f t="shared" si="40"/>
        <v>345.4750813433123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3.4179899688232616</v>
      </c>
      <c r="CM21" s="21">
        <f>EXP(-LN(2)/2)*CM20+(1-EXP(-LN(2)/2))/(LN(2)/2)*CG21*CJ21*VLOOKUP('Données projet'!$B$12,Paramètres!$A$1:$I$89,3,0)*0.475*44/12</f>
        <v>2.123215427238299</v>
      </c>
      <c r="CN21" s="22">
        <f t="shared" si="12"/>
        <v>5.5412053960615602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7.2494000000000005</v>
      </c>
      <c r="CT21" s="12">
        <f>IF('Données projet'!$A$140&gt;35,CT20+CS21-DB20,IF(A21&lt;'Données projet'!$A$140,$CQ$205^A21,IF(A21='Données projet'!$A$140,'Données projet'!$B$140,CT20+CS21-DB20)))</f>
        <v>130.48919999999995</v>
      </c>
      <c r="CU21" s="17">
        <f>CT21*VLOOKUP('Données projet'!$B$13,Paramètres!$A$1:$I$89,3,0)*VLOOKUP('Données projet'!$B$13,Paramètres!$A$1:$I$89,5,0)</f>
        <v>62.765305199999979</v>
      </c>
      <c r="CV21" s="13">
        <f t="shared" si="41"/>
        <v>17.865580952550722</v>
      </c>
      <c r="CW21" s="20">
        <f t="shared" si="13"/>
        <v>140.43212671569248</v>
      </c>
      <c r="CX21" s="59">
        <f t="shared" si="14"/>
        <v>419.09879338235919</v>
      </c>
      <c r="CY21" s="59">
        <f ca="1">AVERAGE(OFFSET($CX$3,0,0,'Données projet'!$E$13+1,1))-AVERAGE(OFFSET($H$3,0,0,'Données projet'!$E$13+1,1))</f>
        <v>314.18760071409162</v>
      </c>
      <c r="CZ21" s="59">
        <f t="shared" si="42"/>
        <v>267.72650645201787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49.620480000000015</v>
      </c>
      <c r="DQ21" s="13">
        <f t="shared" si="43"/>
        <v>14.515703547444382</v>
      </c>
      <c r="DR21" s="20">
        <f t="shared" si="16"/>
        <v>111.70385301179901</v>
      </c>
      <c r="DS21" s="59">
        <f t="shared" si="17"/>
        <v>390.37051967846571</v>
      </c>
      <c r="DT21" s="59">
        <f ca="1">AVERAGE(OFFSET($DS$3,0,0,'Données projet'!$E$14+1,1))-AVERAGE(OFFSET($H$3,0,0,'Données projet'!$E$14+1,1))</f>
        <v>324.86930206492627</v>
      </c>
      <c r="DU21" s="59">
        <f t="shared" si="44"/>
        <v>317.03005098025352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1.7592595427766791</v>
      </c>
      <c r="EC21" s="21">
        <f>EXP(-LN(2)/2)*EC20+(1-EXP(-LN(2)/2))/(LN(2)/2)*DW21*DZ21*VLOOKUP('Données projet'!$B$14,Paramètres!$A$1:$I$89,3,0)*0.475*44/12</f>
        <v>1.0928314699020658</v>
      </c>
      <c r="ED21" s="22">
        <f t="shared" si="18"/>
        <v>2.8520910126787449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17.793333333333333</v>
      </c>
      <c r="N22" s="13">
        <f>IF('Données projet'!$A$36&gt;35,N21+M22-V21,IF(A22&lt;'Données projet'!$A$36,$K$205^A22,IF(A22='Données projet'!$A$36,'Données projet'!$B$36,N21+M22-V21)))</f>
        <v>118.03666666666666</v>
      </c>
      <c r="O22" s="13">
        <f>N22*VLOOKUP('Données projet'!$B$9,Paramètres!$A$1:$I$89,3,0)*VLOOKUP('Données projet'!$B$9,Paramètres!$A$1:$I$89,5,0)</f>
        <v>70.585926666666666</v>
      </c>
      <c r="P22" s="13">
        <f t="shared" si="33"/>
        <v>19.818893148924182</v>
      </c>
      <c r="Q22" s="20">
        <f t="shared" si="2"/>
        <v>157.45506117882073</v>
      </c>
      <c r="R22" s="59">
        <f t="shared" si="0"/>
        <v>437.34395006770956</v>
      </c>
      <c r="S22" s="59">
        <f ca="1">AVERAGE(OFFSET($R$3,0,0,'Données projet'!$E$9+1,1))-AVERAGE(OFFSET($H$3,0,0,'Données projet'!$E$9+1,1))</f>
        <v>302.00825291248458</v>
      </c>
      <c r="T22" s="59">
        <f t="shared" si="34"/>
        <v>307.35115839449355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6.9263214463412472</v>
      </c>
      <c r="AB22" s="21">
        <f>EXP(-LN(2)/2)*AB21+(1-EXP(-LN(2)/2))/(LN(2)/2)*V22*Y22*VLOOKUP('Données projet'!$B$9,Paramètres!$A$1:$I$89,3,0)*0.475*44/12</f>
        <v>6.9704862388149103</v>
      </c>
      <c r="AC22" s="22">
        <f t="shared" si="3"/>
        <v>13.896807685156158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6.7</v>
      </c>
      <c r="AI22" s="13">
        <f>IF('Données projet'!$A$62&gt;35,AI21+AH22-AQ21,IF(A22&lt;'Données projet'!$A$62,$AF$205^A22,IF(A22='Données projet'!$A$62,'Données projet'!$B$62,AI21+AH22-AQ21)))</f>
        <v>104.89373708537892</v>
      </c>
      <c r="AJ22" s="13">
        <f>AI22*VLOOKUP('Données projet'!$B$10,Paramètres!$A$1:$I$89,3,0)*VLOOKUP('Données projet'!$B$10,Paramètres!$A$1:$I$89,5,0)</f>
        <v>46.363031791737484</v>
      </c>
      <c r="AK22" s="13">
        <f t="shared" si="35"/>
        <v>13.670408485308201</v>
      </c>
      <c r="AL22" s="20">
        <f t="shared" si="4"/>
        <v>104.55824181585456</v>
      </c>
      <c r="AM22" s="59">
        <f t="shared" si="5"/>
        <v>384.44713070474342</v>
      </c>
      <c r="AN22" s="59">
        <f ca="1">AVERAGE(OFFSET($AM$3,0,0,'Données projet'!$E$10+1,1))-AVERAGE(OFFSET($H$3,0,0,'Données projet'!$E$10+1,1))</f>
        <v>394.37446333077651</v>
      </c>
      <c r="AO22" s="59">
        <f t="shared" si="36"/>
        <v>335.44327961212963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4.5856818181818184</v>
      </c>
      <c r="BD22" s="12">
        <f>IF('Données projet'!$A$88&gt;35,BD21+BC22-BL21,IF(A22&lt;'Données projet'!$A$88,$BA$205^A22,IF(A22='Données projet'!$A$88,'Données projet'!$B$88,BD21+BC22-BL21)))</f>
        <v>87.127954545454571</v>
      </c>
      <c r="BE22" s="13">
        <f>BD22*VLOOKUP('Données projet'!$B$11,Paramètres!$A$1:$I$89,3,0)*VLOOKUP('Données projet'!$B$11,Paramètres!$A$1:$I$89,5,0)</f>
        <v>78.833373272727286</v>
      </c>
      <c r="BF22" s="13">
        <f t="shared" si="37"/>
        <v>21.851694410372286</v>
      </c>
      <c r="BG22" s="20">
        <f t="shared" si="7"/>
        <v>175.35982621473178</v>
      </c>
      <c r="BH22" s="59">
        <f t="shared" si="8"/>
        <v>455.24871510362061</v>
      </c>
      <c r="BI22" s="59">
        <f ca="1">AVERAGE(OFFSET($BH$3,0,0,'Données projet'!$E$11+1,1))-AVERAGE(OFFSET($H$3,0,0,'Données projet'!$E$11+1,1))</f>
        <v>490.06222615476065</v>
      </c>
      <c r="BJ22" s="59">
        <f t="shared" si="38"/>
        <v>310.43914804089906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70.171919999999986</v>
      </c>
      <c r="CA22" s="13">
        <f t="shared" si="39"/>
        <v>19.716145269554726</v>
      </c>
      <c r="CB22" s="20">
        <f t="shared" si="10"/>
        <v>156.55504701114111</v>
      </c>
      <c r="CC22" s="59">
        <f t="shared" si="11"/>
        <v>436.44393590002994</v>
      </c>
      <c r="CD22" s="59">
        <f ca="1">AVERAGE(OFFSET($CC$3,0,0,'Données projet'!$E$12+1,1))-AVERAGE(OFFSET($H$3,0,0,'Données projet'!$E$12+1,1))</f>
        <v>353.37479213497227</v>
      </c>
      <c r="CE22" s="59">
        <f t="shared" si="40"/>
        <v>345.4750813433123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3.3245248533815088</v>
      </c>
      <c r="CM22" s="21">
        <f>EXP(-LN(2)/2)*CM21+(1-EXP(-LN(2)/2))/(LN(2)/2)*CG22*CJ22*VLOOKUP('Données projet'!$B$12,Paramètres!$A$1:$I$89,3,0)*0.475*44/12</f>
        <v>1.501340026520094</v>
      </c>
      <c r="CN22" s="22">
        <f t="shared" si="12"/>
        <v>4.8258648799016033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7.2494000000000005</v>
      </c>
      <c r="CT22" s="12">
        <f>IF('Données projet'!$A$140&gt;35,CT21+CS22-DB21,IF(A22&lt;'Données projet'!$A$140,$CQ$205^A22,IF(A22='Données projet'!$A$140,'Données projet'!$B$140,CT21+CS22-DB21)))</f>
        <v>137.73859999999996</v>
      </c>
      <c r="CU22" s="17">
        <f>CT22*VLOOKUP('Données projet'!$B$13,Paramètres!$A$1:$I$89,3,0)*VLOOKUP('Données projet'!$B$13,Paramètres!$A$1:$I$89,5,0)</f>
        <v>66.252266599999984</v>
      </c>
      <c r="CV22" s="13">
        <f t="shared" si="41"/>
        <v>18.739803791076685</v>
      </c>
      <c r="CW22" s="20">
        <f t="shared" si="13"/>
        <v>148.02785593112517</v>
      </c>
      <c r="CX22" s="59">
        <f t="shared" si="14"/>
        <v>427.91674482001406</v>
      </c>
      <c r="CY22" s="59">
        <f ca="1">AVERAGE(OFFSET($CX$3,0,0,'Données projet'!$E$13+1,1))-AVERAGE(OFFSET($H$3,0,0,'Données projet'!$E$13+1,1))</f>
        <v>314.18760071409162</v>
      </c>
      <c r="CZ22" s="59">
        <f t="shared" si="42"/>
        <v>267.72650645201787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59.754240000000017</v>
      </c>
      <c r="DQ22" s="13">
        <f t="shared" si="43"/>
        <v>17.106118338764027</v>
      </c>
      <c r="DR22" s="20">
        <f t="shared" si="16"/>
        <v>133.8651241066807</v>
      </c>
      <c r="DS22" s="59">
        <f t="shared" si="17"/>
        <v>413.75401299556955</v>
      </c>
      <c r="DT22" s="59">
        <f ca="1">AVERAGE(OFFSET($DS$3,0,0,'Données projet'!$E$14+1,1))-AVERAGE(OFFSET($H$3,0,0,'Données projet'!$E$14+1,1))</f>
        <v>324.86930206492627</v>
      </c>
      <c r="DU22" s="59">
        <f t="shared" si="44"/>
        <v>317.03005098025352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1.7111524980640123</v>
      </c>
      <c r="EC22" s="21">
        <f>EXP(-LN(2)/2)*EC21+(1-EXP(-LN(2)/2))/(LN(2)/2)*DW22*DZ22*VLOOKUP('Données projet'!$B$14,Paramètres!$A$1:$I$89,3,0)*0.475*44/12</f>
        <v>0.77274854306181318</v>
      </c>
      <c r="ED22" s="22">
        <f t="shared" si="18"/>
        <v>2.4839010411258253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17.793333333333333</v>
      </c>
      <c r="N23" s="13">
        <f>IF('Données projet'!$A$36&gt;35,N22+M23-V22,IF(A23&lt;'Données projet'!$A$36,$K$205^A23,IF(A23='Données projet'!$A$36,'Données projet'!$B$36,N22+M23-V22)))</f>
        <v>135.82999999999998</v>
      </c>
      <c r="O23" s="13">
        <f>N23*VLOOKUP('Données projet'!$B$9,Paramètres!$A$1:$I$89,3,0)*VLOOKUP('Données projet'!$B$9,Paramètres!$A$1:$I$89,5,0)</f>
        <v>81.226339999999993</v>
      </c>
      <c r="P23" s="13">
        <f t="shared" si="33"/>
        <v>22.43676463604092</v>
      </c>
      <c r="Q23" s="20">
        <f t="shared" si="2"/>
        <v>180.54657390777126</v>
      </c>
      <c r="R23" s="59">
        <f t="shared" si="0"/>
        <v>461.65768501888238</v>
      </c>
      <c r="S23" s="59">
        <f ca="1">AVERAGE(OFFSET($R$3,0,0,'Données projet'!$E$9+1,1))-AVERAGE(OFFSET($H$3,0,0,'Données projet'!$E$9+1,1))</f>
        <v>302.00825291248458</v>
      </c>
      <c r="T23" s="59">
        <f t="shared" si="34"/>
        <v>307.35115839449355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6.7369208221516317</v>
      </c>
      <c r="AB23" s="21">
        <f>EXP(-LN(2)/2)*AB22+(1-EXP(-LN(2)/2))/(LN(2)/2)*V23*Y23*VLOOKUP('Données projet'!$B$9,Paramètres!$A$1:$I$89,3,0)*0.475*44/12</f>
        <v>4.9288780876335361</v>
      </c>
      <c r="AC23" s="22">
        <f t="shared" si="3"/>
        <v>11.665798909785167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134</v>
      </c>
      <c r="AG23" s="12">
        <f>VLOOKUP(A23,'Données projet'!$A$61:$I$81,9,0)</f>
        <v>6.7</v>
      </c>
      <c r="AH23" s="12">
        <f t="array" ref="AH23">INDEX(AG:AG,MIN(IF(ISNUMBER(AG23:AG219),ROW(AG23:AG219),"")))</f>
        <v>6.7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59.228000000000002</v>
      </c>
      <c r="AK23" s="13">
        <f t="shared" si="35"/>
        <v>16.972936323405893</v>
      </c>
      <c r="AL23" s="20">
        <f t="shared" si="4"/>
        <v>132.71663076326527</v>
      </c>
      <c r="AM23" s="59">
        <f t="shared" si="5"/>
        <v>413.82774187437644</v>
      </c>
      <c r="AN23" s="59">
        <f ca="1">AVERAGE(OFFSET($AM$3,0,0,'Données projet'!$E$10+1,1))-AVERAGE(OFFSET($H$3,0,0,'Données projet'!$E$10+1,1))</f>
        <v>394.37446333077651</v>
      </c>
      <c r="AO23" s="59">
        <f t="shared" si="36"/>
        <v>335.44327961212963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</v>
      </c>
      <c r="AR23" s="16">
        <f>IF(ISNA(VLOOKUP(A23,'Données projet'!$A$61:$I$81,5,0)),0%,VLOOKUP(A23,'Données projet'!$A$61:$I$81,5,0)*VLOOKUP('Données projet'!$B$10,Paramètres!$A$1:$I$89,7,0))</f>
        <v>0.13750000000000001</v>
      </c>
      <c r="AS23" s="16">
        <f>IF(ISNA(VLOOKUP(A23,'Données projet'!$A$61:$I$81,6,0)),0%,VLOOKUP(A23,'Données projet'!$A$61:$I$81,6,0)*VLOOKUP('Données projet'!$B$10,Paramètres!$A$1:$I$89,7,0))</f>
        <v>0.20350000000000001</v>
      </c>
      <c r="AT23" s="16">
        <f>IF(ISNA(VLOOKUP(A23,'Données projet'!$A$61:$I$81,7,0)),0%,VLOOKUP(A23,'Données projet'!$A$61:$I$81,7,0))</f>
        <v>0.38</v>
      </c>
      <c r="AU23" s="21">
        <f>EXP(-LN(2)/35)*AU22+(1-EXP(-LN(2)/35))/(LN(2)/35)*AQ23*AR23*VLOOKUP('Données projet'!$B$10,Paramètres!$A$1:$I$89,3,0)*0.475*44/12</f>
        <v>0.40310977389669028</v>
      </c>
      <c r="AV23" s="21">
        <f>EXP(-LN(2)/25)*AV22+(1-EXP(-LN(2)/25))/(LN(2)/25)*Calculateur!AQ23*Calculateur!AS23*VLOOKUP('Données projet'!$B$10,Paramètres!$A$1:$I$89,3,0)*0.475*44/12</f>
        <v>0.59425341413759025</v>
      </c>
      <c r="AW23" s="21">
        <f>EXP(-LN(2)/2)*AW22+(1-EXP(-LN(2)/2))/(LN(2)/2)*AQ23*AT23*VLOOKUP('Données projet'!$B$10,Paramètres!$A$1:$I$89,3,0)*0.475*44/12</f>
        <v>0.95084868346272611</v>
      </c>
      <c r="AX23" s="21">
        <f t="shared" si="6"/>
        <v>1.9482118714970067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4.5856818181818184</v>
      </c>
      <c r="BD23" s="12">
        <f>IF('Données projet'!$A$88&gt;35,BD22+BC23-BL22,IF(A23&lt;'Données projet'!$A$88,$BA$205^A23,IF(A23='Données projet'!$A$88,'Données projet'!$B$88,BD22+BC23-BL22)))</f>
        <v>91.713636363636397</v>
      </c>
      <c r="BE23" s="13">
        <f>BD23*VLOOKUP('Données projet'!$B$11,Paramètres!$A$1:$I$89,3,0)*VLOOKUP('Données projet'!$B$11,Paramètres!$A$1:$I$89,5,0)</f>
        <v>82.982498181818215</v>
      </c>
      <c r="BF23" s="13">
        <f t="shared" si="37"/>
        <v>22.86485969464519</v>
      </c>
      <c r="BG23" s="20">
        <f t="shared" si="7"/>
        <v>184.35081496817375</v>
      </c>
      <c r="BH23" s="59">
        <f t="shared" si="8"/>
        <v>465.46192607928492</v>
      </c>
      <c r="BI23" s="59">
        <f ca="1">AVERAGE(OFFSET($BH$3,0,0,'Données projet'!$E$11+1,1))-AVERAGE(OFFSET($H$3,0,0,'Données projet'!$E$11+1,1))</f>
        <v>490.06222615476065</v>
      </c>
      <c r="BJ23" s="59">
        <f t="shared" si="38"/>
        <v>310.43914804089906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81.151200000000003</v>
      </c>
      <c r="CA23" s="13">
        <f t="shared" si="39"/>
        <v>22.418424032002342</v>
      </c>
      <c r="CB23" s="20">
        <f t="shared" si="10"/>
        <v>180.38376185573739</v>
      </c>
      <c r="CC23" s="59">
        <f t="shared" si="11"/>
        <v>461.49487296684856</v>
      </c>
      <c r="CD23" s="59">
        <f ca="1">AVERAGE(OFFSET($CC$3,0,0,'Données projet'!$E$12+1,1))-AVERAGE(OFFSET($H$3,0,0,'Données projet'!$E$12+1,1))</f>
        <v>353.37479213497227</v>
      </c>
      <c r="CE23" s="59">
        <f t="shared" si="40"/>
        <v>345.4750813433123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7.2962939858416513</v>
      </c>
      <c r="CM23" s="21">
        <f>EXP(-LN(2)/2)*CM22+(1-EXP(-LN(2)/2))/(LN(2)/2)*CG23*CJ23*VLOOKUP('Données projet'!$B$12,Paramètres!$A$1:$I$89,3,0)*0.475*44/12</f>
        <v>7.6299703296445607</v>
      </c>
      <c r="CN23" s="22">
        <f t="shared" si="12"/>
        <v>14.926264315486211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7.2494000000000005</v>
      </c>
      <c r="CT23" s="12">
        <f>IF('Données projet'!$A$140&gt;35,CT22+CS23-DB22,IF(A23&lt;'Données projet'!$A$140,$CQ$205^A23,IF(A23='Données projet'!$A$140,'Données projet'!$B$140,CT22+CS23-DB22)))</f>
        <v>144.98799999999997</v>
      </c>
      <c r="CU23" s="17">
        <f>CT23*VLOOKUP('Données projet'!$B$13,Paramètres!$A$1:$I$89,3,0)*VLOOKUP('Données projet'!$B$13,Paramètres!$A$1:$I$89,5,0)</f>
        <v>69.739227999999983</v>
      </c>
      <c r="CV23" s="13">
        <f t="shared" si="41"/>
        <v>19.608684632929958</v>
      </c>
      <c r="CW23" s="20">
        <f t="shared" si="13"/>
        <v>155.61428116901962</v>
      </c>
      <c r="CX23" s="59">
        <f t="shared" si="14"/>
        <v>436.72539228013079</v>
      </c>
      <c r="CY23" s="59">
        <f ca="1">AVERAGE(OFFSET($CX$3,0,0,'Données projet'!$E$13+1,1))-AVERAGE(OFFSET($H$3,0,0,'Données projet'!$E$13+1,1))</f>
        <v>314.18760071409162</v>
      </c>
      <c r="CZ23" s="59">
        <f t="shared" si="42"/>
        <v>267.72650645201787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69.888000000000005</v>
      </c>
      <c r="DQ23" s="13">
        <f t="shared" si="43"/>
        <v>19.645641432461961</v>
      </c>
      <c r="DR23" s="20">
        <f t="shared" si="16"/>
        <v>155.93775882820458</v>
      </c>
      <c r="DS23" s="59">
        <f t="shared" si="17"/>
        <v>437.04886993931575</v>
      </c>
      <c r="DT23" s="59">
        <f ca="1">AVERAGE(OFFSET($DS$3,0,0,'Données projet'!$E$14+1,1))-AVERAGE(OFFSET($H$3,0,0,'Données projet'!$E$14+1,1))</f>
        <v>324.86930206492627</v>
      </c>
      <c r="DU23" s="59">
        <f t="shared" si="44"/>
        <v>317.03005098025352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5.2331451407707181</v>
      </c>
      <c r="EC23" s="21">
        <f>EXP(-LN(2)/2)*EC22+(1-EXP(-LN(2)/2))/(LN(2)/2)*DW23*DZ23*VLOOKUP('Données projet'!$B$14,Paramètres!$A$1:$I$89,3,0)*0.475*44/12</f>
        <v>6.3162715231459039</v>
      </c>
      <c r="ED23" s="22">
        <f t="shared" si="18"/>
        <v>11.549416663916622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17.793333333333333</v>
      </c>
      <c r="N24" s="13">
        <f>IF('Données projet'!$A$36&gt;35,N23+M24-V23,IF(A24&lt;'Données projet'!$A$36,$K$205^A24,IF(A24='Données projet'!$A$36,'Données projet'!$B$36,N23+M24-V23)))</f>
        <v>153.62333333333331</v>
      </c>
      <c r="O24" s="13">
        <f>N24*VLOOKUP('Données projet'!$B$9,Paramètres!$A$1:$I$89,3,0)*VLOOKUP('Données projet'!$B$9,Paramètres!$A$1:$I$89,5,0)</f>
        <v>91.866753333333321</v>
      </c>
      <c r="P24" s="13">
        <f t="shared" si="33"/>
        <v>25.014901610216608</v>
      </c>
      <c r="Q24" s="20">
        <f t="shared" si="2"/>
        <v>203.56888236001612</v>
      </c>
      <c r="R24" s="59">
        <f t="shared" si="0"/>
        <v>485.90221569334943</v>
      </c>
      <c r="S24" s="59">
        <f ca="1">AVERAGE(OFFSET($R$3,0,0,'Données projet'!$E$9+1,1))-AVERAGE(OFFSET($H$3,0,0,'Données projet'!$E$9+1,1))</f>
        <v>302.00825291248458</v>
      </c>
      <c r="T24" s="59">
        <f t="shared" si="34"/>
        <v>307.35115839449355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6.5526993679906269</v>
      </c>
      <c r="AB24" s="21">
        <f>EXP(-LN(2)/2)*AB23+(1-EXP(-LN(2)/2))/(LN(2)/2)*V24*Y24*VLOOKUP('Données projet'!$B$9,Paramètres!$A$1:$I$89,3,0)*0.475*44/12</f>
        <v>3.485243119407456</v>
      </c>
      <c r="AC24" s="22">
        <f t="shared" si="3"/>
        <v>10.037942487398084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22.8</v>
      </c>
      <c r="AI24" s="13">
        <f>IF('Données projet'!$A$62&gt;35,AI23+AH24-AQ23,IF(A24&lt;'Données projet'!$A$62,$AF$205^A24,IF(A24='Données projet'!$A$62,'Données projet'!$B$62,AI23+AH24-AQ23)))</f>
        <v>151.80000000000001</v>
      </c>
      <c r="AJ24" s="13">
        <f>AI24*VLOOKUP('Données projet'!$B$10,Paramètres!$A$1:$I$89,3,0)*VLOOKUP('Données projet'!$B$10,Paramètres!$A$1:$I$89,5,0)</f>
        <v>67.095600000000019</v>
      </c>
      <c r="AK24" s="13">
        <f t="shared" si="35"/>
        <v>18.950423477478726</v>
      </c>
      <c r="AL24" s="20">
        <f t="shared" si="4"/>
        <v>149.86349088994214</v>
      </c>
      <c r="AM24" s="59">
        <f t="shared" si="5"/>
        <v>432.19682422327548</v>
      </c>
      <c r="AN24" s="59">
        <f ca="1">AVERAGE(OFFSET($AM$3,0,0,'Données projet'!$E$10+1,1))-AVERAGE(OFFSET($H$3,0,0,'Données projet'!$E$10+1,1))</f>
        <v>394.37446333077651</v>
      </c>
      <c r="AO24" s="59">
        <f t="shared" si="36"/>
        <v>335.44327961212963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0.39520503710326033</v>
      </c>
      <c r="AV24" s="21">
        <f>EXP(-LN(2)/25)*AV23+(1-EXP(-LN(2)/25))/(LN(2)/25)*Calculateur!AQ24*Calculateur!AS24*VLOOKUP('Données projet'!$B$10,Paramètres!$A$1:$I$89,3,0)*0.475*44/12</f>
        <v>0.57800352327756899</v>
      </c>
      <c r="AW24" s="21">
        <f>EXP(-LN(2)/2)*AW23+(1-EXP(-LN(2)/2))/(LN(2)/2)*AQ24*AT24*VLOOKUP('Données projet'!$B$10,Paramètres!$A$1:$I$89,3,0)*0.475*44/12</f>
        <v>0.6723515519587947</v>
      </c>
      <c r="AX24" s="21">
        <f t="shared" si="6"/>
        <v>1.645560112339624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4.5856818181818184</v>
      </c>
      <c r="BD24" s="12">
        <f>IF('Données projet'!$A$88&gt;35,BD23+BC24-BL23,IF(A24&lt;'Données projet'!$A$88,$BA$205^A24,IF(A24='Données projet'!$A$88,'Données projet'!$B$88,BD23+BC24-BL23)))</f>
        <v>96.299318181818222</v>
      </c>
      <c r="BE24" s="13">
        <f>BD24*VLOOKUP('Données projet'!$B$11,Paramètres!$A$1:$I$89,3,0)*VLOOKUP('Données projet'!$B$11,Paramètres!$A$1:$I$89,5,0)</f>
        <v>87.13162309090913</v>
      </c>
      <c r="BF24" s="13">
        <f t="shared" si="37"/>
        <v>23.872142895355385</v>
      </c>
      <c r="BG24" s="20">
        <f t="shared" si="7"/>
        <v>193.33155909274402</v>
      </c>
      <c r="BH24" s="59">
        <f t="shared" si="8"/>
        <v>475.66489242607736</v>
      </c>
      <c r="BI24" s="59">
        <f ca="1">AVERAGE(OFFSET($BH$3,0,0,'Données projet'!$E$11+1,1))-AVERAGE(OFFSET($H$3,0,0,'Données projet'!$E$11+1,1))</f>
        <v>490.06222615476065</v>
      </c>
      <c r="BJ24" s="59">
        <f t="shared" si="38"/>
        <v>310.43914804089906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65.080079999999981</v>
      </c>
      <c r="CA24" s="13">
        <f t="shared" si="39"/>
        <v>18.44653442602603</v>
      </c>
      <c r="CB24" s="20">
        <f t="shared" si="10"/>
        <v>145.47552012532864</v>
      </c>
      <c r="CC24" s="59">
        <f t="shared" si="11"/>
        <v>427.80885345866193</v>
      </c>
      <c r="CD24" s="59">
        <f ca="1">AVERAGE(OFFSET($CC$3,0,0,'Données projet'!$E$12+1,1))-AVERAGE(OFFSET($H$3,0,0,'Données projet'!$E$12+1,1))</f>
        <v>353.37479213497227</v>
      </c>
      <c r="CE24" s="59">
        <f t="shared" si="40"/>
        <v>345.4750813433123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7.0967764431033862</v>
      </c>
      <c r="CM24" s="21">
        <f>EXP(-LN(2)/2)*CM23+(1-EXP(-LN(2)/2))/(LN(2)/2)*CG24*CJ24*VLOOKUP('Données projet'!$B$12,Paramètres!$A$1:$I$89,3,0)*0.475*44/12</f>
        <v>5.3952037603438265</v>
      </c>
      <c r="CN24" s="22">
        <f t="shared" si="12"/>
        <v>12.491980203447213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7.2494000000000005</v>
      </c>
      <c r="CT24" s="12">
        <f>IF('Données projet'!$A$140&gt;35,CT23+CS24-DB23,IF(A24&lt;'Données projet'!$A$140,$CQ$205^A24,IF(A24='Données projet'!$A$140,'Données projet'!$B$140,CT23+CS24-DB23)))</f>
        <v>152.23739999999998</v>
      </c>
      <c r="CU24" s="17">
        <f>CT24*VLOOKUP('Données projet'!$B$13,Paramètres!$A$1:$I$89,3,0)*VLOOKUP('Données projet'!$B$13,Paramètres!$A$1:$I$89,5,0)</f>
        <v>73.226189399999996</v>
      </c>
      <c r="CV24" s="13">
        <f t="shared" si="41"/>
        <v>20.472521056269137</v>
      </c>
      <c r="CW24" s="20">
        <f t="shared" si="13"/>
        <v>163.19192071133543</v>
      </c>
      <c r="CX24" s="59">
        <f t="shared" si="14"/>
        <v>445.52525404466871</v>
      </c>
      <c r="CY24" s="59">
        <f ca="1">AVERAGE(OFFSET($CX$3,0,0,'Données projet'!$E$13+1,1))-AVERAGE(OFFSET($H$3,0,0,'Données projet'!$E$13+1,1))</f>
        <v>314.18760071409162</v>
      </c>
      <c r="CZ24" s="59">
        <f t="shared" si="42"/>
        <v>267.72650645201787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56.434560000000005</v>
      </c>
      <c r="DQ24" s="13">
        <f t="shared" si="43"/>
        <v>16.26362505907256</v>
      </c>
      <c r="DR24" s="20">
        <f t="shared" si="16"/>
        <v>126.61600564455136</v>
      </c>
      <c r="DS24" s="59">
        <f t="shared" si="17"/>
        <v>408.94933897788468</v>
      </c>
      <c r="DT24" s="59">
        <f ca="1">AVERAGE(OFFSET($DS$3,0,0,'Données projet'!$E$14+1,1))-AVERAGE(OFFSET($H$3,0,0,'Données projet'!$E$14+1,1))</f>
        <v>324.86930206492627</v>
      </c>
      <c r="DU24" s="59">
        <f t="shared" si="44"/>
        <v>317.03005098025352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5.0900445116972008</v>
      </c>
      <c r="EC24" s="21">
        <f>EXP(-LN(2)/2)*EC23+(1-EXP(-LN(2)/2))/(LN(2)/2)*DW24*DZ24*VLOOKUP('Données projet'!$B$14,Paramètres!$A$1:$I$89,3,0)*0.475*44/12</f>
        <v>4.4662784258319519</v>
      </c>
      <c r="ED24" s="22">
        <f t="shared" si="18"/>
        <v>9.5563229375291527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17.793333333333333</v>
      </c>
      <c r="N25" s="13">
        <f>IF('Données projet'!$A$36&gt;35,N24+M25-V24,IF(A25&lt;'Données projet'!$A$36,$K$205^A25,IF(A25='Données projet'!$A$36,'Données projet'!$B$36,N24+M25-V24)))</f>
        <v>171.41666666666663</v>
      </c>
      <c r="O25" s="13">
        <f>N25*VLOOKUP('Données projet'!$B$9,Paramètres!$A$1:$I$89,3,0)*VLOOKUP('Données projet'!$B$9,Paramètres!$A$1:$I$89,5,0)</f>
        <v>102.50716666666666</v>
      </c>
      <c r="P25" s="13">
        <f t="shared" si="33"/>
        <v>27.558431899391174</v>
      </c>
      <c r="Q25" s="20">
        <f t="shared" si="2"/>
        <v>226.53091750255075</v>
      </c>
      <c r="R25" s="59">
        <f t="shared" si="0"/>
        <v>510.08647305810632</v>
      </c>
      <c r="S25" s="59">
        <f ca="1">AVERAGE(OFFSET($R$3,0,0,'Données projet'!$E$9+1,1))-AVERAGE(OFFSET($H$3,0,0,'Données projet'!$E$9+1,1))</f>
        <v>302.00825291248458</v>
      </c>
      <c r="T25" s="59">
        <f t="shared" si="34"/>
        <v>307.35115839449355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6.3735154591814398</v>
      </c>
      <c r="AB25" s="21">
        <f>EXP(-LN(2)/2)*AB24+(1-EXP(-LN(2)/2))/(LN(2)/2)*V25*Y25*VLOOKUP('Données projet'!$B$9,Paramètres!$A$1:$I$89,3,0)*0.475*44/12</f>
        <v>2.4644390438167685</v>
      </c>
      <c r="AC25" s="22">
        <f t="shared" si="3"/>
        <v>8.8379545029982083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22.8</v>
      </c>
      <c r="AI25" s="13">
        <f>IF('Données projet'!$A$62&gt;35,AI24+AH25-AQ24,IF(A25&lt;'Données projet'!$A$62,$AF$205^A25,IF(A25='Données projet'!$A$62,'Données projet'!$B$62,AI24+AH25-AQ24)))</f>
        <v>174.60000000000002</v>
      </c>
      <c r="AJ25" s="13">
        <f>AI25*VLOOKUP('Données projet'!$B$10,Paramètres!$A$1:$I$89,3,0)*VLOOKUP('Données projet'!$B$10,Paramètres!$A$1:$I$89,5,0)</f>
        <v>77.173200000000023</v>
      </c>
      <c r="AK25" s="13">
        <f t="shared" si="35"/>
        <v>21.444576401945664</v>
      </c>
      <c r="AL25" s="20">
        <f t="shared" si="4"/>
        <v>171.75929390005538</v>
      </c>
      <c r="AM25" s="59">
        <f t="shared" si="5"/>
        <v>455.3148494556109</v>
      </c>
      <c r="AN25" s="59">
        <f ca="1">AVERAGE(OFFSET($AM$3,0,0,'Données projet'!$E$10+1,1))-AVERAGE(OFFSET($H$3,0,0,'Données projet'!$E$10+1,1))</f>
        <v>394.37446333077651</v>
      </c>
      <c r="AO25" s="59">
        <f t="shared" si="36"/>
        <v>335.44327961212963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0.38745530737693618</v>
      </c>
      <c r="AV25" s="21">
        <f>EXP(-LN(2)/25)*AV24+(1-EXP(-LN(2)/25))/(LN(2)/25)*Calculateur!AQ25*Calculateur!AS25*VLOOKUP('Données projet'!$B$10,Paramètres!$A$1:$I$89,3,0)*0.475*44/12</f>
        <v>0.56219798653765962</v>
      </c>
      <c r="AW25" s="21">
        <f>EXP(-LN(2)/2)*AW24+(1-EXP(-LN(2)/2))/(LN(2)/2)*AQ25*AT25*VLOOKUP('Données projet'!$B$10,Paramètres!$A$1:$I$89,3,0)*0.475*44/12</f>
        <v>0.47542434173136311</v>
      </c>
      <c r="AX25" s="21">
        <f t="shared" si="6"/>
        <v>1.4250776356459589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4.5856818181818184</v>
      </c>
      <c r="BD25" s="12">
        <f>IF('Données projet'!$A$88&gt;35,BD24+BC25-BL24,IF(A25&lt;'Données projet'!$A$88,$BA$205^A25,IF(A25='Données projet'!$A$88,'Données projet'!$B$88,BD24+BC25-BL24)))</f>
        <v>100.88500000000005</v>
      </c>
      <c r="BE25" s="13">
        <f>BD25*VLOOKUP('Données projet'!$B$11,Paramètres!$A$1:$I$89,3,0)*VLOOKUP('Données projet'!$B$11,Paramètres!$A$1:$I$89,5,0)</f>
        <v>91.280748000000031</v>
      </c>
      <c r="BF25" s="13">
        <f t="shared" si="37"/>
        <v>24.873856091511385</v>
      </c>
      <c r="BG25" s="20">
        <f t="shared" si="7"/>
        <v>202.30260212604904</v>
      </c>
      <c r="BH25" s="59">
        <f t="shared" si="8"/>
        <v>485.85815768160455</v>
      </c>
      <c r="BI25" s="59">
        <f ca="1">AVERAGE(OFFSET($BH$3,0,0,'Données projet'!$E$11+1,1))-AVERAGE(OFFSET($H$3,0,0,'Données projet'!$E$11+1,1))</f>
        <v>490.06222615476065</v>
      </c>
      <c r="BJ25" s="59">
        <f t="shared" si="38"/>
        <v>310.43914804089906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76.854959999999991</v>
      </c>
      <c r="CA25" s="13">
        <f t="shared" si="39"/>
        <v>21.366419773799993</v>
      </c>
      <c r="CB25" s="20">
        <f t="shared" si="10"/>
        <v>171.06890310603498</v>
      </c>
      <c r="CC25" s="59">
        <f t="shared" si="11"/>
        <v>454.62445866159055</v>
      </c>
      <c r="CD25" s="59">
        <f ca="1">AVERAGE(OFFSET($CC$3,0,0,'Données projet'!$E$12+1,1))-AVERAGE(OFFSET($H$3,0,0,'Données projet'!$E$12+1,1))</f>
        <v>353.37479213497227</v>
      </c>
      <c r="CE25" s="59">
        <f t="shared" si="40"/>
        <v>345.4750813433123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6.9027147180634705</v>
      </c>
      <c r="CM25" s="21">
        <f>EXP(-LN(2)/2)*CM24+(1-EXP(-LN(2)/2))/(LN(2)/2)*CG25*CJ25*VLOOKUP('Données projet'!$B$12,Paramètres!$A$1:$I$89,3,0)*0.475*44/12</f>
        <v>3.8149851648222808</v>
      </c>
      <c r="CN25" s="22">
        <f t="shared" si="12"/>
        <v>10.717699882885752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7.2494000000000005</v>
      </c>
      <c r="CT25" s="12">
        <f>IF('Données projet'!$A$140&gt;35,CT24+CS25-DB24,IF(A25&lt;'Données projet'!$A$140,$CQ$205^A25,IF(A25='Données projet'!$A$140,'Données projet'!$B$140,CT24+CS25-DB24)))</f>
        <v>159.48679999999999</v>
      </c>
      <c r="CU25" s="17">
        <f>CT25*VLOOKUP('Données projet'!$B$13,Paramètres!$A$1:$I$89,3,0)*VLOOKUP('Données projet'!$B$13,Paramètres!$A$1:$I$89,5,0)</f>
        <v>76.713150799999994</v>
      </c>
      <c r="CV25" s="13">
        <f t="shared" si="41"/>
        <v>21.331580697062261</v>
      </c>
      <c r="CW25" s="20">
        <f t="shared" si="13"/>
        <v>170.76124069071673</v>
      </c>
      <c r="CX25" s="59">
        <f t="shared" si="14"/>
        <v>454.31679624627225</v>
      </c>
      <c r="CY25" s="59">
        <f ca="1">AVERAGE(OFFSET($CX$3,0,0,'Données projet'!$E$13+1,1))-AVERAGE(OFFSET($H$3,0,0,'Données projet'!$E$13+1,1))</f>
        <v>314.18760071409162</v>
      </c>
      <c r="CZ25" s="59">
        <f t="shared" si="42"/>
        <v>267.72650645201787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67.441919999999996</v>
      </c>
      <c r="DQ25" s="13">
        <f t="shared" si="43"/>
        <v>19.036826299015036</v>
      </c>
      <c r="DR25" s="20">
        <f t="shared" si="16"/>
        <v>150.61714980411784</v>
      </c>
      <c r="DS25" s="59">
        <f t="shared" si="17"/>
        <v>434.17270535967339</v>
      </c>
      <c r="DT25" s="59">
        <f ca="1">AVERAGE(OFFSET($DS$3,0,0,'Données projet'!$E$14+1,1))-AVERAGE(OFFSET($H$3,0,0,'Données projet'!$E$14+1,1))</f>
        <v>324.86930206492627</v>
      </c>
      <c r="DU25" s="59">
        <f t="shared" si="44"/>
        <v>317.03005098025352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4.9508569768510338</v>
      </c>
      <c r="EC25" s="21">
        <f>EXP(-LN(2)/2)*EC24+(1-EXP(-LN(2)/2))/(LN(2)/2)*DW25*DZ25*VLOOKUP('Données projet'!$B$14,Paramètres!$A$1:$I$89,3,0)*0.475*44/12</f>
        <v>3.1581357615729519</v>
      </c>
      <c r="ED25" s="22">
        <f t="shared" si="18"/>
        <v>8.1089927384239857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189.21</v>
      </c>
      <c r="L26" s="12">
        <f>VLOOKUP(A26,'Données projet'!$A$35:$I$55,9,0)</f>
        <v>17.793333333333333</v>
      </c>
      <c r="M26" s="12">
        <f t="array" ref="M26">INDEX(L:L,MIN(IF(ISNUMBER(L26:L222),ROW(L26:L222),"")))</f>
        <v>17.793333333333333</v>
      </c>
      <c r="N26" s="13">
        <f>IF('Données projet'!$A$36&gt;35,N25+M26-V25,IF(A26&lt;'Données projet'!$A$36,$K$205^A26,IF(A26='Données projet'!$A$36,'Données projet'!$B$36,N25+M26-V25)))</f>
        <v>189.20999999999995</v>
      </c>
      <c r="O26" s="13">
        <f>N26*VLOOKUP('Données projet'!$B$9,Paramètres!$A$1:$I$89,3,0)*VLOOKUP('Données projet'!$B$9,Paramètres!$A$1:$I$89,5,0)</f>
        <v>113.14757999999998</v>
      </c>
      <c r="P26" s="13">
        <f t="shared" si="33"/>
        <v>30.071356907423628</v>
      </c>
      <c r="Q26" s="20">
        <f t="shared" si="2"/>
        <v>249.43964844709606</v>
      </c>
      <c r="R26" s="59">
        <f t="shared" si="0"/>
        <v>534.21742622487386</v>
      </c>
      <c r="S26" s="59">
        <f ca="1">AVERAGE(OFFSET($R$3,0,0,'Données projet'!$E$9+1,1))-AVERAGE(OFFSET($H$3,0,0,'Données projet'!$E$9+1,1))</f>
        <v>302.00825291248458</v>
      </c>
      <c r="T26" s="59">
        <f t="shared" si="34"/>
        <v>307.35115839449355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58.370000000000005</v>
      </c>
      <c r="W26" s="16">
        <f>IF(ISNA(VLOOKUP(A26,'Données projet'!$A$35:$I$55,5,0)),0%,VLOOKUP(A26,'Données projet'!$A$35:$I$55,5,0)*VLOOKUP('Données projet'!$B$9,Paramètres!$A$1:$I$89,7,0))</f>
        <v>0.1125</v>
      </c>
      <c r="X26" s="16">
        <f>IF(ISNA(VLOOKUP(A26,'Données projet'!$A$35:$I$55,6,0)),0%,VLOOKUP(A26,'Données projet'!$A$35:$I$55,6,0)*VLOOKUP('Données projet'!$B$9,Paramètres!$A$1:$I$89,7,0))</f>
        <v>0.16650000000000001</v>
      </c>
      <c r="Y26" s="16">
        <f>IF(ISNA(VLOOKUP(A26,'Données projet'!$A$35:$I$55,7,0)),0%,VLOOKUP(A26,'Données projet'!$A$35:$I$55,7,0))</f>
        <v>0.38</v>
      </c>
      <c r="Z26" s="21">
        <f>EXP(-LN(2)/35)*Z25+(1-EXP(-LN(2)/35))/(LN(2)/35)*V26*W26*VLOOKUP('Données projet'!$B$9,Paramètres!$A$1:$I$89,3,0)*0.475*44/12</f>
        <v>5.2092086876860018</v>
      </c>
      <c r="AA26" s="21">
        <f>EXP(-LN(2)/25)*AA25+(1-EXP(-LN(2)/25))/(LN(2)/25)*Calculateur!V26*Calculateur!X26*VLOOKUP('Données projet'!$B$9,Paramètres!$A$1:$I$89,3,0)*0.475*44/12</f>
        <v>13.878504455144835</v>
      </c>
      <c r="AB26" s="21">
        <f>EXP(-LN(2)/2)*AB25+(1-EXP(-LN(2)/2))/(LN(2)/2)*V26*Y26*VLOOKUP('Données projet'!$B$9,Paramètres!$A$1:$I$89,3,0)*0.475*44/12</f>
        <v>16.760549395416017</v>
      </c>
      <c r="AC26" s="22">
        <f t="shared" si="3"/>
        <v>35.848262538246857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22.8</v>
      </c>
      <c r="AI26" s="13">
        <f>IF('Données projet'!$A$62&gt;35,AI25+AH26-AQ25,IF(A26&lt;'Données projet'!$A$62,$AF$205^A26,IF(A26='Données projet'!$A$62,'Données projet'!$B$62,AI25+AH26-AQ25)))</f>
        <v>197.40000000000003</v>
      </c>
      <c r="AJ26" s="13">
        <f>AI26*VLOOKUP('Données projet'!$B$10,Paramètres!$A$1:$I$89,3,0)*VLOOKUP('Données projet'!$B$10,Paramètres!$A$1:$I$89,5,0)</f>
        <v>87.250800000000027</v>
      </c>
      <c r="AK26" s="13">
        <f t="shared" si="35"/>
        <v>23.900991769585765</v>
      </c>
      <c r="AL26" s="20">
        <f t="shared" si="4"/>
        <v>193.58937066536194</v>
      </c>
      <c r="AM26" s="59">
        <f t="shared" si="5"/>
        <v>478.36714844313974</v>
      </c>
      <c r="AN26" s="59">
        <f ca="1">AVERAGE(OFFSET($AM$3,0,0,'Données projet'!$E$10+1,1))-AVERAGE(OFFSET($H$3,0,0,'Données projet'!$E$10+1,1))</f>
        <v>394.37446333077651</v>
      </c>
      <c r="AO26" s="59">
        <f t="shared" si="36"/>
        <v>335.44327961212963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0.37985754512367687</v>
      </c>
      <c r="AV26" s="21">
        <f>EXP(-LN(2)/25)*AV25+(1-EXP(-LN(2)/25))/(LN(2)/25)*Calculateur!AQ26*Calculateur!AS26*VLOOKUP('Données projet'!$B$10,Paramètres!$A$1:$I$89,3,0)*0.475*44/12</f>
        <v>0.54682465303108008</v>
      </c>
      <c r="AW26" s="21">
        <f>EXP(-LN(2)/2)*AW25+(1-EXP(-LN(2)/2))/(LN(2)/2)*AQ26*AT26*VLOOKUP('Données projet'!$B$10,Paramètres!$A$1:$I$89,3,0)*0.475*44/12</f>
        <v>0.33617577597939741</v>
      </c>
      <c r="AX26" s="21">
        <f t="shared" si="6"/>
        <v>1.2628579741341543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4.5856818181818184</v>
      </c>
      <c r="BD26" s="12">
        <f>IF('Données projet'!$A$88&gt;35,BD25+BC26-BL25,IF(A26&lt;'Données projet'!$A$88,$BA$205^A26,IF(A26='Données projet'!$A$88,'Données projet'!$B$88,BD25+BC26-BL25)))</f>
        <v>105.47068181818187</v>
      </c>
      <c r="BE26" s="13">
        <f>BD26*VLOOKUP('Données projet'!$B$11,Paramètres!$A$1:$I$89,3,0)*VLOOKUP('Données projet'!$B$11,Paramètres!$A$1:$I$89,5,0)</f>
        <v>95.429872909090946</v>
      </c>
      <c r="BF26" s="13">
        <f t="shared" si="37"/>
        <v>25.870281387606134</v>
      </c>
      <c r="BG26" s="20">
        <f t="shared" si="7"/>
        <v>211.26443540008074</v>
      </c>
      <c r="BH26" s="59">
        <f t="shared" si="8"/>
        <v>496.04221317785851</v>
      </c>
      <c r="BI26" s="59">
        <f ca="1">AVERAGE(OFFSET($BH$3,0,0,'Données projet'!$E$11+1,1))-AVERAGE(OFFSET($H$3,0,0,'Données projet'!$E$11+1,1))</f>
        <v>490.06222615476065</v>
      </c>
      <c r="BJ26" s="59">
        <f t="shared" si="38"/>
        <v>310.43914804089906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88.629839999999987</v>
      </c>
      <c r="CA26" s="13">
        <f t="shared" si="39"/>
        <v>24.23448093253452</v>
      </c>
      <c r="CB26" s="20">
        <f t="shared" si="10"/>
        <v>196.57202562416424</v>
      </c>
      <c r="CC26" s="59">
        <f t="shared" si="11"/>
        <v>481.34980340194204</v>
      </c>
      <c r="CD26" s="59">
        <f ca="1">AVERAGE(OFFSET($CC$3,0,0,'Données projet'!$E$12+1,1))-AVERAGE(OFFSET($H$3,0,0,'Données projet'!$E$12+1,1))</f>
        <v>353.37479213497227</v>
      </c>
      <c r="CE26" s="59">
        <f t="shared" si="40"/>
        <v>345.4750813433123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6.7139596211000345</v>
      </c>
      <c r="CM26" s="21">
        <f>EXP(-LN(2)/2)*CM25+(1-EXP(-LN(2)/2))/(LN(2)/2)*CG26*CJ26*VLOOKUP('Données projet'!$B$12,Paramètres!$A$1:$I$89,3,0)*0.475*44/12</f>
        <v>2.6976018801719137</v>
      </c>
      <c r="CN26" s="22">
        <f t="shared" si="12"/>
        <v>9.4115615012719473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7.2494000000000005</v>
      </c>
      <c r="CT26" s="12">
        <f>IF('Données projet'!$A$140&gt;35,CT25+CS26-DB25,IF(A26&lt;'Données projet'!$A$140,$CQ$205^A26,IF(A26='Données projet'!$A$140,'Données projet'!$B$140,CT25+CS26-DB25)))</f>
        <v>166.7362</v>
      </c>
      <c r="CU26" s="17">
        <f>CT26*VLOOKUP('Données projet'!$B$13,Paramètres!$A$1:$I$89,3,0)*VLOOKUP('Données projet'!$B$13,Paramètres!$A$1:$I$89,5,0)</f>
        <v>80.200112200000007</v>
      </c>
      <c r="CV26" s="13">
        <f t="shared" si="41"/>
        <v>22.186105485419997</v>
      </c>
      <c r="CW26" s="20">
        <f t="shared" si="13"/>
        <v>178.32266246877316</v>
      </c>
      <c r="CX26" s="59">
        <f t="shared" si="14"/>
        <v>463.10044024655093</v>
      </c>
      <c r="CY26" s="59">
        <f ca="1">AVERAGE(OFFSET($CX$3,0,0,'Données projet'!$E$13+1,1))-AVERAGE(OFFSET($H$3,0,0,'Données projet'!$E$13+1,1))</f>
        <v>314.18760071409162</v>
      </c>
      <c r="CZ26" s="59">
        <f t="shared" si="42"/>
        <v>267.72650645201787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78.449280000000002</v>
      </c>
      <c r="DQ26" s="13">
        <f t="shared" si="43"/>
        <v>21.757594161482565</v>
      </c>
      <c r="DR26" s="20">
        <f t="shared" si="16"/>
        <v>174.52697249791549</v>
      </c>
      <c r="DS26" s="59">
        <f t="shared" si="17"/>
        <v>459.30475027569327</v>
      </c>
      <c r="DT26" s="59">
        <f ca="1">AVERAGE(OFFSET($DS$3,0,0,'Données projet'!$E$14+1,1))-AVERAGE(OFFSET($H$3,0,0,'Données projet'!$E$14+1,1))</f>
        <v>324.86930206492627</v>
      </c>
      <c r="DU26" s="59">
        <f t="shared" si="44"/>
        <v>317.03005098025352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4.8154755324647889</v>
      </c>
      <c r="EC26" s="21">
        <f>EXP(-LN(2)/2)*EC25+(1-EXP(-LN(2)/2))/(LN(2)/2)*DW26*DZ26*VLOOKUP('Données projet'!$B$14,Paramètres!$A$1:$I$89,3,0)*0.475*44/12</f>
        <v>2.2331392129159759</v>
      </c>
      <c r="ED26" s="22">
        <f t="shared" si="18"/>
        <v>7.0486147453807648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18.678333333333331</v>
      </c>
      <c r="N27" s="13">
        <f>IF('Données projet'!$A$36&gt;35,N26+M27-V26,IF(A27&lt;'Données projet'!$A$36,$K$205^A27,IF(A27='Données projet'!$A$36,'Données projet'!$B$36,N26+M27-V26)))</f>
        <v>149.51833333333329</v>
      </c>
      <c r="O27" s="13">
        <f>N27*VLOOKUP('Données projet'!$B$9,Paramètres!$A$1:$I$89,3,0)*VLOOKUP('Données projet'!$B$9,Paramètres!$A$1:$I$89,5,0)</f>
        <v>89.411963333333304</v>
      </c>
      <c r="P27" s="13">
        <f t="shared" si="33"/>
        <v>24.423350649115033</v>
      </c>
      <c r="Q27" s="20">
        <f t="shared" si="2"/>
        <v>198.2631718527642</v>
      </c>
      <c r="R27" s="59">
        <f t="shared" si="0"/>
        <v>484.26317185276423</v>
      </c>
      <c r="S27" s="59">
        <f ca="1">AVERAGE(OFFSET($R$3,0,0,'Données projet'!$E$9+1,1))-AVERAGE(OFFSET($H$3,0,0,'Données projet'!$E$9+1,1))</f>
        <v>302.00825291248458</v>
      </c>
      <c r="T27" s="59">
        <f t="shared" si="34"/>
        <v>307.35115839449355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5.1070592826240464</v>
      </c>
      <c r="AA27" s="21">
        <f>EXP(-LN(2)/25)*AA26+(1-EXP(-LN(2)/25))/(LN(2)/25)*Calculateur!V27*Calculateur!X27*VLOOKUP('Données projet'!$B$9,Paramètres!$A$1:$I$89,3,0)*0.475*44/12</f>
        <v>13.498996020980069</v>
      </c>
      <c r="AB27" s="21">
        <f>EXP(-LN(2)/2)*AB26+(1-EXP(-LN(2)/2))/(LN(2)/2)*V27*Y27*VLOOKUP('Données projet'!$B$9,Paramètres!$A$1:$I$89,3,0)*0.475*44/12</f>
        <v>11.851498133910756</v>
      </c>
      <c r="AC27" s="22">
        <f t="shared" si="3"/>
        <v>30.457553437514871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22.8</v>
      </c>
      <c r="AI27" s="13">
        <f>IF('Données projet'!$A$62&gt;35,AI26+AH27-AQ26,IF(A27&lt;'Données projet'!$A$62,$AF$205^A27,IF(A27='Données projet'!$A$62,'Données projet'!$B$62,AI26+AH27-AQ26)))</f>
        <v>220.20000000000005</v>
      </c>
      <c r="AJ27" s="13">
        <f>AI27*VLOOKUP('Données projet'!$B$10,Paramètres!$A$1:$I$89,3,0)*VLOOKUP('Données projet'!$B$10,Paramètres!$A$1:$I$89,5,0)</f>
        <v>97.32840000000003</v>
      </c>
      <c r="AK27" s="13">
        <f t="shared" si="35"/>
        <v>26.324526076780696</v>
      </c>
      <c r="AL27" s="20">
        <f t="shared" si="4"/>
        <v>215.36217958372643</v>
      </c>
      <c r="AM27" s="59">
        <f t="shared" si="5"/>
        <v>501.3621795837264</v>
      </c>
      <c r="AN27" s="59">
        <f ca="1">AVERAGE(OFFSET($AM$3,0,0,'Données projet'!$E$10+1,1))-AVERAGE(OFFSET($H$3,0,0,'Données projet'!$E$10+1,1))</f>
        <v>394.37446333077651</v>
      </c>
      <c r="AO27" s="59">
        <f t="shared" si="36"/>
        <v>335.44327961212963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0.37240877035402659</v>
      </c>
      <c r="AV27" s="21">
        <f>EXP(-LN(2)/25)*AV26+(1-EXP(-LN(2)/25))/(LN(2)/25)*Calculateur!AQ27*Calculateur!AS27*VLOOKUP('Données projet'!$B$10,Paramètres!$A$1:$I$89,3,0)*0.475*44/12</f>
        <v>0.53187170413768647</v>
      </c>
      <c r="AW27" s="21">
        <f>EXP(-LN(2)/2)*AW26+(1-EXP(-LN(2)/2))/(LN(2)/2)*AQ27*AT27*VLOOKUP('Données projet'!$B$10,Paramètres!$A$1:$I$89,3,0)*0.475*44/12</f>
        <v>0.23771217086568161</v>
      </c>
      <c r="AX27" s="21">
        <f t="shared" si="6"/>
        <v>1.1419926453573945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4.5856818181818184</v>
      </c>
      <c r="BD27" s="12">
        <f>IF('Données projet'!$A$88&gt;35,BD26+BC27-BL26,IF(A27&lt;'Données projet'!$A$88,$BA$205^A27,IF(A27='Données projet'!$A$88,'Données projet'!$B$88,BD26+BC27-BL26)))</f>
        <v>110.0563636363637</v>
      </c>
      <c r="BE27" s="13">
        <f>BD27*VLOOKUP('Données projet'!$B$11,Paramètres!$A$1:$I$89,3,0)*VLOOKUP('Données projet'!$B$11,Paramètres!$A$1:$I$89,5,0)</f>
        <v>99.578997818181875</v>
      </c>
      <c r="BF27" s="13">
        <f t="shared" si="37"/>
        <v>26.861674970087829</v>
      </c>
      <c r="BG27" s="20">
        <f t="shared" si="7"/>
        <v>220.21750510623642</v>
      </c>
      <c r="BH27" s="59">
        <f t="shared" si="8"/>
        <v>506.21750510623644</v>
      </c>
      <c r="BI27" s="59">
        <f ca="1">AVERAGE(OFFSET($BH$3,0,0,'Données projet'!$E$11+1,1))-AVERAGE(OFFSET($H$3,0,0,'Données projet'!$E$11+1,1))</f>
        <v>490.06222615476065</v>
      </c>
      <c r="BJ27" s="59">
        <f t="shared" si="38"/>
        <v>310.43914804089906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100.40472</v>
      </c>
      <c r="CA27" s="13">
        <f t="shared" si="39"/>
        <v>27.058393830330502</v>
      </c>
      <c r="CB27" s="20">
        <f t="shared" si="10"/>
        <v>221.99825658782561</v>
      </c>
      <c r="CC27" s="59">
        <f t="shared" si="11"/>
        <v>507.99825658782561</v>
      </c>
      <c r="CD27" s="59">
        <f ca="1">AVERAGE(OFFSET($CC$3,0,0,'Données projet'!$E$12+1,1))-AVERAGE(OFFSET($H$3,0,0,'Données projet'!$E$12+1,1))</f>
        <v>353.37479213497227</v>
      </c>
      <c r="CE27" s="59">
        <f t="shared" si="40"/>
        <v>345.4750813433123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6.5303660421892626</v>
      </c>
      <c r="CM27" s="21">
        <f>EXP(-LN(2)/2)*CM26+(1-EXP(-LN(2)/2))/(LN(2)/2)*CG27*CJ27*VLOOKUP('Données projet'!$B$12,Paramètres!$A$1:$I$89,3,0)*0.475*44/12</f>
        <v>1.9074925824111406</v>
      </c>
      <c r="CN27" s="22">
        <f t="shared" si="12"/>
        <v>8.4378586246004037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7.2494000000000005</v>
      </c>
      <c r="CT27" s="12">
        <f>IF('Données projet'!$A$140&gt;35,CT26+CS27-DB26,IF(A27&lt;'Données projet'!$A$140,$CQ$205^A27,IF(A27='Données projet'!$A$140,'Données projet'!$B$140,CT26+CS27-DB26)))</f>
        <v>173.98560000000001</v>
      </c>
      <c r="CU27" s="17">
        <f>CT27*VLOOKUP('Données projet'!$B$13,Paramètres!$A$1:$I$89,3,0)*VLOOKUP('Données projet'!$B$13,Paramètres!$A$1:$I$89,5,0)</f>
        <v>83.687073600000005</v>
      </c>
      <c r="CV27" s="13">
        <f t="shared" si="41"/>
        <v>23.036315124386071</v>
      </c>
      <c r="CW27" s="20">
        <f t="shared" si="13"/>
        <v>185.87656869497241</v>
      </c>
      <c r="CX27" s="59">
        <f t="shared" si="14"/>
        <v>471.87656869497243</v>
      </c>
      <c r="CY27" s="59">
        <f ca="1">AVERAGE(OFFSET($CX$3,0,0,'Données projet'!$E$13+1,1))-AVERAGE(OFFSET($H$3,0,0,'Données projet'!$E$13+1,1))</f>
        <v>314.18760071409162</v>
      </c>
      <c r="CZ27" s="59">
        <f t="shared" si="42"/>
        <v>267.72650645201787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89.456639999999993</v>
      </c>
      <c r="DQ27" s="13">
        <f t="shared" si="43"/>
        <v>24.434133496437113</v>
      </c>
      <c r="DR27" s="20">
        <f t="shared" si="16"/>
        <v>198.35976383962796</v>
      </c>
      <c r="DS27" s="59">
        <f t="shared" si="17"/>
        <v>484.35976383962793</v>
      </c>
      <c r="DT27" s="59">
        <f ca="1">AVERAGE(OFFSET($DS$3,0,0,'Données projet'!$E$14+1,1))-AVERAGE(OFFSET($H$3,0,0,'Données projet'!$E$14+1,1))</f>
        <v>324.86930206492627</v>
      </c>
      <c r="DU27" s="59">
        <f t="shared" si="44"/>
        <v>317.03005098025352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4.6837961007946873</v>
      </c>
      <c r="EC27" s="21">
        <f>EXP(-LN(2)/2)*EC26+(1-EXP(-LN(2)/2))/(LN(2)/2)*DW27*DZ27*VLOOKUP('Données projet'!$B$14,Paramètres!$A$1:$I$89,3,0)*0.475*44/12</f>
        <v>1.579067880786476</v>
      </c>
      <c r="ED27" s="22">
        <f t="shared" si="18"/>
        <v>6.2628639815811633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18.678333333333331</v>
      </c>
      <c r="N28" s="13">
        <f>IF('Données projet'!$A$36&gt;35,N27+M28-V27,IF(A28&lt;'Données projet'!$A$36,$K$205^A28,IF(A28='Données projet'!$A$36,'Données projet'!$B$36,N27+M28-V27)))</f>
        <v>168.19666666666663</v>
      </c>
      <c r="O28" s="13">
        <f>N28*VLOOKUP('Données projet'!$B$9,Paramètres!$A$1:$I$89,3,0)*VLOOKUP('Données projet'!$B$9,Paramètres!$A$1:$I$89,5,0)</f>
        <v>100.58160666666666</v>
      </c>
      <c r="P28" s="13">
        <f t="shared" si="33"/>
        <v>27.100510515925464</v>
      </c>
      <c r="Q28" s="20">
        <f t="shared" si="2"/>
        <v>222.37968742634794</v>
      </c>
      <c r="R28" s="59">
        <f t="shared" si="0"/>
        <v>509.6019096485702</v>
      </c>
      <c r="S28" s="59">
        <f ca="1">AVERAGE(OFFSET($R$3,0,0,'Données projet'!$E$9+1,1))-AVERAGE(OFFSET($H$3,0,0,'Données projet'!$E$9+1,1))</f>
        <v>302.00825291248458</v>
      </c>
      <c r="T28" s="59">
        <f t="shared" si="34"/>
        <v>307.35115839449355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5.006912965090371</v>
      </c>
      <c r="AA28" s="21">
        <f>EXP(-LN(2)/25)*AA27+(1-EXP(-LN(2)/25))/(LN(2)/25)*Calculateur!V28*Calculateur!X28*VLOOKUP('Données projet'!$B$9,Paramètres!$A$1:$I$89,3,0)*0.475*44/12</f>
        <v>13.129865264905021</v>
      </c>
      <c r="AB28" s="21">
        <f>EXP(-LN(2)/2)*AB27+(1-EXP(-LN(2)/2))/(LN(2)/2)*V28*Y28*VLOOKUP('Données projet'!$B$9,Paramètres!$A$1:$I$89,3,0)*0.475*44/12</f>
        <v>8.3802746977080105</v>
      </c>
      <c r="AC28" s="22">
        <f t="shared" si="3"/>
        <v>26.517052927703403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243</v>
      </c>
      <c r="AG28" s="12">
        <f>VLOOKUP(A28,'Données projet'!$A$61:$I$81,9,0)</f>
        <v>22.8</v>
      </c>
      <c r="AH28" s="12">
        <f t="array" ref="AH28">INDEX(AG:AG,MIN(IF(ISNUMBER(AG28:AG224),ROW(AG28:AG224),"")))</f>
        <v>22.8</v>
      </c>
      <c r="AI28" s="13">
        <f>IF('Données projet'!$A$62&gt;35,AI27+AH28-AQ27,IF(A28&lt;'Données projet'!$A$62,$AF$205^A28,IF(A28='Données projet'!$A$62,'Données projet'!$B$62,AI27+AH28-AQ27)))</f>
        <v>243.00000000000006</v>
      </c>
      <c r="AJ28" s="13">
        <f>AI28*VLOOKUP('Données projet'!$B$10,Paramètres!$A$1:$I$89,3,0)*VLOOKUP('Données projet'!$B$10,Paramètres!$A$1:$I$89,5,0)</f>
        <v>107.40600000000003</v>
      </c>
      <c r="AK28" s="13">
        <f t="shared" si="35"/>
        <v>28.718971683040365</v>
      </c>
      <c r="AL28" s="20">
        <f t="shared" si="4"/>
        <v>237.08432568129535</v>
      </c>
      <c r="AM28" s="59">
        <f t="shared" si="5"/>
        <v>524.30654790351764</v>
      </c>
      <c r="AN28" s="59">
        <f ca="1">AVERAGE(OFFSET($AM$3,0,0,'Données projet'!$E$10+1,1))-AVERAGE(OFFSET($H$3,0,0,'Données projet'!$E$10+1,1))</f>
        <v>394.37446333077651</v>
      </c>
      <c r="AO28" s="59">
        <f t="shared" si="36"/>
        <v>335.44327961212963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63</v>
      </c>
      <c r="AR28" s="16">
        <f>IF(ISNA(VLOOKUP(A28,'Données projet'!$A$61:$I$81,5,0)),0%,VLOOKUP(A28,'Données projet'!$A$61:$I$81,5,0)*VLOOKUP('Données projet'!$B$10,Paramètres!$A$1:$I$89,7,0))</f>
        <v>0.13750000000000001</v>
      </c>
      <c r="AS28" s="16">
        <f>IF(ISNA(VLOOKUP(A28,'Données projet'!$A$61:$I$81,6,0)),0%,VLOOKUP(A28,'Données projet'!$A$61:$I$81,6,0)*VLOOKUP('Données projet'!$B$10,Paramètres!$A$1:$I$89,7,0))</f>
        <v>0.20350000000000001</v>
      </c>
      <c r="AT28" s="16">
        <f>IF(ISNA(VLOOKUP(A28,'Données projet'!$A$61:$I$81,7,0)),0%,VLOOKUP(A28,'Données projet'!$A$61:$I$81,7,0))</f>
        <v>0.38</v>
      </c>
      <c r="AU28" s="21">
        <f>EXP(-LN(2)/35)*AU27+(1-EXP(-LN(2)/35))/(LN(2)/35)*AQ28*AR28*VLOOKUP('Données projet'!$B$10,Paramètres!$A$1:$I$89,3,0)*0.475*44/12</f>
        <v>5.4442892126126026</v>
      </c>
      <c r="AV28" s="21">
        <f>EXP(-LN(2)/25)*AV27+(1-EXP(-LN(2)/25))/(LN(2)/25)*Calculateur!AQ28*Calculateur!AS28*VLOOKUP('Données projet'!$B$10,Paramètres!$A$1:$I$89,3,0)*0.475*44/12</f>
        <v>8.0049206625517613</v>
      </c>
      <c r="AW28" s="21">
        <f>EXP(-LN(2)/2)*AW27+(1-EXP(-LN(2)/2))/(LN(2)/2)*AQ28*AT28*VLOOKUP('Données projet'!$B$10,Paramètres!$A$1:$I$89,3,0)*0.475*44/12</f>
        <v>12.148781299620049</v>
      </c>
      <c r="AX28" s="21">
        <f t="shared" si="6"/>
        <v>25.597991174784411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4.5856818181818184</v>
      </c>
      <c r="BD28" s="12">
        <f>IF('Données projet'!$A$88&gt;35,BD27+BC28-BL27,IF(A28&lt;'Données projet'!$A$88,$BA$205^A28,IF(A28='Données projet'!$A$88,'Données projet'!$B$88,BD27+BC28-BL27)))</f>
        <v>114.64204545454552</v>
      </c>
      <c r="BE28" s="13">
        <f>BD28*VLOOKUP('Données projet'!$B$11,Paramètres!$A$1:$I$89,3,0)*VLOOKUP('Données projet'!$B$11,Paramètres!$A$1:$I$89,5,0)</f>
        <v>103.72812272727279</v>
      </c>
      <c r="BF28" s="13">
        <f t="shared" si="37"/>
        <v>27.848270468701784</v>
      </c>
      <c r="BG28" s="20">
        <f t="shared" si="7"/>
        <v>229.16221814965567</v>
      </c>
      <c r="BH28" s="59">
        <f t="shared" si="8"/>
        <v>516.38444037187787</v>
      </c>
      <c r="BI28" s="59">
        <f ca="1">AVERAGE(OFFSET($BH$3,0,0,'Données projet'!$E$11+1,1))-AVERAGE(OFFSET($H$3,0,0,'Données projet'!$E$11+1,1))</f>
        <v>490.06222615476065</v>
      </c>
      <c r="BJ28" s="59">
        <f t="shared" si="38"/>
        <v>310.43914804089906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112.17959999999998</v>
      </c>
      <c r="CA28" s="13">
        <f t="shared" si="39"/>
        <v>29.8439274472838</v>
      </c>
      <c r="CB28" s="20">
        <f t="shared" si="10"/>
        <v>247.35764363735257</v>
      </c>
      <c r="CC28" s="59">
        <f t="shared" si="11"/>
        <v>534.57986585957474</v>
      </c>
      <c r="CD28" s="59">
        <f ca="1">AVERAGE(OFFSET($CC$3,0,0,'Données projet'!$E$12+1,1))-AVERAGE(OFFSET($H$3,0,0,'Données projet'!$E$12+1,1))</f>
        <v>353.37479213497227</v>
      </c>
      <c r="CE28" s="59">
        <f t="shared" si="40"/>
        <v>345.4750813433123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0.13250000000000001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10.414471278753595</v>
      </c>
      <c r="CM28" s="21">
        <f>EXP(-LN(2)/2)*CM27+(1-EXP(-LN(2)/2))/(LN(2)/2)*CG28*CJ28*VLOOKUP('Données projet'!$B$12,Paramètres!$A$1:$I$89,3,0)*0.475*44/12</f>
        <v>7.917163556111368</v>
      </c>
      <c r="CN28" s="22">
        <f t="shared" si="12"/>
        <v>18.331634834864964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7.2494000000000005</v>
      </c>
      <c r="CT28" s="12">
        <f>IF('Données projet'!$A$140&gt;35,CT27+CS28-DB27,IF(A28&lt;'Données projet'!$A$140,$CQ$205^A28,IF(A28='Données projet'!$A$140,'Données projet'!$B$140,CT27+CS28-DB27)))</f>
        <v>181.23500000000001</v>
      </c>
      <c r="CU28" s="17">
        <f>CT28*VLOOKUP('Données projet'!$B$13,Paramètres!$A$1:$I$89,3,0)*VLOOKUP('Données projet'!$B$13,Paramètres!$A$1:$I$89,5,0)</f>
        <v>87.174035000000003</v>
      </c>
      <c r="CV28" s="13">
        <f t="shared" si="41"/>
        <v>23.882409972591919</v>
      </c>
      <c r="CW28" s="20">
        <f t="shared" si="13"/>
        <v>193.42330832726427</v>
      </c>
      <c r="CX28" s="59">
        <f t="shared" si="14"/>
        <v>480.64553054948647</v>
      </c>
      <c r="CY28" s="59">
        <f ca="1">AVERAGE(OFFSET($CX$3,0,0,'Données projet'!$E$13+1,1))-AVERAGE(OFFSET($H$3,0,0,'Données projet'!$E$13+1,1))</f>
        <v>314.18760071409162</v>
      </c>
      <c r="CZ28" s="59">
        <f t="shared" si="42"/>
        <v>267.72650645201787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100.46399999999998</v>
      </c>
      <c r="DQ28" s="13">
        <f t="shared" si="43"/>
        <v>27.072509349827456</v>
      </c>
      <c r="DR28" s="20">
        <f t="shared" si="16"/>
        <v>222.12608711761615</v>
      </c>
      <c r="DS28" s="59">
        <f t="shared" si="17"/>
        <v>509.34830933983835</v>
      </c>
      <c r="DT28" s="59">
        <f ca="1">AVERAGE(OFFSET($DS$3,0,0,'Données projet'!$E$14+1,1))-AVERAGE(OFFSET($H$3,0,0,'Données projet'!$E$14+1,1))</f>
        <v>324.86930206492627</v>
      </c>
      <c r="DU28" s="59">
        <f t="shared" si="44"/>
        <v>317.03005098025352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0.13250000000000001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8.124501647860189</v>
      </c>
      <c r="EC28" s="21">
        <f>EXP(-LN(2)/2)*EC27+(1-EXP(-LN(2)/2))/(LN(2)/2)*DW28*DZ28*VLOOKUP('Données projet'!$B$14,Paramètres!$A$1:$I$89,3,0)*0.475*44/12</f>
        <v>6.8864253946528589</v>
      </c>
      <c r="ED28" s="22">
        <f t="shared" si="18"/>
        <v>15.010927042513048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18.678333333333331</v>
      </c>
      <c r="N29" s="13">
        <f>IF('Données projet'!$A$36&gt;35,N28+M29-V28,IF(A29&lt;'Données projet'!$A$36,$K$205^A29,IF(A29='Données projet'!$A$36,'Données projet'!$B$36,N28+M29-V28)))</f>
        <v>186.87499999999997</v>
      </c>
      <c r="O29" s="13">
        <f>N29*VLOOKUP('Données projet'!$B$9,Paramètres!$A$1:$I$89,3,0)*VLOOKUP('Données projet'!$B$9,Paramètres!$A$1:$I$89,5,0)</f>
        <v>111.75125</v>
      </c>
      <c r="P29" s="13">
        <f t="shared" si="33"/>
        <v>29.743212667393731</v>
      </c>
      <c r="Q29" s="20">
        <f t="shared" si="2"/>
        <v>246.4361891457107</v>
      </c>
      <c r="R29" s="59">
        <f t="shared" si="0"/>
        <v>534.88063359015518</v>
      </c>
      <c r="S29" s="59">
        <f ca="1">AVERAGE(OFFSET($R$3,0,0,'Données projet'!$E$9+1,1))-AVERAGE(OFFSET($H$3,0,0,'Données projet'!$E$9+1,1))</f>
        <v>302.00825291248458</v>
      </c>
      <c r="T29" s="59">
        <f t="shared" si="34"/>
        <v>307.35115839449355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4.908730455760308</v>
      </c>
      <c r="AA29" s="21">
        <f>EXP(-LN(2)/25)*AA28+(1-EXP(-LN(2)/25))/(LN(2)/25)*Calculateur!V29*Calculateur!X29*VLOOKUP('Données projet'!$B$9,Paramètres!$A$1:$I$89,3,0)*0.475*44/12</f>
        <v>12.770828408766588</v>
      </c>
      <c r="AB29" s="21">
        <f>EXP(-LN(2)/2)*AB28+(1-EXP(-LN(2)/2))/(LN(2)/2)*V29*Y29*VLOOKUP('Données projet'!$B$9,Paramètres!$A$1:$I$89,3,0)*0.475*44/12</f>
        <v>5.9257490669553796</v>
      </c>
      <c r="AC29" s="22">
        <f t="shared" si="3"/>
        <v>23.605307931482276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25.6</v>
      </c>
      <c r="AI29" s="13">
        <f>IF('Données projet'!$A$62&gt;35,AI28+AH29-AQ28,IF(A29&lt;'Données projet'!$A$62,$AF$205^A29,IF(A29='Données projet'!$A$62,'Données projet'!$B$62,AI28+AH29-AQ28)))</f>
        <v>205.60000000000008</v>
      </c>
      <c r="AJ29" s="13">
        <f>AI29*VLOOKUP('Données projet'!$B$10,Paramètres!$A$1:$I$89,3,0)*VLOOKUP('Données projet'!$B$10,Paramètres!$A$1:$I$89,5,0)</f>
        <v>90.875200000000049</v>
      </c>
      <c r="AK29" s="13">
        <f t="shared" si="35"/>
        <v>24.776183127439278</v>
      </c>
      <c r="AL29" s="20">
        <f t="shared" si="4"/>
        <v>201.4261589469568</v>
      </c>
      <c r="AM29" s="59">
        <f t="shared" si="5"/>
        <v>489.87060339140123</v>
      </c>
      <c r="AN29" s="59">
        <f ca="1">AVERAGE(OFFSET($AM$3,0,0,'Données projet'!$E$10+1,1))-AVERAGE(OFFSET($H$3,0,0,'Données projet'!$E$10+1,1))</f>
        <v>394.37446333077651</v>
      </c>
      <c r="AO29" s="59">
        <f t="shared" si="36"/>
        <v>335.44327961212963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5.3375300218417987</v>
      </c>
      <c r="AV29" s="21">
        <f>EXP(-LN(2)/25)*AV28+(1-EXP(-LN(2)/25))/(LN(2)/25)*Calculateur!AQ29*Calculateur!AS29*VLOOKUP('Données projet'!$B$10,Paramètres!$A$1:$I$89,3,0)*0.475*44/12</f>
        <v>7.7860256860738009</v>
      </c>
      <c r="AW29" s="21">
        <f>EXP(-LN(2)/2)*AW28+(1-EXP(-LN(2)/2))/(LN(2)/2)*AQ29*AT29*VLOOKUP('Données projet'!$B$10,Paramètres!$A$1:$I$89,3,0)*0.475*44/12</f>
        <v>8.5904856401136556</v>
      </c>
      <c r="AX29" s="21">
        <f t="shared" si="6"/>
        <v>21.714041348029255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4.5856818181818184</v>
      </c>
      <c r="BD29" s="12">
        <f>IF('Données projet'!$A$88&gt;35,BD28+BC29-BL28,IF(A29&lt;'Données projet'!$A$88,$BA$205^A29,IF(A29='Données projet'!$A$88,'Données projet'!$B$88,BD28+BC29-BL28)))</f>
        <v>119.22772727272735</v>
      </c>
      <c r="BE29" s="13">
        <f>BD29*VLOOKUP('Données projet'!$B$11,Paramètres!$A$1:$I$89,3,0)*VLOOKUP('Données projet'!$B$11,Paramètres!$A$1:$I$89,5,0)</f>
        <v>107.87724763636369</v>
      </c>
      <c r="BF29" s="13">
        <f t="shared" si="37"/>
        <v>28.830281764878382</v>
      </c>
      <c r="BG29" s="20">
        <f t="shared" si="7"/>
        <v>238.09894704049665</v>
      </c>
      <c r="BH29" s="59">
        <f t="shared" si="8"/>
        <v>526.54339148494114</v>
      </c>
      <c r="BI29" s="59">
        <f ca="1">AVERAGE(OFFSET($BH$3,0,0,'Données projet'!$E$11+1,1))-AVERAGE(OFFSET($H$3,0,0,'Données projet'!$E$11+1,1))</f>
        <v>490.06222615476065</v>
      </c>
      <c r="BJ29" s="59">
        <f t="shared" si="38"/>
        <v>310.43914804089906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95.631119999999967</v>
      </c>
      <c r="CA29" s="13">
        <f t="shared" si="39"/>
        <v>25.918481589892234</v>
      </c>
      <c r="CB29" s="20">
        <f t="shared" si="10"/>
        <v>211.69888943572892</v>
      </c>
      <c r="CC29" s="59">
        <f t="shared" si="11"/>
        <v>500.14333388017337</v>
      </c>
      <c r="CD29" s="59">
        <f ca="1">AVERAGE(OFFSET($CC$3,0,0,'Données projet'!$E$12+1,1))-AVERAGE(OFFSET($H$3,0,0,'Données projet'!$E$12+1,1))</f>
        <v>353.37479213497227</v>
      </c>
      <c r="CE29" s="59">
        <f t="shared" si="40"/>
        <v>345.4750813433123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10.129687013962837</v>
      </c>
      <c r="CM29" s="21">
        <f>EXP(-LN(2)/2)*CM28+(1-EXP(-LN(2)/2))/(LN(2)/2)*CG29*CJ29*VLOOKUP('Données projet'!$B$12,Paramètres!$A$1:$I$89,3,0)*0.475*44/12</f>
        <v>5.5982800382893503</v>
      </c>
      <c r="CN29" s="22">
        <f t="shared" si="12"/>
        <v>15.727967052252186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7.2494000000000005</v>
      </c>
      <c r="CT29" s="12">
        <f>IF('Données projet'!$A$140&gt;35,CT28+CS29-DB28,IF(A29&lt;'Données projet'!$A$140,$CQ$205^A29,IF(A29='Données projet'!$A$140,'Données projet'!$B$140,CT28+CS29-DB28)))</f>
        <v>188.48440000000002</v>
      </c>
      <c r="CU29" s="17">
        <f>CT29*VLOOKUP('Données projet'!$B$13,Paramètres!$A$1:$I$89,3,0)*VLOOKUP('Données projet'!$B$13,Paramètres!$A$1:$I$89,5,0)</f>
        <v>90.660996400000016</v>
      </c>
      <c r="CV29" s="13">
        <f t="shared" si="41"/>
        <v>24.724573452703357</v>
      </c>
      <c r="CW29" s="20">
        <f t="shared" si="13"/>
        <v>200.96320082679168</v>
      </c>
      <c r="CX29" s="59">
        <f t="shared" si="14"/>
        <v>489.40764527123611</v>
      </c>
      <c r="CY29" s="59">
        <f ca="1">AVERAGE(OFFSET($CX$3,0,0,'Données projet'!$E$13+1,1))-AVERAGE(OFFSET($H$3,0,0,'Données projet'!$E$13+1,1))</f>
        <v>314.18760071409162</v>
      </c>
      <c r="CZ29" s="59">
        <f t="shared" si="42"/>
        <v>267.72650645201787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86.311679999999981</v>
      </c>
      <c r="DQ29" s="13">
        <f t="shared" si="43"/>
        <v>23.673536308765939</v>
      </c>
      <c r="DR29" s="20">
        <f t="shared" si="16"/>
        <v>191.55758507110065</v>
      </c>
      <c r="DS29" s="59">
        <f t="shared" si="17"/>
        <v>480.00202951554513</v>
      </c>
      <c r="DT29" s="59">
        <f ca="1">AVERAGE(OFFSET($DS$3,0,0,'Données projet'!$E$14+1,1))-AVERAGE(OFFSET($H$3,0,0,'Données projet'!$E$14+1,1))</f>
        <v>324.86930206492627</v>
      </c>
      <c r="DU29" s="59">
        <f t="shared" si="44"/>
        <v>317.03005098025352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7.9023367230504791</v>
      </c>
      <c r="EC29" s="21">
        <f>EXP(-LN(2)/2)*EC28+(1-EXP(-LN(2)/2))/(LN(2)/2)*DW29*DZ29*VLOOKUP('Données projet'!$B$14,Paramètres!$A$1:$I$89,3,0)*0.475*44/12</f>
        <v>4.8694380946942832</v>
      </c>
      <c r="ED29" s="22">
        <f t="shared" si="18"/>
        <v>12.771774817744763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18.678333333333331</v>
      </c>
      <c r="N30" s="13">
        <f>IF('Données projet'!$A$36&gt;35,N29+M30-V29,IF(A30&lt;'Données projet'!$A$36,$K$205^A30,IF(A30='Données projet'!$A$36,'Données projet'!$B$36,N29+M30-V29)))</f>
        <v>205.55333333333331</v>
      </c>
      <c r="O30" s="13">
        <f>N30*VLOOKUP('Données projet'!$B$9,Paramètres!$A$1:$I$89,3,0)*VLOOKUP('Données projet'!$B$9,Paramètres!$A$1:$I$89,5,0)</f>
        <v>122.92089333333332</v>
      </c>
      <c r="P30" s="13">
        <f t="shared" si="33"/>
        <v>32.355293246449399</v>
      </c>
      <c r="Q30" s="20">
        <f t="shared" si="2"/>
        <v>270.43935829312153</v>
      </c>
      <c r="R30" s="59">
        <f t="shared" si="0"/>
        <v>560.10602495978821</v>
      </c>
      <c r="S30" s="59">
        <f ca="1">AVERAGE(OFFSET($R$3,0,0,'Données projet'!$E$9+1,1))-AVERAGE(OFFSET($H$3,0,0,'Données projet'!$E$9+1,1))</f>
        <v>302.00825291248458</v>
      </c>
      <c r="T30" s="59">
        <f t="shared" si="34"/>
        <v>307.35115839449355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4.8124732455527903</v>
      </c>
      <c r="AA30" s="21">
        <f>EXP(-LN(2)/25)*AA29+(1-EXP(-LN(2)/25))/(LN(2)/25)*Calculateur!V30*Calculateur!X30*VLOOKUP('Données projet'!$B$9,Paramètres!$A$1:$I$89,3,0)*0.475*44/12</f>
        <v>12.421609434340189</v>
      </c>
      <c r="AB30" s="21">
        <f>EXP(-LN(2)/2)*AB29+(1-EXP(-LN(2)/2))/(LN(2)/2)*V30*Y30*VLOOKUP('Données projet'!$B$9,Paramètres!$A$1:$I$89,3,0)*0.475*44/12</f>
        <v>4.1901373488540061</v>
      </c>
      <c r="AC30" s="22">
        <f t="shared" si="3"/>
        <v>21.424220028746984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25.6</v>
      </c>
      <c r="AI30" s="13">
        <f>IF('Données projet'!$A$62&gt;35,AI29+AH30-AQ29,IF(A30&lt;'Données projet'!$A$62,$AF$205^A30,IF(A30='Données projet'!$A$62,'Données projet'!$B$62,AI29+AH30-AQ29)))</f>
        <v>231.20000000000007</v>
      </c>
      <c r="AJ30" s="13">
        <f>AI30*VLOOKUP('Données projet'!$B$10,Paramètres!$A$1:$I$89,3,0)*VLOOKUP('Données projet'!$B$10,Paramètres!$A$1:$I$89,5,0)</f>
        <v>102.19040000000004</v>
      </c>
      <c r="AK30" s="13">
        <f t="shared" si="35"/>
        <v>27.483170265104413</v>
      </c>
      <c r="AL30" s="20">
        <f t="shared" si="4"/>
        <v>225.84813487839025</v>
      </c>
      <c r="AM30" s="59">
        <f t="shared" si="5"/>
        <v>515.51480154505691</v>
      </c>
      <c r="AN30" s="59">
        <f ca="1">AVERAGE(OFFSET($AM$3,0,0,'Données projet'!$E$10+1,1))-AVERAGE(OFFSET($H$3,0,0,'Données projet'!$E$10+1,1))</f>
        <v>394.37446333077651</v>
      </c>
      <c r="AO30" s="59">
        <f t="shared" si="36"/>
        <v>335.44327961212963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5.232864313685333</v>
      </c>
      <c r="AV30" s="21">
        <f>EXP(-LN(2)/25)*AV29+(1-EXP(-LN(2)/25))/(LN(2)/25)*Calculateur!AQ30*Calculateur!AS30*VLOOKUP('Données projet'!$B$10,Paramètres!$A$1:$I$89,3,0)*0.475*44/12</f>
        <v>7.5731164042388173</v>
      </c>
      <c r="AW30" s="21">
        <f>EXP(-LN(2)/2)*AW29+(1-EXP(-LN(2)/2))/(LN(2)/2)*AQ30*AT30*VLOOKUP('Données projet'!$B$10,Paramètres!$A$1:$I$89,3,0)*0.475*44/12</f>
        <v>6.0743906498100255</v>
      </c>
      <c r="AX30" s="21">
        <f t="shared" si="6"/>
        <v>18.880371367734178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4.5856818181818184</v>
      </c>
      <c r="BD30" s="12">
        <f>IF('Données projet'!$A$88&gt;35,BD29+BC30-BL29,IF(A30&lt;'Données projet'!$A$88,$BA$205^A30,IF(A30='Données projet'!$A$88,'Données projet'!$B$88,BD29+BC30-BL29)))</f>
        <v>123.81340909090918</v>
      </c>
      <c r="BE30" s="13">
        <f>BD30*VLOOKUP('Données projet'!$B$11,Paramètres!$A$1:$I$89,3,0)*VLOOKUP('Données projet'!$B$11,Paramètres!$A$1:$I$89,5,0)</f>
        <v>112.02637254545461</v>
      </c>
      <c r="BF30" s="13">
        <f t="shared" si="37"/>
        <v>29.807905355909242</v>
      </c>
      <c r="BG30" s="20">
        <f t="shared" si="7"/>
        <v>247.02803401154202</v>
      </c>
      <c r="BH30" s="59">
        <f t="shared" si="8"/>
        <v>536.69470067820873</v>
      </c>
      <c r="BI30" s="59">
        <f ca="1">AVERAGE(OFFSET($BH$3,0,0,'Données projet'!$E$11+1,1))-AVERAGE(OFFSET($H$3,0,0,'Données projet'!$E$11+1,1))</f>
        <v>490.06222615476065</v>
      </c>
      <c r="BJ30" s="59">
        <f t="shared" si="38"/>
        <v>310.43914804089906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106.92863999999996</v>
      </c>
      <c r="CA30" s="13">
        <f t="shared" si="39"/>
        <v>28.606159868782917</v>
      </c>
      <c r="CB30" s="20">
        <f t="shared" si="10"/>
        <v>236.05644310479681</v>
      </c>
      <c r="CC30" s="59">
        <f t="shared" si="11"/>
        <v>525.72310977146344</v>
      </c>
      <c r="CD30" s="59">
        <f ca="1">AVERAGE(OFFSET($CC$3,0,0,'Données projet'!$E$12+1,1))-AVERAGE(OFFSET($H$3,0,0,'Données projet'!$E$12+1,1))</f>
        <v>353.37479213497227</v>
      </c>
      <c r="CE30" s="59">
        <f t="shared" si="40"/>
        <v>345.4750813433123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9.8526901898689339</v>
      </c>
      <c r="CM30" s="21">
        <f>EXP(-LN(2)/2)*CM29+(1-EXP(-LN(2)/2))/(LN(2)/2)*CG30*CJ30*VLOOKUP('Données projet'!$B$12,Paramètres!$A$1:$I$89,3,0)*0.475*44/12</f>
        <v>3.9585817780556849</v>
      </c>
      <c r="CN30" s="22">
        <f t="shared" si="12"/>
        <v>13.811271967924618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7.2494000000000005</v>
      </c>
      <c r="CT30" s="12">
        <f>IF('Données projet'!$A$140&gt;35,CT29+CS30-DB29,IF(A30&lt;'Données projet'!$A$140,$CQ$205^A30,IF(A30='Données projet'!$A$140,'Données projet'!$B$140,CT29+CS30-DB29)))</f>
        <v>195.73380000000003</v>
      </c>
      <c r="CU30" s="17">
        <f>CT30*VLOOKUP('Données projet'!$B$13,Paramètres!$A$1:$I$89,3,0)*VLOOKUP('Données projet'!$B$13,Paramètres!$A$1:$I$89,5,0)</f>
        <v>94.147957800000015</v>
      </c>
      <c r="CV30" s="13">
        <f t="shared" si="41"/>
        <v>25.562974078915207</v>
      </c>
      <c r="CW30" s="20">
        <f t="shared" si="13"/>
        <v>208.49653968911068</v>
      </c>
      <c r="CX30" s="59">
        <f t="shared" si="14"/>
        <v>498.16320635577733</v>
      </c>
      <c r="CY30" s="59">
        <f ca="1">AVERAGE(OFFSET($CX$3,0,0,'Données projet'!$E$13+1,1))-AVERAGE(OFFSET($H$3,0,0,'Données projet'!$E$13+1,1))</f>
        <v>314.18760071409162</v>
      </c>
      <c r="CZ30" s="59">
        <f t="shared" si="42"/>
        <v>267.72650645201787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96.620159999999984</v>
      </c>
      <c r="DQ30" s="13">
        <f t="shared" si="43"/>
        <v>26.155193107181663</v>
      </c>
      <c r="DR30" s="20">
        <f t="shared" si="16"/>
        <v>213.83373999500802</v>
      </c>
      <c r="DS30" s="59">
        <f t="shared" si="17"/>
        <v>503.50040666167467</v>
      </c>
      <c r="DT30" s="59">
        <f ca="1">AVERAGE(OFFSET($DS$3,0,0,'Données projet'!$E$14+1,1))-AVERAGE(OFFSET($H$3,0,0,'Données projet'!$E$14+1,1))</f>
        <v>324.86930206492627</v>
      </c>
      <c r="DU30" s="59">
        <f t="shared" si="44"/>
        <v>317.03005098025352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7.6862469097928363</v>
      </c>
      <c r="EC30" s="21">
        <f>EXP(-LN(2)/2)*EC29+(1-EXP(-LN(2)/2))/(LN(2)/2)*DW30*DZ30*VLOOKUP('Données projet'!$B$14,Paramètres!$A$1:$I$89,3,0)*0.475*44/12</f>
        <v>3.4432126973264299</v>
      </c>
      <c r="ED30" s="22">
        <f t="shared" si="18"/>
        <v>11.129459607119266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18.678333333333331</v>
      </c>
      <c r="N31" s="13">
        <f>IF('Données projet'!$A$36&gt;35,N30+M31-V30,IF(A31&lt;'Données projet'!$A$36,$K$205^A31,IF(A31='Données projet'!$A$36,'Données projet'!$B$36,N30+M31-V30)))</f>
        <v>224.23166666666665</v>
      </c>
      <c r="O31" s="13">
        <f>N31*VLOOKUP('Données projet'!$B$9,Paramètres!$A$1:$I$89,3,0)*VLOOKUP('Données projet'!$B$9,Paramètres!$A$1:$I$89,5,0)</f>
        <v>134.09053666666668</v>
      </c>
      <c r="P31" s="13">
        <f t="shared" si="33"/>
        <v>34.93985124057766</v>
      </c>
      <c r="Q31" s="20">
        <f t="shared" si="2"/>
        <v>294.39459227178389</v>
      </c>
      <c r="R31" s="59">
        <f t="shared" si="0"/>
        <v>585.28348116067275</v>
      </c>
      <c r="S31" s="59">
        <f ca="1">AVERAGE(OFFSET($R$3,0,0,'Données projet'!$E$9+1,1))-AVERAGE(OFFSET($H$3,0,0,'Données projet'!$E$9+1,1))</f>
        <v>302.00825291248458</v>
      </c>
      <c r="T31" s="59">
        <f t="shared" si="34"/>
        <v>307.35115839449355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4.7181035805263409</v>
      </c>
      <c r="AA31" s="21">
        <f>EXP(-LN(2)/25)*AA30+(1-EXP(-LN(2)/25))/(LN(2)/25)*Calculateur!V31*Calculateur!X31*VLOOKUP('Données projet'!$B$9,Paramètres!$A$1:$I$89,3,0)*0.475*44/12</f>
        <v>12.081939871134106</v>
      </c>
      <c r="AB31" s="21">
        <f>EXP(-LN(2)/2)*AB30+(1-EXP(-LN(2)/2))/(LN(2)/2)*V31*Y31*VLOOKUP('Données projet'!$B$9,Paramètres!$A$1:$I$89,3,0)*0.475*44/12</f>
        <v>2.9628745334776903</v>
      </c>
      <c r="AC31" s="22">
        <f t="shared" si="3"/>
        <v>19.762917985138138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25.6</v>
      </c>
      <c r="AI31" s="13">
        <f>IF('Données projet'!$A$62&gt;35,AI30+AH31-AQ30,IF(A31&lt;'Données projet'!$A$62,$AF$205^A31,IF(A31='Données projet'!$A$62,'Données projet'!$B$62,AI30+AH31-AQ30)))</f>
        <v>256.80000000000007</v>
      </c>
      <c r="AJ31" s="13">
        <f>AI31*VLOOKUP('Données projet'!$B$10,Paramètres!$A$1:$I$89,3,0)*VLOOKUP('Données projet'!$B$10,Paramètres!$A$1:$I$89,5,0)</f>
        <v>113.50560000000004</v>
      </c>
      <c r="AK31" s="13">
        <f t="shared" si="35"/>
        <v>30.155417192749493</v>
      </c>
      <c r="AL31" s="20">
        <f t="shared" si="4"/>
        <v>250.20960494403877</v>
      </c>
      <c r="AM31" s="59">
        <f t="shared" si="5"/>
        <v>541.0984938329276</v>
      </c>
      <c r="AN31" s="59">
        <f ca="1">AVERAGE(OFFSET($AM$3,0,0,'Données projet'!$E$10+1,1))-AVERAGE(OFFSET($H$3,0,0,'Données projet'!$E$10+1,1))</f>
        <v>394.37446333077651</v>
      </c>
      <c r="AO31" s="59">
        <f t="shared" si="36"/>
        <v>335.44327961212963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5.1302510362260376</v>
      </c>
      <c r="AV31" s="21">
        <f>EXP(-LN(2)/25)*AV30+(1-EXP(-LN(2)/25))/(LN(2)/25)*Calculateur!AQ31*Calculateur!AS31*VLOOKUP('Données projet'!$B$10,Paramètres!$A$1:$I$89,3,0)*0.475*44/12</f>
        <v>7.3660291379120233</v>
      </c>
      <c r="AW31" s="21">
        <f>EXP(-LN(2)/2)*AW30+(1-EXP(-LN(2)/2))/(LN(2)/2)*AQ31*AT31*VLOOKUP('Données projet'!$B$10,Paramètres!$A$1:$I$89,3,0)*0.475*44/12</f>
        <v>4.2952428200568287</v>
      </c>
      <c r="AX31" s="21">
        <f t="shared" si="6"/>
        <v>16.791522994194889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4.5856818181818184</v>
      </c>
      <c r="BD31" s="12">
        <f>IF('Données projet'!$A$88&gt;35,BD30+BC31-BL30,IF(A31&lt;'Données projet'!$A$88,$BA$205^A31,IF(A31='Données projet'!$A$88,'Données projet'!$B$88,BD30+BC31-BL30)))</f>
        <v>128.399090909091</v>
      </c>
      <c r="BE31" s="13">
        <f>BD31*VLOOKUP('Données projet'!$B$11,Paramètres!$A$1:$I$89,3,0)*VLOOKUP('Données projet'!$B$11,Paramètres!$A$1:$I$89,5,0)</f>
        <v>116.17549745454552</v>
      </c>
      <c r="BF31" s="13">
        <f t="shared" si="37"/>
        <v>30.781322359028373</v>
      </c>
      <c r="BG31" s="20">
        <f t="shared" si="7"/>
        <v>255.94979450864125</v>
      </c>
      <c r="BH31" s="59">
        <f t="shared" si="8"/>
        <v>546.83868339753008</v>
      </c>
      <c r="BI31" s="59">
        <f ca="1">AVERAGE(OFFSET($BH$3,0,0,'Données projet'!$E$11+1,1))-AVERAGE(OFFSET($H$3,0,0,'Données projet'!$E$11+1,1))</f>
        <v>490.06222615476065</v>
      </c>
      <c r="BJ31" s="59">
        <f t="shared" si="38"/>
        <v>310.43914804089906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118.22615999999996</v>
      </c>
      <c r="CA31" s="13">
        <f t="shared" si="39"/>
        <v>31.260922342884676</v>
      </c>
      <c r="CB31" s="20">
        <f t="shared" si="10"/>
        <v>260.35666841385739</v>
      </c>
      <c r="CC31" s="59">
        <f t="shared" si="11"/>
        <v>551.24555730274619</v>
      </c>
      <c r="CD31" s="59">
        <f ca="1">AVERAGE(OFFSET($CC$3,0,0,'Données projet'!$E$12+1,1))-AVERAGE(OFFSET($H$3,0,0,'Données projet'!$E$12+1,1))</f>
        <v>353.37479213497227</v>
      </c>
      <c r="CE31" s="59">
        <f t="shared" si="40"/>
        <v>345.4750813433123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9.5832678584965088</v>
      </c>
      <c r="CM31" s="21">
        <f>EXP(-LN(2)/2)*CM30+(1-EXP(-LN(2)/2))/(LN(2)/2)*CG31*CJ31*VLOOKUP('Données projet'!$B$12,Paramètres!$A$1:$I$89,3,0)*0.475*44/12</f>
        <v>2.7991400191446756</v>
      </c>
      <c r="CN31" s="22">
        <f t="shared" si="12"/>
        <v>12.382407877641185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7.2494000000000005</v>
      </c>
      <c r="CT31" s="12">
        <f>IF('Données projet'!$A$140&gt;35,CT30+CS31-DB30,IF(A31&lt;'Données projet'!$A$140,$CQ$205^A31,IF(A31='Données projet'!$A$140,'Données projet'!$B$140,CT30+CS31-DB30)))</f>
        <v>202.98320000000004</v>
      </c>
      <c r="CU31" s="17">
        <f>CT31*VLOOKUP('Données projet'!$B$13,Paramètres!$A$1:$I$89,3,0)*VLOOKUP('Données projet'!$B$13,Paramètres!$A$1:$I$89,5,0)</f>
        <v>97.634919200000027</v>
      </c>
      <c r="CV31" s="13">
        <f t="shared" si="41"/>
        <v>26.397767175632307</v>
      </c>
      <c r="CW31" s="20">
        <f t="shared" si="13"/>
        <v>216.02359543755964</v>
      </c>
      <c r="CX31" s="59">
        <f t="shared" si="14"/>
        <v>506.91248432644852</v>
      </c>
      <c r="CY31" s="59">
        <f ca="1">AVERAGE(OFFSET($CX$3,0,0,'Données projet'!$E$13+1,1))-AVERAGE(OFFSET($H$3,0,0,'Données projet'!$E$13+1,1))</f>
        <v>314.18760071409162</v>
      </c>
      <c r="CZ31" s="59">
        <f t="shared" si="42"/>
        <v>267.72650645201787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106.92863999999997</v>
      </c>
      <c r="DQ31" s="13">
        <f t="shared" si="43"/>
        <v>28.606159868782917</v>
      </c>
      <c r="DR31" s="20">
        <f t="shared" si="16"/>
        <v>236.05644310479684</v>
      </c>
      <c r="DS31" s="59">
        <f t="shared" si="17"/>
        <v>526.94533199368573</v>
      </c>
      <c r="DT31" s="59">
        <f ca="1">AVERAGE(OFFSET($DS$3,0,0,'Données projet'!$E$14+1,1))-AVERAGE(OFFSET($H$3,0,0,'Données projet'!$E$14+1,1))</f>
        <v>324.86930206492627</v>
      </c>
      <c r="DU31" s="59">
        <f t="shared" si="44"/>
        <v>317.03005098025352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7.4760660838423938</v>
      </c>
      <c r="EC31" s="21">
        <f>EXP(-LN(2)/2)*EC30+(1-EXP(-LN(2)/2))/(LN(2)/2)*DW31*DZ31*VLOOKUP('Données projet'!$B$14,Paramètres!$A$1:$I$89,3,0)*0.475*44/12</f>
        <v>2.4347190473471421</v>
      </c>
      <c r="ED31" s="22">
        <f t="shared" si="18"/>
        <v>9.9107851311895363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242.91</v>
      </c>
      <c r="L32" s="12">
        <f>VLOOKUP(A32,'Données projet'!$A$35:$I$55,9,0)</f>
        <v>18.678333333333331</v>
      </c>
      <c r="M32" s="12">
        <f t="array" ref="M32">INDEX(L:L,MIN(IF(ISNUMBER(L32:L228),ROW(L32:L228),"")))</f>
        <v>18.678333333333331</v>
      </c>
      <c r="N32" s="13">
        <f>IF('Données projet'!$A$36&gt;35,N31+M32-V31,IF(A32&lt;'Données projet'!$A$36,$K$205^A32,IF(A32='Données projet'!$A$36,'Données projet'!$B$36,N31+M32-V31)))</f>
        <v>242.91</v>
      </c>
      <c r="O32" s="13">
        <f>N32*VLOOKUP('Données projet'!$B$9,Paramètres!$A$1:$I$89,3,0)*VLOOKUP('Données projet'!$B$9,Paramètres!$A$1:$I$89,5,0)</f>
        <v>145.26018000000002</v>
      </c>
      <c r="P32" s="13">
        <f t="shared" si="33"/>
        <v>37.499439910321911</v>
      </c>
      <c r="Q32" s="20">
        <f t="shared" si="2"/>
        <v>318.30633801047736</v>
      </c>
      <c r="R32" s="59">
        <f t="shared" si="0"/>
        <v>610.41744912158856</v>
      </c>
      <c r="S32" s="59">
        <f ca="1">AVERAGE(OFFSET($R$3,0,0,'Données projet'!$E$9+1,1))-AVERAGE(OFFSET($H$3,0,0,'Données projet'!$E$9+1,1))</f>
        <v>302.00825291248458</v>
      </c>
      <c r="T32" s="59">
        <f t="shared" si="34"/>
        <v>307.35115839449355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54.97</v>
      </c>
      <c r="W32" s="16">
        <f>IF(ISNA(VLOOKUP(A32,'Données projet'!$A$35:$I$55,5,0)),0%,VLOOKUP(A32,'Données projet'!$A$35:$I$55,5,0)*VLOOKUP('Données projet'!$B$9,Paramètres!$A$1:$I$89,7,0))</f>
        <v>0.27</v>
      </c>
      <c r="X32" s="16">
        <f>IF(ISNA(VLOOKUP(A32,'Données projet'!$A$35:$I$55,6,0)),0%,VLOOKUP(A32,'Données projet'!$A$35:$I$55,6,0)*VLOOKUP('Données projet'!$B$9,Paramètres!$A$1:$I$89,7,0))</f>
        <v>9.0000000000000011E-2</v>
      </c>
      <c r="Y32" s="16">
        <f>IF(ISNA(VLOOKUP(A32,'Données projet'!$A$35:$I$55,7,0)),0%,VLOOKUP(A32,'Données projet'!$A$35:$I$55,7,0))</f>
        <v>0.2</v>
      </c>
      <c r="Z32" s="21">
        <f>EXP(-LN(2)/35)*Z31+(1-EXP(-LN(2)/35))/(LN(2)/35)*V32*W32*VLOOKUP('Données projet'!$B$9,Paramètres!$A$1:$I$89,3,0)*0.475*44/12</f>
        <v>16.399449167801741</v>
      </c>
      <c r="AA32" s="21">
        <f>EXP(-LN(2)/25)*AA31+(1-EXP(-LN(2)/25))/(LN(2)/25)*Calculateur!V32*Calculateur!X32*VLOOKUP('Données projet'!$B$9,Paramètres!$A$1:$I$89,3,0)*0.475*44/12</f>
        <v>15.66072743303994</v>
      </c>
      <c r="AB32" s="21">
        <f>EXP(-LN(2)/2)*AB31+(1-EXP(-LN(2)/2))/(LN(2)/2)*V32*Y32*VLOOKUP('Données projet'!$B$9,Paramètres!$A$1:$I$89,3,0)*0.475*44/12</f>
        <v>9.5388302780725702</v>
      </c>
      <c r="AC32" s="22">
        <f t="shared" si="3"/>
        <v>41.599006878914253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25.6</v>
      </c>
      <c r="AI32" s="13">
        <f>IF('Données projet'!$A$62&gt;35,AI31+AH32-AQ31,IF(A32&lt;'Données projet'!$A$62,$AF$205^A32,IF(A32='Données projet'!$A$62,'Données projet'!$B$62,AI31+AH32-AQ31)))</f>
        <v>282.40000000000009</v>
      </c>
      <c r="AJ32" s="13">
        <f>AI32*VLOOKUP('Données projet'!$B$10,Paramètres!$A$1:$I$89,3,0)*VLOOKUP('Données projet'!$B$10,Paramètres!$A$1:$I$89,5,0)</f>
        <v>124.82080000000005</v>
      </c>
      <c r="AK32" s="13">
        <f t="shared" si="35"/>
        <v>32.796781332235874</v>
      </c>
      <c r="AL32" s="20">
        <f t="shared" si="4"/>
        <v>274.51728748697752</v>
      </c>
      <c r="AM32" s="59">
        <f t="shared" si="5"/>
        <v>566.62839859808867</v>
      </c>
      <c r="AN32" s="59">
        <f ca="1">AVERAGE(OFFSET($AM$3,0,0,'Données projet'!$E$10+1,1))-AVERAGE(OFFSET($H$3,0,0,'Données projet'!$E$10+1,1))</f>
        <v>394.37446333077651</v>
      </c>
      <c r="AO32" s="59">
        <f t="shared" si="36"/>
        <v>335.44327961212963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5.0296499425498</v>
      </c>
      <c r="AV32" s="21">
        <f>EXP(-LN(2)/25)*AV31+(1-EXP(-LN(2)/25))/(LN(2)/25)*Calculateur!AQ32*Calculateur!AS32*VLOOKUP('Données projet'!$B$10,Paramètres!$A$1:$I$89,3,0)*0.475*44/12</f>
        <v>7.1646046837731818</v>
      </c>
      <c r="AW32" s="21">
        <f>EXP(-LN(2)/2)*AW31+(1-EXP(-LN(2)/2))/(LN(2)/2)*AQ32*AT32*VLOOKUP('Données projet'!$B$10,Paramètres!$A$1:$I$89,3,0)*0.475*44/12</f>
        <v>3.0371953249050136</v>
      </c>
      <c r="AX32" s="21">
        <f t="shared" si="6"/>
        <v>15.231449951227995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4.5856818181818184</v>
      </c>
      <c r="BD32" s="12">
        <f>IF('Données projet'!$A$88&gt;35,BD31+BC32-BL31,IF(A32&lt;'Données projet'!$A$88,$BA$205^A32,IF(A32='Données projet'!$A$88,'Données projet'!$B$88,BD31+BC32-BL31)))</f>
        <v>132.98477272727283</v>
      </c>
      <c r="BE32" s="13">
        <f>BD32*VLOOKUP('Données projet'!$B$11,Paramètres!$A$1:$I$89,3,0)*VLOOKUP('Données projet'!$B$11,Paramètres!$A$1:$I$89,5,0)</f>
        <v>120.32462236363645</v>
      </c>
      <c r="BF32" s="13">
        <f t="shared" si="37"/>
        <v>31.750700221151241</v>
      </c>
      <c r="BG32" s="20">
        <f t="shared" si="7"/>
        <v>264.86452016850518</v>
      </c>
      <c r="BH32" s="59">
        <f t="shared" si="8"/>
        <v>556.97563127961632</v>
      </c>
      <c r="BI32" s="59">
        <f ca="1">AVERAGE(OFFSET($BH$3,0,0,'Données projet'!$E$11+1,1))-AVERAGE(OFFSET($H$3,0,0,'Données projet'!$E$11+1,1))</f>
        <v>490.06222615476065</v>
      </c>
      <c r="BJ32" s="59">
        <f t="shared" si="38"/>
        <v>310.43914804089906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129.52367999999996</v>
      </c>
      <c r="CA32" s="13">
        <f t="shared" si="39"/>
        <v>33.886272262901727</v>
      </c>
      <c r="CB32" s="20">
        <f t="shared" si="10"/>
        <v>284.60566685788712</v>
      </c>
      <c r="CC32" s="59">
        <f t="shared" si="11"/>
        <v>576.71677796899826</v>
      </c>
      <c r="CD32" s="59">
        <f ca="1">AVERAGE(OFFSET($CC$3,0,0,'Données projet'!$E$12+1,1))-AVERAGE(OFFSET($H$3,0,0,'Données projet'!$E$12+1,1))</f>
        <v>353.37479213497227</v>
      </c>
      <c r="CE32" s="59">
        <f t="shared" si="40"/>
        <v>345.4750813433123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9.321212894943768</v>
      </c>
      <c r="CM32" s="21">
        <f>EXP(-LN(2)/2)*CM31+(1-EXP(-LN(2)/2))/(LN(2)/2)*CG32*CJ32*VLOOKUP('Données projet'!$B$12,Paramètres!$A$1:$I$89,3,0)*0.475*44/12</f>
        <v>1.9792908890278427</v>
      </c>
      <c r="CN32" s="22">
        <f t="shared" si="12"/>
        <v>11.30050378397161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7.2494000000000005</v>
      </c>
      <c r="CT32" s="12">
        <f>IF('Données projet'!$A$140&gt;35,CT31+CS32-DB31,IF(A32&lt;'Données projet'!$A$140,$CQ$205^A32,IF(A32='Données projet'!$A$140,'Données projet'!$B$140,CT31+CS32-DB31)))</f>
        <v>210.23260000000005</v>
      </c>
      <c r="CU32" s="17">
        <f>CT32*VLOOKUP('Données projet'!$B$13,Paramètres!$A$1:$I$89,3,0)*VLOOKUP('Données projet'!$B$13,Paramètres!$A$1:$I$89,5,0)</f>
        <v>101.12188060000003</v>
      </c>
      <c r="CV32" s="13">
        <f t="shared" si="41"/>
        <v>27.229096343725221</v>
      </c>
      <c r="CW32" s="20">
        <f t="shared" si="13"/>
        <v>223.54461817698814</v>
      </c>
      <c r="CX32" s="59">
        <f t="shared" si="14"/>
        <v>515.65572928809934</v>
      </c>
      <c r="CY32" s="59">
        <f ca="1">AVERAGE(OFFSET($CX$3,0,0,'Données projet'!$E$13+1,1))-AVERAGE(OFFSET($H$3,0,0,'Données projet'!$E$13+1,1))</f>
        <v>314.18760071409162</v>
      </c>
      <c r="CZ32" s="59">
        <f t="shared" si="42"/>
        <v>267.72650645201787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117.23711999999999</v>
      </c>
      <c r="DQ32" s="13">
        <f t="shared" si="43"/>
        <v>31.029731926851227</v>
      </c>
      <c r="DR32" s="20">
        <f t="shared" si="16"/>
        <v>258.23143377259919</v>
      </c>
      <c r="DS32" s="59">
        <f t="shared" si="17"/>
        <v>550.34254488371039</v>
      </c>
      <c r="DT32" s="59">
        <f ca="1">AVERAGE(OFFSET($DS$3,0,0,'Données projet'!$E$14+1,1))-AVERAGE(OFFSET($H$3,0,0,'Données projet'!$E$14+1,1))</f>
        <v>324.86930206492627</v>
      </c>
      <c r="DU32" s="59">
        <f t="shared" si="44"/>
        <v>317.03005098025352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7.2716326636304949</v>
      </c>
      <c r="EC32" s="21">
        <f>EXP(-LN(2)/2)*EC31+(1-EXP(-LN(2)/2))/(LN(2)/2)*DW32*DZ32*VLOOKUP('Données projet'!$B$14,Paramètres!$A$1:$I$89,3,0)*0.475*44/12</f>
        <v>1.7216063486632152</v>
      </c>
      <c r="ED32" s="22">
        <f t="shared" si="18"/>
        <v>8.99323901229371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17.804285714285715</v>
      </c>
      <c r="N33" s="13">
        <f>IF('Données projet'!$A$36&gt;35,N32+M33-V32,IF(A33&lt;'Données projet'!$A$36,$K$205^A33,IF(A33='Données projet'!$A$36,'Données projet'!$B$36,N32+M33-V32)))</f>
        <v>205.74428571428572</v>
      </c>
      <c r="O33" s="13">
        <f>N33*VLOOKUP('Données projet'!$B$9,Paramètres!$A$1:$I$89,3,0)*VLOOKUP('Données projet'!$B$9,Paramètres!$A$1:$I$89,5,0)</f>
        <v>123.03508285714287</v>
      </c>
      <c r="P33" s="13">
        <f t="shared" si="33"/>
        <v>32.381850192327164</v>
      </c>
      <c r="Q33" s="20">
        <f t="shared" si="2"/>
        <v>270.68449172782698</v>
      </c>
      <c r="R33" s="59">
        <f t="shared" si="0"/>
        <v>564.01782506116024</v>
      </c>
      <c r="S33" s="59">
        <f ca="1">AVERAGE(OFFSET($R$3,0,0,'Données projet'!$E$9+1,1))-AVERAGE(OFFSET($H$3,0,0,'Données projet'!$E$9+1,1))</f>
        <v>302.00825291248458</v>
      </c>
      <c r="T33" s="59">
        <f t="shared" si="34"/>
        <v>307.35115839449355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16.07786597229746</v>
      </c>
      <c r="AA33" s="21">
        <f>EXP(-LN(2)/25)*AA32+(1-EXP(-LN(2)/25))/(LN(2)/25)*Calculateur!V33*Calculateur!X33*VLOOKUP('Données projet'!$B$9,Paramètres!$A$1:$I$89,3,0)*0.475*44/12</f>
        <v>15.2324840178216</v>
      </c>
      <c r="AB33" s="21">
        <f>EXP(-LN(2)/2)*AB32+(1-EXP(-LN(2)/2))/(LN(2)/2)*V33*Y33*VLOOKUP('Données projet'!$B$9,Paramètres!$A$1:$I$89,3,0)*0.475*44/12</f>
        <v>6.7449715742126752</v>
      </c>
      <c r="AC33" s="22">
        <f t="shared" si="3"/>
        <v>38.055321564331734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308</v>
      </c>
      <c r="AG33" s="12">
        <f>VLOOKUP(A33,'Données projet'!$A$61:$I$81,9,0)</f>
        <v>25.6</v>
      </c>
      <c r="AH33" s="12">
        <f t="array" ref="AH33">INDEX(AG:AG,MIN(IF(ISNUMBER(AG33:AG229),ROW(AG33:AG229),"")))</f>
        <v>25.6</v>
      </c>
      <c r="AI33" s="13">
        <f>IF('Données projet'!$A$62&gt;35,AI32+AH33-AQ32,IF(A33&lt;'Données projet'!$A$62,$AF$205^A33,IF(A33='Données projet'!$A$62,'Données projet'!$B$62,AI32+AH33-AQ32)))</f>
        <v>308.00000000000011</v>
      </c>
      <c r="AJ33" s="13">
        <f>AI33*VLOOKUP('Données projet'!$B$10,Paramètres!$A$1:$I$89,3,0)*VLOOKUP('Données projet'!$B$10,Paramètres!$A$1:$I$89,5,0)</f>
        <v>136.13600000000005</v>
      </c>
      <c r="AK33" s="13">
        <f t="shared" si="35"/>
        <v>35.410380638543309</v>
      </c>
      <c r="AL33" s="20">
        <f t="shared" si="4"/>
        <v>298.776612945463</v>
      </c>
      <c r="AM33" s="59">
        <f t="shared" si="5"/>
        <v>592.10994627879631</v>
      </c>
      <c r="AN33" s="59">
        <f ca="1">AVERAGE(OFFSET($AM$3,0,0,'Données projet'!$E$10+1,1))-AVERAGE(OFFSET($H$3,0,0,'Données projet'!$E$10+1,1))</f>
        <v>394.37446333077651</v>
      </c>
      <c r="AO33" s="59">
        <f t="shared" si="36"/>
        <v>335.44327961212963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63</v>
      </c>
      <c r="AR33" s="16">
        <f>IF(ISNA(VLOOKUP(A33,'Données projet'!$A$61:$I$81,5,0)),0%,VLOOKUP(A33,'Données projet'!$A$61:$I$81,5,0)*VLOOKUP('Données projet'!$B$10,Paramètres!$A$1:$I$89,7,0))</f>
        <v>0.13750000000000001</v>
      </c>
      <c r="AS33" s="16">
        <f>IF(ISNA(VLOOKUP(A33,'Données projet'!$A$61:$I$81,6,0)),0%,VLOOKUP(A33,'Données projet'!$A$61:$I$81,6,0)*VLOOKUP('Données projet'!$B$10,Paramètres!$A$1:$I$89,7,0))</f>
        <v>0.20350000000000001</v>
      </c>
      <c r="AT33" s="16">
        <f>IF(ISNA(VLOOKUP(A33,'Données projet'!$A$61:$I$81,7,0)),0%,VLOOKUP(A33,'Données projet'!$A$61:$I$81,7,0))</f>
        <v>0.38</v>
      </c>
      <c r="AU33" s="21">
        <f>EXP(-LN(2)/35)*AU32+(1-EXP(-LN(2)/35))/(LN(2)/35)*AQ33*AR33*VLOOKUP('Données projet'!$B$10,Paramètres!$A$1:$I$89,3,0)*0.475*44/12</f>
        <v>10.010204726058243</v>
      </c>
      <c r="AV33" s="21">
        <f>EXP(-LN(2)/25)*AV32+(1-EXP(-LN(2)/25))/(LN(2)/25)*Calculateur!AQ33*Calculateur!AS33*VLOOKUP('Données projet'!$B$10,Paramètres!$A$1:$I$89,3,0)*0.475*44/12</f>
        <v>14.456281210058856</v>
      </c>
      <c r="AW33" s="21">
        <f>EXP(-LN(2)/2)*AW32+(1-EXP(-LN(2)/2))/(LN(2)/2)*AQ33*AT33*VLOOKUP('Données projet'!$B$10,Paramètres!$A$1:$I$89,3,0)*0.475*44/12</f>
        <v>14.128314821658766</v>
      </c>
      <c r="AX33" s="21">
        <f t="shared" si="6"/>
        <v>38.594800757775864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4.5856818181818184</v>
      </c>
      <c r="BD33" s="12">
        <f>IF('Données projet'!$A$88&gt;35,BD32+BC33-BL32,IF(A33&lt;'Données projet'!$A$88,$BA$205^A33,IF(A33='Données projet'!$A$88,'Données projet'!$B$88,BD32+BC33-BL32)))</f>
        <v>137.57045454545465</v>
      </c>
      <c r="BE33" s="13">
        <f>BD33*VLOOKUP('Données projet'!$B$11,Paramètres!$A$1:$I$89,3,0)*VLOOKUP('Données projet'!$B$11,Paramètres!$A$1:$I$89,5,0)</f>
        <v>124.47374727272737</v>
      </c>
      <c r="BF33" s="13">
        <f t="shared" si="37"/>
        <v>32.716194186162085</v>
      </c>
      <c r="BG33" s="20">
        <f t="shared" si="7"/>
        <v>273.77248137423243</v>
      </c>
      <c r="BH33" s="59">
        <f t="shared" si="8"/>
        <v>567.10581470756574</v>
      </c>
      <c r="BI33" s="59">
        <f ca="1">AVERAGE(OFFSET($BH$3,0,0,'Données projet'!$E$11+1,1))-AVERAGE(OFFSET($H$3,0,0,'Données projet'!$E$11+1,1))</f>
        <v>490.06222615476065</v>
      </c>
      <c r="BJ33" s="59">
        <f t="shared" si="38"/>
        <v>310.43914804089906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140.82119999999992</v>
      </c>
      <c r="CA33" s="13">
        <f t="shared" si="39"/>
        <v>36.485066799987997</v>
      </c>
      <c r="CB33" s="20">
        <f t="shared" si="10"/>
        <v>308.80841467664561</v>
      </c>
      <c r="CC33" s="59">
        <f t="shared" si="11"/>
        <v>602.14174800997898</v>
      </c>
      <c r="CD33" s="59">
        <f ca="1">AVERAGE(OFFSET($CC$3,0,0,'Données projet'!$E$12+1,1))-AVERAGE(OFFSET($H$3,0,0,'Données projet'!$E$12+1,1))</f>
        <v>353.37479213497227</v>
      </c>
      <c r="CE33" s="59">
        <f t="shared" si="40"/>
        <v>345.4750813433123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0.13250000000000001</v>
      </c>
      <c r="CI33" s="16">
        <f>IF(ISNA(VLOOKUP(A33,'Données projet'!$A$113:$I$133,6,0)),0%,VLOOKUP(A33,'Données projet'!$A$113:$I$133,6,0)*VLOOKUP('Données projet'!$B$12,Paramètres!$A$1:$I$89,7,0))</f>
        <v>0.13250000000000001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4.078737984972876</v>
      </c>
      <c r="CL33" s="21">
        <f>EXP(-LN(2)/25)*CL32+(1-EXP(-LN(2)/25))/(LN(2)/25)*Calculateur!CG33*Calculateur!CI33*VLOOKUP('Données projet'!$B$12,Paramètres!$A$1:$I$89,3,0)*0.475*44/12</f>
        <v>13.129002277555273</v>
      </c>
      <c r="CM33" s="21">
        <f>EXP(-LN(2)/2)*CM32+(1-EXP(-LN(2)/2))/(LN(2)/2)*CG33*CJ33*VLOOKUP('Données projet'!$B$12,Paramètres!$A$1:$I$89,3,0)*0.475*44/12</f>
        <v>7.967932625597749</v>
      </c>
      <c r="CN33" s="22">
        <f t="shared" si="12"/>
        <v>25.175672888125895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7.2494000000000005</v>
      </c>
      <c r="CT33" s="12">
        <f>IF('Données projet'!$A$140&gt;35,CT32+CS33-DB32,IF(A33&lt;'Données projet'!$A$140,$CQ$205^A33,IF(A33='Données projet'!$A$140,'Données projet'!$B$140,CT32+CS33-DB32)))</f>
        <v>217.48200000000006</v>
      </c>
      <c r="CU33" s="17">
        <f>CT33*VLOOKUP('Données projet'!$B$13,Paramètres!$A$1:$I$89,3,0)*VLOOKUP('Données projet'!$B$13,Paramètres!$A$1:$I$89,5,0)</f>
        <v>104.60884200000004</v>
      </c>
      <c r="CV33" s="13">
        <f t="shared" si="41"/>
        <v>28.057094718861919</v>
      </c>
      <c r="CW33" s="20">
        <f t="shared" si="13"/>
        <v>231.05983978535122</v>
      </c>
      <c r="CX33" s="59">
        <f t="shared" si="14"/>
        <v>524.39317311868456</v>
      </c>
      <c r="CY33" s="59">
        <f ca="1">AVERAGE(OFFSET($CX$3,0,0,'Données projet'!$E$13+1,1))-AVERAGE(OFFSET($H$3,0,0,'Données projet'!$E$13+1,1))</f>
        <v>314.18760071409162</v>
      </c>
      <c r="CZ33" s="59">
        <f t="shared" si="42"/>
        <v>267.72650645201787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127.54559999999999</v>
      </c>
      <c r="DQ33" s="13">
        <f t="shared" si="43"/>
        <v>33.428591950384806</v>
      </c>
      <c r="DR33" s="20">
        <f t="shared" si="16"/>
        <v>280.36338431358689</v>
      </c>
      <c r="DS33" s="59">
        <f t="shared" si="17"/>
        <v>573.69671764692021</v>
      </c>
      <c r="DT33" s="59">
        <f ca="1">AVERAGE(OFFSET($DS$3,0,0,'Données projet'!$E$14+1,1))-AVERAGE(OFFSET($H$3,0,0,'Données projet'!$E$14+1,1))</f>
        <v>324.86930206492627</v>
      </c>
      <c r="DU33" s="59">
        <f t="shared" si="44"/>
        <v>317.03005098025352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0.13250000000000001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10.641573683796842</v>
      </c>
      <c r="EC33" s="21">
        <f>EXP(-LN(2)/2)*EC32+(1-EXP(-LN(2)/2))/(LN(2)/2)*DW33*DZ33*VLOOKUP('Données projet'!$B$14,Paramètres!$A$1:$I$89,3,0)*0.475*44/12</f>
        <v>6.9872153118684421</v>
      </c>
      <c r="ED33" s="22">
        <f t="shared" si="18"/>
        <v>17.628788995665285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17.804285714285715</v>
      </c>
      <c r="N34" s="13">
        <f>IF('Données projet'!$A$36&gt;35,N33+M34-V33,IF(A34&lt;'Données projet'!$A$36,$K$205^A34,IF(A34='Données projet'!$A$36,'Données projet'!$B$36,N33+M34-V33)))</f>
        <v>223.54857142857145</v>
      </c>
      <c r="O34" s="13">
        <f>N34*VLOOKUP('Données projet'!$B$9,Paramètres!$A$1:$I$89,3,0)*VLOOKUP('Données projet'!$B$9,Paramètres!$A$1:$I$89,5,0)</f>
        <v>133.68204571428575</v>
      </c>
      <c r="P34" s="13">
        <f t="shared" si="33"/>
        <v>34.84578405456601</v>
      </c>
      <c r="Q34" s="20">
        <f t="shared" si="2"/>
        <v>293.51930351408345</v>
      </c>
      <c r="R34" s="59">
        <f t="shared" si="0"/>
        <v>586.85263684741676</v>
      </c>
      <c r="S34" s="59">
        <f ca="1">AVERAGE(OFFSET($R$3,0,0,'Données projet'!$E$9+1,1))-AVERAGE(OFFSET($H$3,0,0,'Données projet'!$E$9+1,1))</f>
        <v>302.00825291248458</v>
      </c>
      <c r="T34" s="59">
        <f t="shared" si="34"/>
        <v>307.35115839449355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15.762588827110635</v>
      </c>
      <c r="AA34" s="21">
        <f>EXP(-LN(2)/25)*AA33+(1-EXP(-LN(2)/25))/(LN(2)/25)*Calculateur!V34*Calculateur!X34*VLOOKUP('Données projet'!$B$9,Paramètres!$A$1:$I$89,3,0)*0.475*44/12</f>
        <v>14.815950941312748</v>
      </c>
      <c r="AB34" s="21">
        <f>EXP(-LN(2)/2)*AB33+(1-EXP(-LN(2)/2))/(LN(2)/2)*V34*Y34*VLOOKUP('Données projet'!$B$9,Paramètres!$A$1:$I$89,3,0)*0.475*44/12</f>
        <v>4.7694151390362851</v>
      </c>
      <c r="AC34" s="22">
        <f t="shared" si="3"/>
        <v>35.347954907459666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26.2</v>
      </c>
      <c r="AI34" s="13">
        <f>IF('Données projet'!$A$62&gt;35,AI33+AH34-AQ33,IF(A34&lt;'Données projet'!$A$62,$AF$205^A34,IF(A34='Données projet'!$A$62,'Données projet'!$B$62,AI33+AH34-AQ33)))</f>
        <v>271.2000000000001</v>
      </c>
      <c r="AJ34" s="13">
        <f>AI34*VLOOKUP('Données projet'!$B$10,Paramètres!$A$1:$I$89,3,0)*VLOOKUP('Données projet'!$B$10,Paramètres!$A$1:$I$89,5,0)</f>
        <v>119.87040000000006</v>
      </c>
      <c r="AK34" s="13">
        <f t="shared" si="35"/>
        <v>31.644770321679825</v>
      </c>
      <c r="AL34" s="20">
        <f t="shared" si="4"/>
        <v>263.88892164359248</v>
      </c>
      <c r="AM34" s="59">
        <f t="shared" si="5"/>
        <v>557.2222549769258</v>
      </c>
      <c r="AN34" s="59">
        <f ca="1">AVERAGE(OFFSET($AM$3,0,0,'Données projet'!$E$10+1,1))-AVERAGE(OFFSET($H$3,0,0,'Données projet'!$E$10+1,1))</f>
        <v>394.37446333077651</v>
      </c>
      <c r="AO34" s="59">
        <f t="shared" si="36"/>
        <v>335.44327961212963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9.8139107170022442</v>
      </c>
      <c r="AV34" s="21">
        <f>EXP(-LN(2)/25)*AV33+(1-EXP(-LN(2)/25))/(LN(2)/25)*Calculateur!AQ34*Calculateur!AS34*VLOOKUP('Données projet'!$B$10,Paramètres!$A$1:$I$89,3,0)*0.475*44/12</f>
        <v>14.060973440147007</v>
      </c>
      <c r="AW34" s="21">
        <f>EXP(-LN(2)/2)*AW33+(1-EXP(-LN(2)/2))/(LN(2)/2)*AQ34*AT34*VLOOKUP('Données projet'!$B$10,Paramètres!$A$1:$I$89,3,0)*0.475*44/12</f>
        <v>9.990227217133322</v>
      </c>
      <c r="AX34" s="21">
        <f t="shared" si="6"/>
        <v>33.865111374282577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4.5856818181818184</v>
      </c>
      <c r="BD34" s="12">
        <f>IF('Données projet'!$A$88&gt;35,BD33+BC34-BL33,IF(A34&lt;'Données projet'!$A$88,$BA$205^A34,IF(A34='Données projet'!$A$88,'Données projet'!$B$88,BD33+BC34-BL33)))</f>
        <v>142.15613636363648</v>
      </c>
      <c r="BE34" s="13">
        <f>BD34*VLOOKUP('Données projet'!$B$11,Paramètres!$A$1:$I$89,3,0)*VLOOKUP('Données projet'!$B$11,Paramètres!$A$1:$I$89,5,0)</f>
        <v>128.62287218181828</v>
      </c>
      <c r="BF34" s="13">
        <f t="shared" si="37"/>
        <v>33.67794856106724</v>
      </c>
      <c r="BG34" s="20">
        <f t="shared" si="7"/>
        <v>282.67392946052559</v>
      </c>
      <c r="BH34" s="59">
        <f t="shared" si="8"/>
        <v>576.0072627938589</v>
      </c>
      <c r="BI34" s="59">
        <f ca="1">AVERAGE(OFFSET($BH$3,0,0,'Données projet'!$E$11+1,1))-AVERAGE(OFFSET($H$3,0,0,'Données projet'!$E$11+1,1))</f>
        <v>490.06222615476065</v>
      </c>
      <c r="BJ34" s="59">
        <f t="shared" si="38"/>
        <v>310.43914804089906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123.15887999999995</v>
      </c>
      <c r="CA34" s="13">
        <f t="shared" si="39"/>
        <v>32.410638331814873</v>
      </c>
      <c r="CB34" s="20">
        <f t="shared" si="10"/>
        <v>270.95024442791083</v>
      </c>
      <c r="CC34" s="59">
        <f t="shared" si="11"/>
        <v>564.28357776124415</v>
      </c>
      <c r="CD34" s="59">
        <f ca="1">AVERAGE(OFFSET($CC$3,0,0,'Données projet'!$E$12+1,1))-AVERAGE(OFFSET($H$3,0,0,'Données projet'!$E$12+1,1))</f>
        <v>353.37479213497227</v>
      </c>
      <c r="CE34" s="59">
        <f t="shared" si="40"/>
        <v>345.4750813433123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3.9987564208720805</v>
      </c>
      <c r="CL34" s="21">
        <f>EXP(-LN(2)/25)*CL33+(1-EXP(-LN(2)/25))/(LN(2)/25)*Calculateur!CG34*Calculateur!CI34*VLOOKUP('Données projet'!$B$12,Paramètres!$A$1:$I$89,3,0)*0.475*44/12</f>
        <v>12.7699890198513</v>
      </c>
      <c r="CM34" s="21">
        <f>EXP(-LN(2)/2)*CM33+(1-EXP(-LN(2)/2))/(LN(2)/2)*CG34*CJ34*VLOOKUP('Données projet'!$B$12,Paramètres!$A$1:$I$89,3,0)*0.475*44/12</f>
        <v>5.6341791915977009</v>
      </c>
      <c r="CN34" s="22">
        <f t="shared" si="12"/>
        <v>22.402924632321081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7.2494000000000005</v>
      </c>
      <c r="CT34" s="12">
        <f>IF('Données projet'!$A$140&gt;35,CT33+CS34-DB33,IF(A34&lt;'Données projet'!$A$140,$CQ$205^A34,IF(A34='Données projet'!$A$140,'Données projet'!$B$140,CT33+CS34-DB33)))</f>
        <v>224.73140000000006</v>
      </c>
      <c r="CU34" s="17">
        <f>CT34*VLOOKUP('Données projet'!$B$13,Paramètres!$A$1:$I$89,3,0)*VLOOKUP('Données projet'!$B$13,Paramètres!$A$1:$I$89,5,0)</f>
        <v>108.09580340000004</v>
      </c>
      <c r="CV34" s="13">
        <f t="shared" si="41"/>
        <v>28.881886057348563</v>
      </c>
      <c r="CW34" s="20">
        <f t="shared" si="13"/>
        <v>238.5694758048821</v>
      </c>
      <c r="CX34" s="59">
        <f t="shared" si="14"/>
        <v>531.90280913821539</v>
      </c>
      <c r="CY34" s="59">
        <f ca="1">AVERAGE(OFFSET($CX$3,0,0,'Données projet'!$E$13+1,1))-AVERAGE(OFFSET($H$3,0,0,'Données projet'!$E$13+1,1))</f>
        <v>314.18760071409162</v>
      </c>
      <c r="CZ34" s="59">
        <f t="shared" si="42"/>
        <v>267.72650645201787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112.51968000000001</v>
      </c>
      <c r="DQ34" s="13">
        <f t="shared" si="43"/>
        <v>29.923856072189899</v>
      </c>
      <c r="DR34" s="20">
        <f t="shared" si="16"/>
        <v>248.08915865906408</v>
      </c>
      <c r="DS34" s="59">
        <f t="shared" si="17"/>
        <v>541.42249199239745</v>
      </c>
      <c r="DT34" s="59">
        <f ca="1">AVERAGE(OFFSET($DS$3,0,0,'Données projet'!$E$14+1,1))-AVERAGE(OFFSET($H$3,0,0,'Données projet'!$E$14+1,1))</f>
        <v>324.86930206492627</v>
      </c>
      <c r="DU34" s="59">
        <f t="shared" si="44"/>
        <v>317.03005098025352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10.350579291797379</v>
      </c>
      <c r="EC34" s="21">
        <f>EXP(-LN(2)/2)*EC33+(1-EXP(-LN(2)/2))/(LN(2)/2)*DW34*DZ34*VLOOKUP('Données projet'!$B$14,Paramètres!$A$1:$I$89,3,0)*0.475*44/12</f>
        <v>4.9407073286326533</v>
      </c>
      <c r="ED34" s="22">
        <f t="shared" si="18"/>
        <v>15.291286620430032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17.804285714285715</v>
      </c>
      <c r="N35" s="13">
        <f>IF('Données projet'!$A$36&gt;35,N34+M35-V34,IF(A35&lt;'Données projet'!$A$36,$K$205^A35,IF(A35='Données projet'!$A$36,'Données projet'!$B$36,N34+M35-V34)))</f>
        <v>241.35285714285718</v>
      </c>
      <c r="O35" s="13">
        <f>N35*VLOOKUP('Données projet'!$B$9,Paramètres!$A$1:$I$89,3,0)*VLOOKUP('Données projet'!$B$9,Paramètres!$A$1:$I$89,5,0)</f>
        <v>144.3290085714286</v>
      </c>
      <c r="P35" s="13">
        <f t="shared" si="33"/>
        <v>37.286956054873187</v>
      </c>
      <c r="Q35" s="20">
        <f t="shared" ref="Q35:Q66" si="53">(O35+P35)*0.475*44/12</f>
        <v>316.31447172414227</v>
      </c>
      <c r="R35" s="59">
        <f t="shared" si="0"/>
        <v>609.64780505747558</v>
      </c>
      <c r="S35" s="59">
        <f ca="1">AVERAGE(OFFSET($R$3,0,0,'Données projet'!$E$9+1,1))-AVERAGE(OFFSET($H$3,0,0,'Données projet'!$E$9+1,1))</f>
        <v>302.00825291248458</v>
      </c>
      <c r="T35" s="59">
        <f t="shared" si="34"/>
        <v>307.35115839449355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15.453494074440854</v>
      </c>
      <c r="AA35" s="21">
        <f>EXP(-LN(2)/25)*AA34+(1-EXP(-LN(2)/25))/(LN(2)/25)*Calculateur!V35*Calculateur!X35*VLOOKUP('Données projet'!$B$9,Paramètres!$A$1:$I$89,3,0)*0.475*44/12</f>
        <v>14.410807983685553</v>
      </c>
      <c r="AB35" s="21">
        <f>EXP(-LN(2)/2)*AB34+(1-EXP(-LN(2)/2))/(LN(2)/2)*V35*Y35*VLOOKUP('Données projet'!$B$9,Paramètres!$A$1:$I$89,3,0)*0.475*44/12</f>
        <v>3.3724857871063376</v>
      </c>
      <c r="AC35" s="22">
        <f t="shared" si="3"/>
        <v>33.23678784523274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26.2</v>
      </c>
      <c r="AI35" s="13">
        <f>IF('Données projet'!$A$62&gt;35,AI34+AH35-AQ34,IF(A35&lt;'Données projet'!$A$62,$AF$205^A35,IF(A35='Données projet'!$A$62,'Données projet'!$B$62,AI34+AH35-AQ34)))</f>
        <v>297.40000000000009</v>
      </c>
      <c r="AJ35" s="13">
        <f>AI35*VLOOKUP('Données projet'!$B$10,Paramètres!$A$1:$I$89,3,0)*VLOOKUP('Données projet'!$B$10,Paramètres!$A$1:$I$89,5,0)</f>
        <v>131.45080000000007</v>
      </c>
      <c r="AK35" s="13">
        <f t="shared" si="35"/>
        <v>34.331379774150925</v>
      </c>
      <c r="AL35" s="20">
        <f t="shared" si="4"/>
        <v>288.73729643997962</v>
      </c>
      <c r="AM35" s="59">
        <f t="shared" si="5"/>
        <v>582.07062977331293</v>
      </c>
      <c r="AN35" s="59">
        <f ca="1">AVERAGE(OFFSET($AM$3,0,0,'Données projet'!$E$10+1,1))-AVERAGE(OFFSET($H$3,0,0,'Données projet'!$E$10+1,1))</f>
        <v>394.37446333077651</v>
      </c>
      <c r="AO35" s="59">
        <f t="shared" si="36"/>
        <v>335.44327961212963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9.6214659137363103</v>
      </c>
      <c r="AV35" s="21">
        <f>EXP(-LN(2)/25)*AV34+(1-EXP(-LN(2)/25))/(LN(2)/25)*Calculateur!AQ35*Calculateur!AS35*VLOOKUP('Données projet'!$B$10,Paramètres!$A$1:$I$89,3,0)*0.475*44/12</f>
        <v>13.676475381991731</v>
      </c>
      <c r="AW35" s="21">
        <f>EXP(-LN(2)/2)*AW34+(1-EXP(-LN(2)/2))/(LN(2)/2)*AQ35*AT35*VLOOKUP('Données projet'!$B$10,Paramètres!$A$1:$I$89,3,0)*0.475*44/12</f>
        <v>7.0641574108293836</v>
      </c>
      <c r="AX35" s="21">
        <f t="shared" si="6"/>
        <v>30.362098706557425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4.5856818181818184</v>
      </c>
      <c r="BD35" s="12">
        <f>IF('Données projet'!$A$88&gt;35,BD34+BC35-BL34,IF(A35&lt;'Données projet'!$A$88,$BA$205^A35,IF(A35='Données projet'!$A$88,'Données projet'!$B$88,BD34+BC35-BL34)))</f>
        <v>146.7418181818183</v>
      </c>
      <c r="BE35" s="13">
        <f>BD35*VLOOKUP('Données projet'!$B$11,Paramètres!$A$1:$I$89,3,0)*VLOOKUP('Données projet'!$B$11,Paramètres!$A$1:$I$89,5,0)</f>
        <v>132.7719970909092</v>
      </c>
      <c r="BF35" s="13">
        <f t="shared" si="37"/>
        <v>34.636097814184424</v>
      </c>
      <c r="BG35" s="20">
        <f t="shared" si="7"/>
        <v>291.56909862637139</v>
      </c>
      <c r="BH35" s="59">
        <f t="shared" si="8"/>
        <v>584.9024319597047</v>
      </c>
      <c r="BI35" s="59">
        <f ca="1">AVERAGE(OFFSET($BH$3,0,0,'Données projet'!$E$11+1,1))-AVERAGE(OFFSET($H$3,0,0,'Données projet'!$E$11+1,1))</f>
        <v>490.06222615476065</v>
      </c>
      <c r="BJ35" s="59">
        <f t="shared" si="38"/>
        <v>310.43914804089906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133.34255999999996</v>
      </c>
      <c r="CA35" s="13">
        <f t="shared" si="39"/>
        <v>34.767581918978188</v>
      </c>
      <c r="CB35" s="20">
        <f t="shared" si="10"/>
        <v>292.7918305088869</v>
      </c>
      <c r="CC35" s="59">
        <f t="shared" si="11"/>
        <v>586.12516384222022</v>
      </c>
      <c r="CD35" s="59">
        <f ca="1">AVERAGE(OFFSET($CC$3,0,0,'Données projet'!$E$12+1,1))-AVERAGE(OFFSET($H$3,0,0,'Données projet'!$E$12+1,1))</f>
        <v>353.37479213497227</v>
      </c>
      <c r="CE35" s="59">
        <f t="shared" si="40"/>
        <v>345.4750813433123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3.9203432464593644</v>
      </c>
      <c r="CL35" s="21">
        <f>EXP(-LN(2)/25)*CL34+(1-EXP(-LN(2)/25))/(LN(2)/25)*Calculateur!CG35*Calculateur!CI35*VLOOKUP('Données projet'!$B$12,Paramètres!$A$1:$I$89,3,0)*0.475*44/12</f>
        <v>12.42079299855893</v>
      </c>
      <c r="CM35" s="21">
        <f>EXP(-LN(2)/2)*CM34+(1-EXP(-LN(2)/2))/(LN(2)/2)*CG35*CJ35*VLOOKUP('Données projet'!$B$12,Paramètres!$A$1:$I$89,3,0)*0.475*44/12</f>
        <v>3.9839663127988749</v>
      </c>
      <c r="CN35" s="22">
        <f t="shared" si="12"/>
        <v>20.325102557817168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7.2494000000000005</v>
      </c>
      <c r="CT35" s="12">
        <f>IF('Données projet'!$A$140&gt;35,CT34+CS35-DB34,IF(A35&lt;'Données projet'!$A$140,$CQ$205^A35,IF(A35='Données projet'!$A$140,'Données projet'!$B$140,CT34+CS35-DB34)))</f>
        <v>231.98080000000007</v>
      </c>
      <c r="CU35" s="17">
        <f>CT35*VLOOKUP('Données projet'!$B$13,Paramètres!$A$1:$I$89,3,0)*VLOOKUP('Données projet'!$B$13,Paramètres!$A$1:$I$89,5,0)</f>
        <v>111.58276480000004</v>
      </c>
      <c r="CV35" s="13">
        <f t="shared" si="41"/>
        <v>29.703585677926267</v>
      </c>
      <c r="CW35" s="20">
        <f t="shared" si="13"/>
        <v>246.07372708238827</v>
      </c>
      <c r="CX35" s="59">
        <f t="shared" si="14"/>
        <v>539.40706041572162</v>
      </c>
      <c r="CY35" s="59">
        <f ca="1">AVERAGE(OFFSET($CX$3,0,0,'Données projet'!$E$13+1,1))-AVERAGE(OFFSET($H$3,0,0,'Données projet'!$E$13+1,1))</f>
        <v>314.18760071409162</v>
      </c>
      <c r="CZ35" s="59">
        <f t="shared" si="42"/>
        <v>267.72650645201787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121.95456</v>
      </c>
      <c r="DQ35" s="13">
        <f t="shared" si="43"/>
        <v>32.130438767300902</v>
      </c>
      <c r="DR35" s="20">
        <f t="shared" si="16"/>
        <v>268.36470618638242</v>
      </c>
      <c r="DS35" s="59">
        <f t="shared" si="17"/>
        <v>561.69803951971573</v>
      </c>
      <c r="DT35" s="59">
        <f ca="1">AVERAGE(OFFSET($DS$3,0,0,'Données projet'!$E$14+1,1))-AVERAGE(OFFSET($H$3,0,0,'Données projet'!$E$14+1,1))</f>
        <v>324.86930206492627</v>
      </c>
      <c r="DU35" s="59">
        <f t="shared" si="44"/>
        <v>317.03005098025352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10.067542156749871</v>
      </c>
      <c r="EC35" s="21">
        <f>EXP(-LN(2)/2)*EC34+(1-EXP(-LN(2)/2))/(LN(2)/2)*DW35*DZ35*VLOOKUP('Données projet'!$B$14,Paramètres!$A$1:$I$89,3,0)*0.475*44/12</f>
        <v>3.4936076559342215</v>
      </c>
      <c r="ED35" s="22">
        <f t="shared" si="18"/>
        <v>13.561149812684093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17.804285714285715</v>
      </c>
      <c r="N36" s="13">
        <f>IF('Données projet'!$A$36&gt;35,N35+M36-V35,IF(A36&lt;'Données projet'!$A$36,$K$205^A36,IF(A36='Données projet'!$A$36,'Données projet'!$B$36,N35+M36-V35)))</f>
        <v>259.1571428571429</v>
      </c>
      <c r="O36" s="13">
        <f>N36*VLOOKUP('Données projet'!$B$9,Paramètres!$A$1:$I$89,3,0)*VLOOKUP('Données projet'!$B$9,Paramètres!$A$1:$I$89,5,0)</f>
        <v>154.97597142857146</v>
      </c>
      <c r="P36" s="13">
        <f t="shared" si="33"/>
        <v>39.70723624796571</v>
      </c>
      <c r="Q36" s="20">
        <f t="shared" si="53"/>
        <v>339.07325336996888</v>
      </c>
      <c r="R36" s="59">
        <f t="shared" si="0"/>
        <v>632.4065867033022</v>
      </c>
      <c r="S36" s="59">
        <f ca="1">AVERAGE(OFFSET($R$3,0,0,'Données projet'!$E$9+1,1))-AVERAGE(OFFSET($H$3,0,0,'Données projet'!$E$9+1,1))</f>
        <v>302.00825291248458</v>
      </c>
      <c r="T36" s="59">
        <f t="shared" si="34"/>
        <v>307.35115839449355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15.150460481341744</v>
      </c>
      <c r="AA36" s="21">
        <f>EXP(-LN(2)/25)*AA35+(1-EXP(-LN(2)/25))/(LN(2)/25)*Calculateur!V36*Calculateur!X36*VLOOKUP('Données projet'!$B$9,Paramètres!$A$1:$I$89,3,0)*0.475*44/12</f>
        <v>14.016743681540216</v>
      </c>
      <c r="AB36" s="21">
        <f>EXP(-LN(2)/2)*AB35+(1-EXP(-LN(2)/2))/(LN(2)/2)*V36*Y36*VLOOKUP('Données projet'!$B$9,Paramètres!$A$1:$I$89,3,0)*0.475*44/12</f>
        <v>2.3847075695181426</v>
      </c>
      <c r="AC36" s="22">
        <f t="shared" si="3"/>
        <v>31.5519117324001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26.2</v>
      </c>
      <c r="AI36" s="13">
        <f>IF('Données projet'!$A$62&gt;35,AI35+AH36-AQ35,IF(A36&lt;'Données projet'!$A$62,$AF$205^A36,IF(A36='Données projet'!$A$62,'Données projet'!$B$62,AI35+AH36-AQ35)))</f>
        <v>323.60000000000008</v>
      </c>
      <c r="AJ36" s="13">
        <f>AI36*VLOOKUP('Données projet'!$B$10,Paramètres!$A$1:$I$89,3,0)*VLOOKUP('Données projet'!$B$10,Paramètres!$A$1:$I$89,5,0)</f>
        <v>143.03120000000004</v>
      </c>
      <c r="AK36" s="13">
        <f t="shared" si="35"/>
        <v>36.990542790794571</v>
      </c>
      <c r="AL36" s="20">
        <f t="shared" si="4"/>
        <v>313.53786869396725</v>
      </c>
      <c r="AM36" s="59">
        <f t="shared" si="5"/>
        <v>606.87120202730057</v>
      </c>
      <c r="AN36" s="59">
        <f ca="1">AVERAGE(OFFSET($AM$3,0,0,'Données projet'!$E$10+1,1))-AVERAGE(OFFSET($H$3,0,0,'Données projet'!$E$10+1,1))</f>
        <v>394.37446333077651</v>
      </c>
      <c r="AO36" s="59">
        <f t="shared" si="36"/>
        <v>335.44327961212963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9.4327948356826816</v>
      </c>
      <c r="AV36" s="21">
        <f>EXP(-LN(2)/25)*AV35+(1-EXP(-LN(2)/25))/(LN(2)/25)*Calculateur!AQ36*Calculateur!AS36*VLOOKUP('Données projet'!$B$10,Paramètres!$A$1:$I$89,3,0)*0.475*44/12</f>
        <v>13.302491443456585</v>
      </c>
      <c r="AW36" s="21">
        <f>EXP(-LN(2)/2)*AW35+(1-EXP(-LN(2)/2))/(LN(2)/2)*AQ36*AT36*VLOOKUP('Données projet'!$B$10,Paramètres!$A$1:$I$89,3,0)*0.475*44/12</f>
        <v>4.9951136085666619</v>
      </c>
      <c r="AX36" s="21">
        <f t="shared" si="6"/>
        <v>27.730399887705929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4.5856818181818184</v>
      </c>
      <c r="BD36" s="12">
        <f>IF('Données projet'!$A$88&gt;35,BD35+BC36-BL35,IF(A36&lt;'Données projet'!$A$88,$BA$205^A36,IF(A36='Données projet'!$A$88,'Données projet'!$B$88,BD35+BC36-BL35)))</f>
        <v>151.32750000000013</v>
      </c>
      <c r="BE36" s="13">
        <f>BD36*VLOOKUP('Données projet'!$B$11,Paramètres!$A$1:$I$89,3,0)*VLOOKUP('Données projet'!$B$11,Paramètres!$A$1:$I$89,5,0)</f>
        <v>136.92112200000011</v>
      </c>
      <c r="BF36" s="13">
        <f t="shared" si="37"/>
        <v>35.5907675322022</v>
      </c>
      <c r="BG36" s="20">
        <f t="shared" si="7"/>
        <v>300.45820760191901</v>
      </c>
      <c r="BH36" s="59">
        <f t="shared" si="8"/>
        <v>593.79154093525233</v>
      </c>
      <c r="BI36" s="59">
        <f ca="1">AVERAGE(OFFSET($BH$3,0,0,'Données projet'!$E$11+1,1))-AVERAGE(OFFSET($H$3,0,0,'Données projet'!$E$11+1,1))</f>
        <v>490.06222615476065</v>
      </c>
      <c r="BJ36" s="59">
        <f t="shared" si="38"/>
        <v>310.43914804089906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143.52623999999997</v>
      </c>
      <c r="CA36" s="13">
        <f t="shared" si="39"/>
        <v>37.103644337236275</v>
      </c>
      <c r="CB36" s="20">
        <f t="shared" si="10"/>
        <v>314.59704855401981</v>
      </c>
      <c r="CC36" s="59">
        <f t="shared" si="11"/>
        <v>607.93038188735318</v>
      </c>
      <c r="CD36" s="59">
        <f ca="1">AVERAGE(OFFSET($CC$3,0,0,'Données projet'!$E$12+1,1))-AVERAGE(OFFSET($H$3,0,0,'Données projet'!$E$12+1,1))</f>
        <v>353.37479213497227</v>
      </c>
      <c r="CE36" s="59">
        <f t="shared" si="40"/>
        <v>345.4750813433123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3.8434677065695677</v>
      </c>
      <c r="CL36" s="21">
        <f>EXP(-LN(2)/25)*CL35+(1-EXP(-LN(2)/25))/(LN(2)/25)*Calculateur!CG36*Calculateur!CI36*VLOOKUP('Données projet'!$B$12,Paramètres!$A$1:$I$89,3,0)*0.475*44/12</f>
        <v>12.081145760832221</v>
      </c>
      <c r="CM36" s="21">
        <f>EXP(-LN(2)/2)*CM35+(1-EXP(-LN(2)/2))/(LN(2)/2)*CG36*CJ36*VLOOKUP('Données projet'!$B$12,Paramètres!$A$1:$I$89,3,0)*0.475*44/12</f>
        <v>2.8170895957988509</v>
      </c>
      <c r="CN36" s="22">
        <f t="shared" si="12"/>
        <v>18.741703063200639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7.2494000000000005</v>
      </c>
      <c r="CT36" s="12">
        <f>IF('Données projet'!$A$140&gt;35,CT35+CS36-DB35,IF(A36&lt;'Données projet'!$A$140,$CQ$205^A36,IF(A36='Données projet'!$A$140,'Données projet'!$B$140,CT35+CS36-DB35)))</f>
        <v>239.23020000000008</v>
      </c>
      <c r="CU36" s="17">
        <f>CT36*VLOOKUP('Données projet'!$B$13,Paramètres!$A$1:$I$89,3,0)*VLOOKUP('Données projet'!$B$13,Paramètres!$A$1:$I$89,5,0)</f>
        <v>115.06972620000005</v>
      </c>
      <c r="CV36" s="13">
        <f t="shared" si="41"/>
        <v>30.522301282536048</v>
      </c>
      <c r="CW36" s="20">
        <f t="shared" si="13"/>
        <v>253.57278119875036</v>
      </c>
      <c r="CX36" s="59">
        <f t="shared" si="14"/>
        <v>546.90611453208362</v>
      </c>
      <c r="CY36" s="59">
        <f ca="1">AVERAGE(OFFSET($CX$3,0,0,'Données projet'!$E$13+1,1))-AVERAGE(OFFSET($H$3,0,0,'Données projet'!$E$13+1,1))</f>
        <v>314.18760071409162</v>
      </c>
      <c r="CZ36" s="59">
        <f t="shared" si="42"/>
        <v>267.72650645201787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131.38944000000004</v>
      </c>
      <c r="DQ36" s="13">
        <f t="shared" si="43"/>
        <v>34.317219199328761</v>
      </c>
      <c r="DR36" s="20">
        <f t="shared" si="16"/>
        <v>288.60576477216426</v>
      </c>
      <c r="DS36" s="59">
        <f t="shared" si="17"/>
        <v>581.93909810549758</v>
      </c>
      <c r="DT36" s="59">
        <f ca="1">AVERAGE(OFFSET($DS$3,0,0,'Données projet'!$E$14+1,1))-AVERAGE(OFFSET($H$3,0,0,'Données projet'!$E$14+1,1))</f>
        <v>324.86930206492627</v>
      </c>
      <c r="DU36" s="59">
        <f t="shared" si="44"/>
        <v>317.03005098025352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9.7922446870445139</v>
      </c>
      <c r="EC36" s="21">
        <f>EXP(-LN(2)/2)*EC35+(1-EXP(-LN(2)/2))/(LN(2)/2)*DW36*DZ36*VLOOKUP('Données projet'!$B$14,Paramètres!$A$1:$I$89,3,0)*0.475*44/12</f>
        <v>2.4703536643163271</v>
      </c>
      <c r="ED36" s="22">
        <f t="shared" si="18"/>
        <v>12.262598351360841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17.804285714285715</v>
      </c>
      <c r="N37" s="13">
        <f>IF('Données projet'!$A$36&gt;35,N36+M37-V36,IF(A37&lt;'Données projet'!$A$36,$K$205^A37,IF(A37='Données projet'!$A$36,'Données projet'!$B$36,N36+M37-V36)))</f>
        <v>276.9614285714286</v>
      </c>
      <c r="O37" s="13">
        <f>N37*VLOOKUP('Données projet'!$B$9,Paramètres!$A$1:$I$89,3,0)*VLOOKUP('Données projet'!$B$9,Paramètres!$A$1:$I$89,5,0)</f>
        <v>165.62293428571431</v>
      </c>
      <c r="P37" s="13">
        <f t="shared" si="33"/>
        <v>42.108223194605671</v>
      </c>
      <c r="Q37" s="20">
        <f t="shared" si="53"/>
        <v>361.7984326115573</v>
      </c>
      <c r="R37" s="59">
        <f t="shared" si="0"/>
        <v>655.13176594489062</v>
      </c>
      <c r="S37" s="59">
        <f ca="1">AVERAGE(OFFSET($R$3,0,0,'Données projet'!$E$9+1,1))-AVERAGE(OFFSET($H$3,0,0,'Données projet'!$E$9+1,1))</f>
        <v>302.00825291248458</v>
      </c>
      <c r="T37" s="59">
        <f t="shared" si="34"/>
        <v>307.35115839449355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14.853369192171066</v>
      </c>
      <c r="AA37" s="21">
        <f>EXP(-LN(2)/25)*AA36+(1-EXP(-LN(2)/25))/(LN(2)/25)*Calculateur!V37*Calculateur!X37*VLOOKUP('Données projet'!$B$9,Paramètres!$A$1:$I$89,3,0)*0.475*44/12</f>
        <v>13.633455088459984</v>
      </c>
      <c r="AB37" s="21">
        <f>EXP(-LN(2)/2)*AB36+(1-EXP(-LN(2)/2))/(LN(2)/2)*V37*Y37*VLOOKUP('Données projet'!$B$9,Paramètres!$A$1:$I$89,3,0)*0.475*44/12</f>
        <v>1.6862428935531688</v>
      </c>
      <c r="AC37" s="22">
        <f t="shared" si="3"/>
        <v>30.173067174184215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26.2</v>
      </c>
      <c r="AI37" s="13">
        <f>IF('Données projet'!$A$62&gt;35,AI36+AH37-AQ36,IF(A37&lt;'Données projet'!$A$62,$AF$205^A37,IF(A37='Données projet'!$A$62,'Données projet'!$B$62,AI36+AH37-AQ36)))</f>
        <v>349.80000000000007</v>
      </c>
      <c r="AJ37" s="13">
        <f>AI37*VLOOKUP('Données projet'!$B$10,Paramètres!$A$1:$I$89,3,0)*VLOOKUP('Données projet'!$B$10,Paramètres!$A$1:$I$89,5,0)</f>
        <v>154.61160000000004</v>
      </c>
      <c r="AK37" s="13">
        <f t="shared" si="35"/>
        <v>39.624734188365849</v>
      </c>
      <c r="AL37" s="20">
        <f t="shared" si="4"/>
        <v>338.29494871140395</v>
      </c>
      <c r="AM37" s="59">
        <f t="shared" si="5"/>
        <v>631.62828204473726</v>
      </c>
      <c r="AN37" s="59">
        <f ca="1">AVERAGE(OFFSET($AM$3,0,0,'Données projet'!$E$10+1,1))-AVERAGE(OFFSET($H$3,0,0,'Données projet'!$E$10+1,1))</f>
        <v>394.37446333077651</v>
      </c>
      <c r="AO37" s="59">
        <f t="shared" si="36"/>
        <v>335.44327961212963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9.2478234823916896</v>
      </c>
      <c r="AV37" s="21">
        <f>EXP(-LN(2)/25)*AV36+(1-EXP(-LN(2)/25))/(LN(2)/25)*Calculateur!AQ37*Calculateur!AS37*VLOOKUP('Données projet'!$B$10,Paramètres!$A$1:$I$89,3,0)*0.475*44/12</f>
        <v>12.938734115387643</v>
      </c>
      <c r="AW37" s="21">
        <f>EXP(-LN(2)/2)*AW36+(1-EXP(-LN(2)/2))/(LN(2)/2)*AQ37*AT37*VLOOKUP('Données projet'!$B$10,Paramètres!$A$1:$I$89,3,0)*0.475*44/12</f>
        <v>3.5320787054146927</v>
      </c>
      <c r="AX37" s="21">
        <f t="shared" si="6"/>
        <v>25.718636303194028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4.5856818181818184</v>
      </c>
      <c r="BD37" s="12">
        <f>IF('Données projet'!$A$88&gt;35,BD36+BC37-BL36,IF(A37&lt;'Données projet'!$A$88,$BA$205^A37,IF(A37='Données projet'!$A$88,'Données projet'!$B$88,BD36+BC37-BL36)))</f>
        <v>155.91318181818195</v>
      </c>
      <c r="BE37" s="13">
        <f>BD37*VLOOKUP('Données projet'!$B$11,Paramètres!$A$1:$I$89,3,0)*VLOOKUP('Données projet'!$B$11,Paramètres!$A$1:$I$89,5,0)</f>
        <v>141.07024690909103</v>
      </c>
      <c r="BF37" s="13">
        <f t="shared" si="37"/>
        <v>36.542075257972613</v>
      </c>
      <c r="BG37" s="20">
        <f t="shared" si="7"/>
        <v>309.34146110763578</v>
      </c>
      <c r="BH37" s="59">
        <f t="shared" si="8"/>
        <v>602.67479444096909</v>
      </c>
      <c r="BI37" s="59">
        <f ca="1">AVERAGE(OFFSET($BH$3,0,0,'Données projet'!$E$11+1,1))-AVERAGE(OFFSET($H$3,0,0,'Données projet'!$E$11+1,1))</f>
        <v>490.06222615476065</v>
      </c>
      <c r="BJ37" s="59">
        <f t="shared" si="38"/>
        <v>310.43914804089906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153.70991999999998</v>
      </c>
      <c r="CA37" s="13">
        <f t="shared" si="39"/>
        <v>39.420475690379831</v>
      </c>
      <c r="CB37" s="20">
        <f t="shared" si="10"/>
        <v>336.3687724940782</v>
      </c>
      <c r="CC37" s="59">
        <f t="shared" si="11"/>
        <v>629.70210582741151</v>
      </c>
      <c r="CD37" s="59">
        <f ca="1">AVERAGE(OFFSET($CC$3,0,0,'Données projet'!$E$12+1,1))-AVERAGE(OFFSET($H$3,0,0,'Données projet'!$E$12+1,1))</f>
        <v>353.37479213497227</v>
      </c>
      <c r="CE37" s="59">
        <f t="shared" si="40"/>
        <v>345.4750813433123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3.7680996491275609</v>
      </c>
      <c r="CL37" s="21">
        <f>EXP(-LN(2)/25)*CL36+(1-EXP(-LN(2)/25))/(LN(2)/25)*Calculateur!CG37*Calculateur!CI37*VLOOKUP('Données projet'!$B$12,Paramètres!$A$1:$I$89,3,0)*0.475*44/12</f>
        <v>11.750786194682421</v>
      </c>
      <c r="CM37" s="21">
        <f>EXP(-LN(2)/2)*CM36+(1-EXP(-LN(2)/2))/(LN(2)/2)*CG37*CJ37*VLOOKUP('Données projet'!$B$12,Paramètres!$A$1:$I$89,3,0)*0.475*44/12</f>
        <v>1.9919831563994377</v>
      </c>
      <c r="CN37" s="22">
        <f t="shared" si="12"/>
        <v>17.510869000209421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7.2494000000000005</v>
      </c>
      <c r="CT37" s="12">
        <f>IF('Données projet'!$A$140&gt;35,CT36+CS37-DB36,IF(A37&lt;'Données projet'!$A$140,$CQ$205^A37,IF(A37='Données projet'!$A$140,'Données projet'!$B$140,CT36+CS37-DB36)))</f>
        <v>246.47960000000009</v>
      </c>
      <c r="CU37" s="17">
        <f>CT37*VLOOKUP('Données projet'!$B$13,Paramètres!$A$1:$I$89,3,0)*VLOOKUP('Données projet'!$B$13,Paramètres!$A$1:$I$89,5,0)</f>
        <v>118.55668760000003</v>
      </c>
      <c r="CV37" s="13">
        <f t="shared" si="41"/>
        <v>31.338133674801743</v>
      </c>
      <c r="CW37" s="20">
        <f t="shared" si="13"/>
        <v>261.06681372027975</v>
      </c>
      <c r="CX37" s="59">
        <f t="shared" si="14"/>
        <v>554.40014705361307</v>
      </c>
      <c r="CY37" s="59">
        <f ca="1">AVERAGE(OFFSET($CX$3,0,0,'Données projet'!$E$13+1,1))-AVERAGE(OFFSET($H$3,0,0,'Données projet'!$E$13+1,1))</f>
        <v>314.18760071409162</v>
      </c>
      <c r="CZ37" s="59">
        <f t="shared" si="42"/>
        <v>267.72650645201787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140.82432000000003</v>
      </c>
      <c r="DQ37" s="13">
        <f t="shared" si="43"/>
        <v>36.485781060837802</v>
      </c>
      <c r="DR37" s="20">
        <f t="shared" si="16"/>
        <v>308.81509268095925</v>
      </c>
      <c r="DS37" s="59">
        <f t="shared" si="17"/>
        <v>602.14842601429257</v>
      </c>
      <c r="DT37" s="59">
        <f ca="1">AVERAGE(OFFSET($DS$3,0,0,'Données projet'!$E$14+1,1))-AVERAGE(OFFSET($H$3,0,0,'Données projet'!$E$14+1,1))</f>
        <v>324.86930206492627</v>
      </c>
      <c r="DU37" s="59">
        <f t="shared" si="44"/>
        <v>317.03005098025352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9.5244752411255149</v>
      </c>
      <c r="EC37" s="21">
        <f>EXP(-LN(2)/2)*EC36+(1-EXP(-LN(2)/2))/(LN(2)/2)*DW37*DZ37*VLOOKUP('Données projet'!$B$14,Paramètres!$A$1:$I$89,3,0)*0.475*44/12</f>
        <v>1.746803827967111</v>
      </c>
      <c r="ED37" s="22">
        <f t="shared" si="18"/>
        <v>11.271279069092627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17.804285714285715</v>
      </c>
      <c r="N38" s="13">
        <f>IF('Données projet'!$A$36&gt;35,N37+M38-V37,IF(A38&lt;'Données projet'!$A$36,$K$205^A38,IF(A38='Données projet'!$A$36,'Données projet'!$B$36,N37+M38-V37)))</f>
        <v>294.7657142857143</v>
      </c>
      <c r="O38" s="13">
        <f>N38*VLOOKUP('Données projet'!$B$9,Paramètres!$A$1:$I$89,3,0)*VLOOKUP('Données projet'!$B$9,Paramètres!$A$1:$I$89,5,0)</f>
        <v>176.26989714285719</v>
      </c>
      <c r="P38" s="13">
        <f t="shared" si="33"/>
        <v>44.491298310145091</v>
      </c>
      <c r="Q38" s="20">
        <f t="shared" si="53"/>
        <v>384.49241541397896</v>
      </c>
      <c r="R38" s="59">
        <f t="shared" si="0"/>
        <v>677.82574874731222</v>
      </c>
      <c r="S38" s="59">
        <f ca="1">AVERAGE(OFFSET($R$3,0,0,'Données projet'!$E$9+1,1))-AVERAGE(OFFSET($H$3,0,0,'Données projet'!$E$9+1,1))</f>
        <v>302.00825291248458</v>
      </c>
      <c r="T38" s="59">
        <f t="shared" si="34"/>
        <v>307.35115839449355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14.56210368197323</v>
      </c>
      <c r="AA38" s="21">
        <f>EXP(-LN(2)/25)*AA37+(1-EXP(-LN(2)/25))/(LN(2)/25)*Calculateur!V38*Calculateur!X38*VLOOKUP('Données projet'!$B$9,Paramètres!$A$1:$I$89,3,0)*0.475*44/12</f>
        <v>13.260647542113801</v>
      </c>
      <c r="AB38" s="21">
        <f>EXP(-LN(2)/2)*AB37+(1-EXP(-LN(2)/2))/(LN(2)/2)*V38*Y38*VLOOKUP('Données projet'!$B$9,Paramètres!$A$1:$I$89,3,0)*0.475*44/12</f>
        <v>1.1923537847590713</v>
      </c>
      <c r="AC38" s="22">
        <f t="shared" si="3"/>
        <v>29.015105008846103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376</v>
      </c>
      <c r="AG38" s="12">
        <f>VLOOKUP(A38,'Données projet'!$A$61:$I$81,9,0)</f>
        <v>26.2</v>
      </c>
      <c r="AH38" s="12">
        <f t="array" ref="AH38">INDEX(AG:AG,MIN(IF(ISNUMBER(AG38:AG234),ROW(AG38:AG234),"")))</f>
        <v>26.2</v>
      </c>
      <c r="AI38" s="13">
        <f>IF('Données projet'!$A$62&gt;35,AI37+AH38-AQ37,IF(A38&lt;'Données projet'!$A$62,$AF$205^A38,IF(A38='Données projet'!$A$62,'Données projet'!$B$62,AI37+AH38-AQ37)))</f>
        <v>376.00000000000006</v>
      </c>
      <c r="AJ38" s="13">
        <f>AI38*VLOOKUP('Données projet'!$B$10,Paramètres!$A$1:$I$89,3,0)*VLOOKUP('Données projet'!$B$10,Paramètres!$A$1:$I$89,5,0)</f>
        <v>166.19200000000004</v>
      </c>
      <c r="AK38" s="13">
        <f t="shared" si="35"/>
        <v>42.236037017770272</v>
      </c>
      <c r="AL38" s="20">
        <f t="shared" si="4"/>
        <v>363.01216447261658</v>
      </c>
      <c r="AM38" s="59">
        <f t="shared" si="5"/>
        <v>656.34549780594989</v>
      </c>
      <c r="AN38" s="59">
        <f ca="1">AVERAGE(OFFSET($AM$3,0,0,'Données projet'!$E$10+1,1))-AVERAGE(OFFSET($H$3,0,0,'Données projet'!$E$10+1,1))</f>
        <v>394.37446333077651</v>
      </c>
      <c r="AO38" s="59">
        <f t="shared" si="36"/>
        <v>335.44327961212963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63</v>
      </c>
      <c r="AR38" s="16">
        <f>IF(ISNA(VLOOKUP(A38,'Données projet'!$A$61:$I$81,5,0)),0%,VLOOKUP(A38,'Données projet'!$A$61:$I$81,5,0)*VLOOKUP('Données projet'!$B$10,Paramètres!$A$1:$I$89,7,0))</f>
        <v>0.13750000000000001</v>
      </c>
      <c r="AS38" s="16">
        <f>IF(ISNA(VLOOKUP(A38,'Données projet'!$A$61:$I$81,6,0)),0%,VLOOKUP(A38,'Données projet'!$A$61:$I$81,6,0)*VLOOKUP('Données projet'!$B$10,Paramètres!$A$1:$I$89,7,0))</f>
        <v>0.20350000000000001</v>
      </c>
      <c r="AT38" s="16">
        <f>IF(ISNA(VLOOKUP(A38,'Données projet'!$A$61:$I$81,7,0)),0%,VLOOKUP(A38,'Données projet'!$A$61:$I$81,7,0))</f>
        <v>0.38</v>
      </c>
      <c r="AU38" s="21">
        <f>EXP(-LN(2)/35)*AU37+(1-EXP(-LN(2)/35))/(LN(2)/35)*AQ38*AR38*VLOOKUP('Données projet'!$B$10,Paramètres!$A$1:$I$89,3,0)*0.475*44/12</f>
        <v>14.145662455615646</v>
      </c>
      <c r="AV38" s="21">
        <f>EXP(-LN(2)/25)*AV37+(1-EXP(-LN(2)/25))/(LN(2)/25)*Calculateur!AQ38*Calculateur!AS38*VLOOKUP('Données projet'!$B$10,Paramètres!$A$1:$I$89,3,0)*0.475*44/12</f>
        <v>20.072516768717549</v>
      </c>
      <c r="AW38" s="21">
        <f>EXP(-LN(2)/2)*AW37+(1-EXP(-LN(2)/2))/(LN(2)/2)*AQ38*AT38*VLOOKUP('Données projet'!$B$10,Paramètres!$A$1:$I$89,3,0)*0.475*44/12</f>
        <v>14.478250215913681</v>
      </c>
      <c r="AX38" s="21">
        <f t="shared" si="6"/>
        <v>48.696429440246881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4.5856818181818184</v>
      </c>
      <c r="BD38" s="12">
        <f>IF('Données projet'!$A$88&gt;35,BD37+BC38-BL37,IF(A38&lt;'Données projet'!$A$88,$BA$205^A38,IF(A38='Données projet'!$A$88,'Données projet'!$B$88,BD37+BC38-BL37)))</f>
        <v>160.49886363636378</v>
      </c>
      <c r="BE38" s="13">
        <f>BD38*VLOOKUP('Données projet'!$B$11,Paramètres!$A$1:$I$89,3,0)*VLOOKUP('Données projet'!$B$11,Paramètres!$A$1:$I$89,5,0)</f>
        <v>145.21937181818194</v>
      </c>
      <c r="BF38" s="13">
        <f t="shared" si="37"/>
        <v>37.49013122697059</v>
      </c>
      <c r="BG38" s="20">
        <f t="shared" si="7"/>
        <v>318.21905113697397</v>
      </c>
      <c r="BH38" s="59">
        <f t="shared" si="8"/>
        <v>611.55238447030729</v>
      </c>
      <c r="BI38" s="59">
        <f ca="1">AVERAGE(OFFSET($BH$3,0,0,'Données projet'!$E$11+1,1))-AVERAGE(OFFSET($H$3,0,0,'Données projet'!$E$11+1,1))</f>
        <v>490.06222615476065</v>
      </c>
      <c r="BJ38" s="59">
        <f t="shared" si="38"/>
        <v>310.43914804089906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163.89359999999999</v>
      </c>
      <c r="CA38" s="13">
        <f t="shared" si="39"/>
        <v>41.71949506642347</v>
      </c>
      <c r="CB38" s="20">
        <f t="shared" si="10"/>
        <v>358.10947390735419</v>
      </c>
      <c r="CC38" s="59">
        <f t="shared" si="11"/>
        <v>651.44280724068744</v>
      </c>
      <c r="CD38" s="59">
        <f ca="1">AVERAGE(OFFSET($CC$3,0,0,'Données projet'!$E$12+1,1))-AVERAGE(OFFSET($H$3,0,0,'Données projet'!$E$12+1,1))</f>
        <v>353.37479213497227</v>
      </c>
      <c r="CE38" s="59">
        <f t="shared" si="40"/>
        <v>345.4750813433123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0.13250000000000001</v>
      </c>
      <c r="CI38" s="16">
        <f>IF(ISNA(VLOOKUP(A38,'Données projet'!$A$113:$I$133,6,0)),0%,VLOOKUP(A38,'Données projet'!$A$113:$I$133,6,0)*VLOOKUP('Données projet'!$B$12,Paramètres!$A$1:$I$89,7,0))</f>
        <v>0.13250000000000001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7.7729474982948918</v>
      </c>
      <c r="CL38" s="21">
        <f>EXP(-LN(2)/25)*CL37+(1-EXP(-LN(2)/25))/(LN(2)/25)*Calculateur!CG38*Calculateur!CI38*VLOOKUP('Données projet'!$B$12,Paramètres!$A$1:$I$89,3,0)*0.475*44/12</f>
        <v>15.492138767646864</v>
      </c>
      <c r="CM38" s="21">
        <f>EXP(-LN(2)/2)*CM37+(1-EXP(-LN(2)/2))/(LN(2)/2)*CG38*CJ38*VLOOKUP('Données projet'!$B$12,Paramètres!$A$1:$I$89,3,0)*0.475*44/12</f>
        <v>7.9769074139248364</v>
      </c>
      <c r="CN38" s="22">
        <f t="shared" si="12"/>
        <v>31.241993679866589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7.2494000000000005</v>
      </c>
      <c r="CT38" s="12">
        <f>IF('Données projet'!$A$140&gt;35,CT37+CS38-DB37,IF(A38&lt;'Données projet'!$A$140,$CQ$205^A38,IF(A38='Données projet'!$A$140,'Données projet'!$B$140,CT37+CS38-DB37)))</f>
        <v>253.7290000000001</v>
      </c>
      <c r="CU38" s="17">
        <f>CT38*VLOOKUP('Données projet'!$B$13,Paramètres!$A$1:$I$89,3,0)*VLOOKUP('Données projet'!$B$13,Paramètres!$A$1:$I$89,5,0)</f>
        <v>122.04364900000006</v>
      </c>
      <c r="CV38" s="13">
        <f t="shared" si="41"/>
        <v>32.151177391610609</v>
      </c>
      <c r="CW38" s="20">
        <f t="shared" si="13"/>
        <v>268.5559892987219</v>
      </c>
      <c r="CX38" s="59">
        <f t="shared" si="14"/>
        <v>561.88932263205515</v>
      </c>
      <c r="CY38" s="59">
        <f ca="1">AVERAGE(OFFSET($CX$3,0,0,'Données projet'!$E$13+1,1))-AVERAGE(OFFSET($H$3,0,0,'Données projet'!$E$13+1,1))</f>
        <v>314.18760071409162</v>
      </c>
      <c r="CZ38" s="59">
        <f t="shared" si="42"/>
        <v>267.72650645201787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150.25920000000005</v>
      </c>
      <c r="DQ38" s="13">
        <f t="shared" si="43"/>
        <v>38.637483830798729</v>
      </c>
      <c r="DR38" s="20">
        <f t="shared" si="16"/>
        <v>328.99505767197456</v>
      </c>
      <c r="DS38" s="59">
        <f t="shared" si="17"/>
        <v>622.32839100530782</v>
      </c>
      <c r="DT38" s="59">
        <f ca="1">AVERAGE(OFFSET($DS$3,0,0,'Données projet'!$E$14+1,1))-AVERAGE(OFFSET($H$3,0,0,'Données projet'!$E$14+1,1))</f>
        <v>324.86930206492627</v>
      </c>
      <c r="DU38" s="59">
        <f t="shared" si="44"/>
        <v>317.03005098025352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0.13250000000000001</v>
      </c>
      <c r="DY38" s="16">
        <f>IF(ISNA(VLOOKUP(A38,'Données projet'!$A$165:$I$185,6,0)),0%,VLOOKUP(A38,'Données projet'!$A$165:$I$185,6,0)*VLOOKUP('Données projet'!$B$14,Paramètres!$A$1:$I$89,7,0))</f>
        <v>0.13250000000000001</v>
      </c>
      <c r="DZ38" s="16">
        <f>IF(ISNA(VLOOKUP(A38,'Données projet'!$A$165:$I$185,7,0)),0%,VLOOKUP(A38,'Données projet'!$A$165:$I$185,7,0))</f>
        <v>0.25</v>
      </c>
      <c r="EA38" s="21">
        <f>EXP(-LN(2)/35)*EA37+(1-EXP(-LN(2)/35))/(LN(2)/35)*DW38*DX38*VLOOKUP('Données projet'!$B$14,Paramètres!$A$1:$I$89,3,0)*0.475*44/12</f>
        <v>3.5828914064075454</v>
      </c>
      <c r="EB38" s="21">
        <f>EXP(-LN(2)/25)*EB37+(1-EXP(-LN(2)/25))/(LN(2)/25)*Calculateur!DW38*Calculateur!DY38*VLOOKUP('Données projet'!$B$14,Paramètres!$A$1:$I$89,3,0)*0.475*44/12</f>
        <v>12.832812162538419</v>
      </c>
      <c r="EC38" s="21">
        <f>EXP(-LN(2)/2)*EC37+(1-EXP(-LN(2)/2))/(LN(2)/2)*DW38*DZ38*VLOOKUP('Données projet'!$B$14,Paramètres!$A$1:$I$89,3,0)*0.475*44/12</f>
        <v>7.0050326203530346</v>
      </c>
      <c r="ED38" s="22">
        <f t="shared" si="18"/>
        <v>23.420736189298999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312.57</v>
      </c>
      <c r="L39" s="12">
        <f>VLOOKUP(A39,'Données projet'!$A$35:$I$55,9,0)</f>
        <v>17.804285714285715</v>
      </c>
      <c r="M39" s="12">
        <f t="array" ref="M39">INDEX(L:L,MIN(IF(ISNUMBER(L39:L235),ROW(L39:L235),"")))</f>
        <v>17.804285714285715</v>
      </c>
      <c r="N39" s="13">
        <f>IF('Données projet'!$A$36&gt;35,N38+M39-V38,IF(A39&lt;'Données projet'!$A$36,$K$205^A39,IF(A39='Données projet'!$A$36,'Données projet'!$B$36,N38+M39-V38)))</f>
        <v>312.57</v>
      </c>
      <c r="O39" s="13">
        <f>N39*VLOOKUP('Données projet'!$B$9,Paramètres!$A$1:$I$89,3,0)*VLOOKUP('Données projet'!$B$9,Paramètres!$A$1:$I$89,5,0)</f>
        <v>186.91685999999999</v>
      </c>
      <c r="P39" s="13">
        <f t="shared" si="33"/>
        <v>46.857666701992478</v>
      </c>
      <c r="Q39" s="20">
        <f t="shared" si="53"/>
        <v>407.15730067263689</v>
      </c>
      <c r="R39" s="59">
        <f t="shared" si="0"/>
        <v>700.49063400597015</v>
      </c>
      <c r="S39" s="59">
        <f ca="1">AVERAGE(OFFSET($R$3,0,0,'Données projet'!$E$9+1,1))-AVERAGE(OFFSET($H$3,0,0,'Données projet'!$E$9+1,1))</f>
        <v>302.00825291248458</v>
      </c>
      <c r="T39" s="59">
        <f t="shared" si="34"/>
        <v>307.35115839449355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76.509999999999991</v>
      </c>
      <c r="W39" s="16">
        <f>IF(ISNA(VLOOKUP(A39,'Données projet'!$A$35:$I$55,5,0)),0%,VLOOKUP(A39,'Données projet'!$A$35:$I$55,5,0)*VLOOKUP('Données projet'!$B$9,Paramètres!$A$1:$I$89,7,0))</f>
        <v>0.27</v>
      </c>
      <c r="X39" s="16">
        <f>IF(ISNA(VLOOKUP(A39,'Données projet'!$A$35:$I$55,6,0)),0%,VLOOKUP(A39,'Données projet'!$A$35:$I$55,6,0)*VLOOKUP('Données projet'!$B$9,Paramètres!$A$1:$I$89,7,0))</f>
        <v>9.0000000000000011E-2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30.66400450035372</v>
      </c>
      <c r="AA39" s="21">
        <f>EXP(-LN(2)/25)*AA38+(1-EXP(-LN(2)/25))/(LN(2)/25)*Calculateur!V39*Calculateur!X39*VLOOKUP('Données projet'!$B$9,Paramètres!$A$1:$I$89,3,0)*0.475*44/12</f>
        <v>18.339011483048019</v>
      </c>
      <c r="AB39" s="21">
        <f>EXP(-LN(2)/2)*AB38+(1-EXP(-LN(2)/2))/(LN(2)/2)*V39*Y39*VLOOKUP('Données projet'!$B$9,Paramètres!$A$1:$I$89,3,0)*0.475*44/12</f>
        <v>11.203721779593071</v>
      </c>
      <c r="AC39" s="22">
        <f t="shared" si="3"/>
        <v>60.206737762994806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25.4</v>
      </c>
      <c r="AI39" s="13">
        <f>IF('Données projet'!$A$62&gt;35,AI38+AH39-AQ38,IF(A39&lt;'Données projet'!$A$62,$AF$205^A39,IF(A39='Données projet'!$A$62,'Données projet'!$B$62,AI38+AH39-AQ38)))</f>
        <v>338.40000000000003</v>
      </c>
      <c r="AJ39" s="13">
        <f>AI39*VLOOKUP('Données projet'!$B$10,Paramètres!$A$1:$I$89,3,0)*VLOOKUP('Données projet'!$B$10,Paramètres!$A$1:$I$89,5,0)</f>
        <v>149.57280000000003</v>
      </c>
      <c r="AK39" s="13">
        <f t="shared" si="35"/>
        <v>38.481486779011725</v>
      </c>
      <c r="AL39" s="20">
        <f t="shared" si="4"/>
        <v>327.52788280677879</v>
      </c>
      <c r="AM39" s="59">
        <f t="shared" si="5"/>
        <v>620.86121614011211</v>
      </c>
      <c r="AN39" s="59">
        <f ca="1">AVERAGE(OFFSET($AM$3,0,0,'Données projet'!$E$10+1,1))-AVERAGE(OFFSET($H$3,0,0,'Données projet'!$E$10+1,1))</f>
        <v>394.37446333077651</v>
      </c>
      <c r="AO39" s="59">
        <f t="shared" si="36"/>
        <v>335.44327961212963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13.868274642863177</v>
      </c>
      <c r="AV39" s="21">
        <f>EXP(-LN(2)/25)*AV38+(1-EXP(-LN(2)/25))/(LN(2)/25)*Calculateur!AQ39*Calculateur!AS39*VLOOKUP('Données projet'!$B$10,Paramètres!$A$1:$I$89,3,0)*0.475*44/12</f>
        <v>19.523632742109186</v>
      </c>
      <c r="AW39" s="21">
        <f>EXP(-LN(2)/2)*AW38+(1-EXP(-LN(2)/2))/(LN(2)/2)*AQ39*AT39*VLOOKUP('Données projet'!$B$10,Paramètres!$A$1:$I$89,3,0)*0.475*44/12</f>
        <v>10.23766890738816</v>
      </c>
      <c r="AX39" s="21">
        <f t="shared" si="6"/>
        <v>43.629576292360525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4.5856818181818184</v>
      </c>
      <c r="BD39" s="12">
        <f>IF('Données projet'!$A$88&gt;35,BD38+BC39-BL38,IF(A39&lt;'Données projet'!$A$88,$BA$205^A39,IF(A39='Données projet'!$A$88,'Données projet'!$B$88,BD38+BC39-BL38)))</f>
        <v>165.08454545454561</v>
      </c>
      <c r="BE39" s="13">
        <f>BD39*VLOOKUP('Données projet'!$B$11,Paramètres!$A$1:$I$89,3,0)*VLOOKUP('Données projet'!$B$11,Paramètres!$A$1:$I$89,5,0)</f>
        <v>149.36849672727286</v>
      </c>
      <c r="BF39" s="13">
        <f t="shared" si="37"/>
        <v>38.435039017220589</v>
      </c>
      <c r="BG39" s="20">
        <f t="shared" si="7"/>
        <v>327.09115808832604</v>
      </c>
      <c r="BH39" s="59">
        <f t="shared" si="8"/>
        <v>620.42449142165935</v>
      </c>
      <c r="BI39" s="59">
        <f ca="1">AVERAGE(OFFSET($BH$3,0,0,'Données projet'!$E$11+1,1))-AVERAGE(OFFSET($H$3,0,0,'Données projet'!$E$11+1,1))</f>
        <v>490.06222615476065</v>
      </c>
      <c r="BJ39" s="59">
        <f t="shared" si="38"/>
        <v>310.43914804089906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145.11743999999999</v>
      </c>
      <c r="CA39" s="13">
        <f t="shared" si="39"/>
        <v>37.466878406916173</v>
      </c>
      <c r="CB39" s="20">
        <f t="shared" si="10"/>
        <v>318.00102122537896</v>
      </c>
      <c r="CC39" s="59">
        <f t="shared" si="11"/>
        <v>611.33435455871222</v>
      </c>
      <c r="CD39" s="59">
        <f ca="1">AVERAGE(OFFSET($CC$3,0,0,'Données projet'!$E$12+1,1))-AVERAGE(OFFSET($H$3,0,0,'Données projet'!$E$12+1,1))</f>
        <v>353.37479213497227</v>
      </c>
      <c r="CE39" s="59">
        <f t="shared" si="40"/>
        <v>345.4750813433123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7.620524738883165</v>
      </c>
      <c r="CL39" s="21">
        <f>EXP(-LN(2)/25)*CL38+(1-EXP(-LN(2)/25))/(LN(2)/25)*Calculateur!CG39*Calculateur!CI39*VLOOKUP('Données projet'!$B$12,Paramètres!$A$1:$I$89,3,0)*0.475*44/12</f>
        <v>15.068505418349391</v>
      </c>
      <c r="CM39" s="21">
        <f>EXP(-LN(2)/2)*CM38+(1-EXP(-LN(2)/2))/(LN(2)/2)*CG39*CJ39*VLOOKUP('Données projet'!$B$12,Paramètres!$A$1:$I$89,3,0)*0.475*44/12</f>
        <v>5.6405253252834981</v>
      </c>
      <c r="CN39" s="22">
        <f t="shared" si="12"/>
        <v>28.329555482516053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7.2494000000000005</v>
      </c>
      <c r="CT39" s="12">
        <f>IF('Données projet'!$A$140&gt;35,CT38+CS39-DB38,IF(A39&lt;'Données projet'!$A$140,$CQ$205^A39,IF(A39='Données projet'!$A$140,'Données projet'!$B$140,CT38+CS39-DB38)))</f>
        <v>260.97840000000008</v>
      </c>
      <c r="CU39" s="17">
        <f>CT39*VLOOKUP('Données projet'!$B$13,Paramètres!$A$1:$I$89,3,0)*VLOOKUP('Données projet'!$B$13,Paramètres!$A$1:$I$89,5,0)</f>
        <v>125.53061040000004</v>
      </c>
      <c r="CV39" s="13">
        <f t="shared" si="41"/>
        <v>32.96152126048424</v>
      </c>
      <c r="CW39" s="20">
        <f t="shared" si="13"/>
        <v>276.04046264201014</v>
      </c>
      <c r="CX39" s="59">
        <f t="shared" si="14"/>
        <v>569.37379597534346</v>
      </c>
      <c r="CY39" s="59">
        <f ca="1">AVERAGE(OFFSET($CX$3,0,0,'Données projet'!$E$13+1,1))-AVERAGE(OFFSET($H$3,0,0,'Données projet'!$E$13+1,1))</f>
        <v>314.18760071409162</v>
      </c>
      <c r="CZ39" s="59">
        <f t="shared" si="42"/>
        <v>267.72650645201787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134.18496000000005</v>
      </c>
      <c r="DQ39" s="13">
        <f t="shared" si="43"/>
        <v>34.961590270648216</v>
      </c>
      <c r="DR39" s="20">
        <f t="shared" si="16"/>
        <v>294.59690838804573</v>
      </c>
      <c r="DS39" s="59">
        <f t="shared" si="17"/>
        <v>587.93024172137905</v>
      </c>
      <c r="DT39" s="59">
        <f ca="1">AVERAGE(OFFSET($DS$3,0,0,'Données projet'!$E$14+1,1))-AVERAGE(OFFSET($H$3,0,0,'Données projet'!$E$14+1,1))</f>
        <v>324.86930206492627</v>
      </c>
      <c r="DU39" s="59">
        <f t="shared" si="44"/>
        <v>317.03005098025352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3.5126330912758661</v>
      </c>
      <c r="EB39" s="21">
        <f>EXP(-LN(2)/25)*EB38+(1-EXP(-LN(2)/25))/(LN(2)/25)*Calculateur!DW39*Calculateur!DY39*VLOOKUP('Données projet'!$B$14,Paramètres!$A$1:$I$89,3,0)*0.475*44/12</f>
        <v>12.481898239105544</v>
      </c>
      <c r="EC39" s="21">
        <f>EXP(-LN(2)/2)*EC38+(1-EXP(-LN(2)/2))/(LN(2)/2)*DW39*DZ39*VLOOKUP('Données projet'!$B$14,Paramètres!$A$1:$I$89,3,0)*0.475*44/12</f>
        <v>4.9533060682846015</v>
      </c>
      <c r="ED39" s="22">
        <f t="shared" si="18"/>
        <v>20.94783739866601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16.583750000000002</v>
      </c>
      <c r="N40" s="13">
        <f>IF('Données projet'!$A$36&gt;35,N39+M40-V39,IF(A40&lt;'Données projet'!$A$36,$K$205^A40,IF(A40='Données projet'!$A$36,'Données projet'!$B$36,N39+M40-V39)))</f>
        <v>252.64375000000001</v>
      </c>
      <c r="O40" s="13">
        <f>N40*VLOOKUP('Données projet'!$B$9,Paramètres!$A$1:$I$89,3,0)*VLOOKUP('Données projet'!$B$9,Paramètres!$A$1:$I$89,5,0)</f>
        <v>151.0809625</v>
      </c>
      <c r="P40" s="13">
        <f t="shared" si="33"/>
        <v>38.824135473109777</v>
      </c>
      <c r="Q40" s="20">
        <f t="shared" si="53"/>
        <v>330.75137896983284</v>
      </c>
      <c r="R40" s="59">
        <f t="shared" si="0"/>
        <v>624.08471230316616</v>
      </c>
      <c r="S40" s="59">
        <f ca="1">AVERAGE(OFFSET($R$3,0,0,'Données projet'!$E$9+1,1))-AVERAGE(OFFSET($H$3,0,0,'Données projet'!$E$9+1,1))</f>
        <v>302.00825291248458</v>
      </c>
      <c r="T40" s="59">
        <f t="shared" si="34"/>
        <v>307.35115839449355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30.062702075297739</v>
      </c>
      <c r="AA40" s="21">
        <f>EXP(-LN(2)/25)*AA39+(1-EXP(-LN(2)/25))/(LN(2)/25)*Calculateur!V40*Calculateur!X40*VLOOKUP('Données projet'!$B$9,Paramètres!$A$1:$I$89,3,0)*0.475*44/12</f>
        <v>17.837530249637371</v>
      </c>
      <c r="AB40" s="21">
        <f>EXP(-LN(2)/2)*AB39+(1-EXP(-LN(2)/2))/(LN(2)/2)*V40*Y40*VLOOKUP('Données projet'!$B$9,Paramètres!$A$1:$I$89,3,0)*0.475*44/12</f>
        <v>7.9222276448776752</v>
      </c>
      <c r="AC40" s="22">
        <f t="shared" si="3"/>
        <v>55.822459969812783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25.4</v>
      </c>
      <c r="AI40" s="13">
        <f>IF('Données projet'!$A$62&gt;35,AI39+AH40-AQ39,IF(A40&lt;'Données projet'!$A$62,$AF$205^A40,IF(A40='Données projet'!$A$62,'Données projet'!$B$62,AI39+AH40-AQ39)))</f>
        <v>363.8</v>
      </c>
      <c r="AJ40" s="13">
        <f>AI40*VLOOKUP('Données projet'!$B$10,Paramètres!$A$1:$I$89,3,0)*VLOOKUP('Données projet'!$B$10,Paramètres!$A$1:$I$89,5,0)</f>
        <v>160.79960000000003</v>
      </c>
      <c r="AK40" s="13">
        <f t="shared" si="35"/>
        <v>41.022815059749384</v>
      </c>
      <c r="AL40" s="20">
        <f t="shared" si="4"/>
        <v>351.50737289573021</v>
      </c>
      <c r="AM40" s="59">
        <f t="shared" si="5"/>
        <v>644.84070622906347</v>
      </c>
      <c r="AN40" s="59">
        <f ca="1">AVERAGE(OFFSET($AM$3,0,0,'Données projet'!$E$10+1,1))-AVERAGE(OFFSET($H$3,0,0,'Données projet'!$E$10+1,1))</f>
        <v>394.37446333077651</v>
      </c>
      <c r="AO40" s="59">
        <f t="shared" si="36"/>
        <v>335.44327961212963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13.596326235928924</v>
      </c>
      <c r="AV40" s="21">
        <f>EXP(-LN(2)/25)*AV39+(1-EXP(-LN(2)/25))/(LN(2)/25)*Calculateur!AQ40*Calculateur!AS40*VLOOKUP('Données projet'!$B$10,Paramètres!$A$1:$I$89,3,0)*0.475*44/12</f>
        <v>18.989757978072987</v>
      </c>
      <c r="AW40" s="21">
        <f>EXP(-LN(2)/2)*AW39+(1-EXP(-LN(2)/2))/(LN(2)/2)*AQ40*AT40*VLOOKUP('Données projet'!$B$10,Paramètres!$A$1:$I$89,3,0)*0.475*44/12</f>
        <v>7.2391251079568413</v>
      </c>
      <c r="AX40" s="21">
        <f t="shared" si="6"/>
        <v>39.825209321958752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4.5856818181818184</v>
      </c>
      <c r="BD40" s="12">
        <f>IF('Données projet'!$A$88&gt;35,BD39+BC40-BL39,IF(A40&lt;'Données projet'!$A$88,$BA$205^A40,IF(A40='Données projet'!$A$88,'Données projet'!$B$88,BD39+BC40-BL39)))</f>
        <v>169.67022727272743</v>
      </c>
      <c r="BE40" s="13">
        <f>BD40*VLOOKUP('Données projet'!$B$11,Paramètres!$A$1:$I$89,3,0)*VLOOKUP('Données projet'!$B$11,Paramètres!$A$1:$I$89,5,0)</f>
        <v>153.51762163636377</v>
      </c>
      <c r="BF40" s="13">
        <f t="shared" si="37"/>
        <v>39.376896124979325</v>
      </c>
      <c r="BG40" s="20">
        <f t="shared" si="7"/>
        <v>335.95795176767251</v>
      </c>
      <c r="BH40" s="59">
        <f t="shared" si="8"/>
        <v>629.29128510100577</v>
      </c>
      <c r="BI40" s="59">
        <f ca="1">AVERAGE(OFFSET($BH$3,0,0,'Données projet'!$E$11+1,1))-AVERAGE(OFFSET($H$3,0,0,'Données projet'!$E$11+1,1))</f>
        <v>490.06222615476065</v>
      </c>
      <c r="BJ40" s="59">
        <f t="shared" si="38"/>
        <v>310.43914804089906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154.18727999999999</v>
      </c>
      <c r="CA40" s="13">
        <f t="shared" si="39"/>
        <v>39.528629863903078</v>
      </c>
      <c r="CB40" s="20">
        <f t="shared" si="10"/>
        <v>337.38854301296448</v>
      </c>
      <c r="CC40" s="59">
        <f t="shared" si="11"/>
        <v>630.72187634629779</v>
      </c>
      <c r="CD40" s="59">
        <f ca="1">AVERAGE(OFFSET($CC$3,0,0,'Données projet'!$E$12+1,1))-AVERAGE(OFFSET($H$3,0,0,'Données projet'!$E$12+1,1))</f>
        <v>353.37479213497227</v>
      </c>
      <c r="CE40" s="59">
        <f t="shared" si="40"/>
        <v>345.4750813433123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7.4710908968147987</v>
      </c>
      <c r="CL40" s="21">
        <f>EXP(-LN(2)/25)*CL39+(1-EXP(-LN(2)/25))/(LN(2)/25)*Calculateur!CG40*Calculateur!CI40*VLOOKUP('Données projet'!$B$12,Paramètres!$A$1:$I$89,3,0)*0.475*44/12</f>
        <v>14.656456345266367</v>
      </c>
      <c r="CM40" s="21">
        <f>EXP(-LN(2)/2)*CM39+(1-EXP(-LN(2)/2))/(LN(2)/2)*CG40*CJ40*VLOOKUP('Données projet'!$B$12,Paramètres!$A$1:$I$89,3,0)*0.475*44/12</f>
        <v>3.9884537069624186</v>
      </c>
      <c r="CN40" s="22">
        <f t="shared" si="12"/>
        <v>26.116000949043581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7.2494000000000005</v>
      </c>
      <c r="CT40" s="12">
        <f>IF('Données projet'!$A$140&gt;35,CT39+CS40-DB39,IF(A40&lt;'Données projet'!$A$140,$CQ$205^A40,IF(A40='Données projet'!$A$140,'Données projet'!$B$140,CT39+CS40-DB39)))</f>
        <v>268.22780000000006</v>
      </c>
      <c r="CU40" s="17">
        <f>CT40*VLOOKUP('Données projet'!$B$13,Paramètres!$A$1:$I$89,3,0)*VLOOKUP('Données projet'!$B$13,Paramètres!$A$1:$I$89,5,0)</f>
        <v>129.01757180000001</v>
      </c>
      <c r="CV40" s="13">
        <f t="shared" si="41"/>
        <v>33.769248893278295</v>
      </c>
      <c r="CW40" s="20">
        <f t="shared" si="13"/>
        <v>283.52037937412643</v>
      </c>
      <c r="CX40" s="59">
        <f t="shared" si="14"/>
        <v>576.85371270745975</v>
      </c>
      <c r="CY40" s="59">
        <f ca="1">AVERAGE(OFFSET($CX$3,0,0,'Données projet'!$E$13+1,1))-AVERAGE(OFFSET($H$3,0,0,'Données projet'!$E$13+1,1))</f>
        <v>314.18760071409162</v>
      </c>
      <c r="CZ40" s="59">
        <f t="shared" si="42"/>
        <v>267.72650645201787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142.57152000000005</v>
      </c>
      <c r="DQ40" s="13">
        <f t="shared" si="43"/>
        <v>36.885479122455578</v>
      </c>
      <c r="DR40" s="20">
        <f t="shared" si="16"/>
        <v>312.5542734716102</v>
      </c>
      <c r="DS40" s="59">
        <f t="shared" si="17"/>
        <v>605.88760680494352</v>
      </c>
      <c r="DT40" s="59">
        <f ca="1">AVERAGE(OFFSET($DS$3,0,0,'Données projet'!$E$14+1,1))-AVERAGE(OFFSET($H$3,0,0,'Données projet'!$E$14+1,1))</f>
        <v>324.86930206492627</v>
      </c>
      <c r="DU40" s="59">
        <f t="shared" si="44"/>
        <v>317.03005098025352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3.4437524988505781</v>
      </c>
      <c r="EB40" s="21">
        <f>EXP(-LN(2)/25)*EB39+(1-EXP(-LN(2)/25))/(LN(2)/25)*Calculateur!DW40*Calculateur!DY40*VLOOKUP('Données projet'!$B$14,Paramètres!$A$1:$I$89,3,0)*0.475*44/12</f>
        <v>12.140580075362703</v>
      </c>
      <c r="EC40" s="21">
        <f>EXP(-LN(2)/2)*EC39+(1-EXP(-LN(2)/2))/(LN(2)/2)*DW40*DZ40*VLOOKUP('Données projet'!$B$14,Paramètres!$A$1:$I$89,3,0)*0.475*44/12</f>
        <v>3.5025163101765182</v>
      </c>
      <c r="ED40" s="22">
        <f t="shared" si="18"/>
        <v>19.086848884389799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16.583750000000002</v>
      </c>
      <c r="N41" s="13">
        <f>IF('Données projet'!$A$36&gt;35,N40+M41-V40,IF(A41&lt;'Données projet'!$A$36,$K$205^A41,IF(A41='Données projet'!$A$36,'Données projet'!$B$36,N40+M41-V40)))</f>
        <v>269.22750000000002</v>
      </c>
      <c r="O41" s="13">
        <f>N41*VLOOKUP('Données projet'!$B$9,Paramètres!$A$1:$I$89,3,0)*VLOOKUP('Données projet'!$B$9,Paramètres!$A$1:$I$89,5,0)</f>
        <v>160.99804500000002</v>
      </c>
      <c r="P41" s="13">
        <f t="shared" si="33"/>
        <v>41.067545707058052</v>
      </c>
      <c r="Q41" s="20">
        <f t="shared" si="53"/>
        <v>351.93090381479277</v>
      </c>
      <c r="R41" s="59">
        <f t="shared" si="0"/>
        <v>645.26423714812609</v>
      </c>
      <c r="S41" s="59">
        <f ca="1">AVERAGE(OFFSET($R$3,0,0,'Données projet'!$E$9+1,1))-AVERAGE(OFFSET($H$3,0,0,'Données projet'!$E$9+1,1))</f>
        <v>302.00825291248458</v>
      </c>
      <c r="T41" s="59">
        <f t="shared" si="34"/>
        <v>307.35115839449355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29.473190824038845</v>
      </c>
      <c r="AA41" s="21">
        <f>EXP(-LN(2)/25)*AA40+(1-EXP(-LN(2)/25))/(LN(2)/25)*Calculateur!V41*Calculateur!X41*VLOOKUP('Données projet'!$B$9,Paramètres!$A$1:$I$89,3,0)*0.475*44/12</f>
        <v>17.349762046926088</v>
      </c>
      <c r="AB41" s="21">
        <f>EXP(-LN(2)/2)*AB40+(1-EXP(-LN(2)/2))/(LN(2)/2)*V41*Y41*VLOOKUP('Données projet'!$B$9,Paramètres!$A$1:$I$89,3,0)*0.475*44/12</f>
        <v>5.6018608897965363</v>
      </c>
      <c r="AC41" s="22">
        <f t="shared" si="3"/>
        <v>52.424813760761467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25.4</v>
      </c>
      <c r="AI41" s="13">
        <f>IF('Données projet'!$A$62&gt;35,AI40+AH41-AQ40,IF(A41&lt;'Données projet'!$A$62,$AF$205^A41,IF(A41='Données projet'!$A$62,'Données projet'!$B$62,AI40+AH41-AQ40)))</f>
        <v>389.2</v>
      </c>
      <c r="AJ41" s="13">
        <f>AI41*VLOOKUP('Données projet'!$B$10,Paramètres!$A$1:$I$89,3,0)*VLOOKUP('Données projet'!$B$10,Paramètres!$A$1:$I$89,5,0)</f>
        <v>172.02640000000002</v>
      </c>
      <c r="AK41" s="13">
        <f t="shared" si="35"/>
        <v>43.543556310624133</v>
      </c>
      <c r="AL41" s="20">
        <f t="shared" si="4"/>
        <v>375.45100724100371</v>
      </c>
      <c r="AM41" s="59">
        <f t="shared" si="5"/>
        <v>668.78434057433697</v>
      </c>
      <c r="AN41" s="59">
        <f ca="1">AVERAGE(OFFSET($AM$3,0,0,'Données projet'!$E$10+1,1))-AVERAGE(OFFSET($H$3,0,0,'Données projet'!$E$10+1,1))</f>
        <v>394.37446333077651</v>
      </c>
      <c r="AO41" s="59">
        <f t="shared" si="36"/>
        <v>335.44327961212963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13.329710571382503</v>
      </c>
      <c r="AV41" s="21">
        <f>EXP(-LN(2)/25)*AV40+(1-EXP(-LN(2)/25))/(LN(2)/25)*Calculateur!AQ41*Calculateur!AS41*VLOOKUP('Données projet'!$B$10,Paramètres!$A$1:$I$89,3,0)*0.475*44/12</f>
        <v>18.47048204753461</v>
      </c>
      <c r="AW41" s="21">
        <f>EXP(-LN(2)/2)*AW40+(1-EXP(-LN(2)/2))/(LN(2)/2)*AQ41*AT41*VLOOKUP('Données projet'!$B$10,Paramètres!$A$1:$I$89,3,0)*0.475*44/12</f>
        <v>5.1188344536940811</v>
      </c>
      <c r="AX41" s="21">
        <f t="shared" si="6"/>
        <v>36.919027072611193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4.5856818181818184</v>
      </c>
      <c r="BD41" s="12">
        <f>IF('Données projet'!$A$88&gt;35,BD40+BC41-BL40,IF(A41&lt;'Données projet'!$A$88,$BA$205^A41,IF(A41='Données projet'!$A$88,'Données projet'!$B$88,BD40+BC41-BL40)))</f>
        <v>174.25590909090926</v>
      </c>
      <c r="BE41" s="13">
        <f>BD41*VLOOKUP('Données projet'!$B$11,Paramètres!$A$1:$I$89,3,0)*VLOOKUP('Données projet'!$B$11,Paramètres!$A$1:$I$89,5,0)</f>
        <v>157.66674654545469</v>
      </c>
      <c r="BF41" s="13">
        <f t="shared" si="37"/>
        <v>40.315794476431826</v>
      </c>
      <c r="BG41" s="20">
        <f t="shared" si="7"/>
        <v>344.81959227978564</v>
      </c>
      <c r="BH41" s="59">
        <f t="shared" si="8"/>
        <v>638.1529256131189</v>
      </c>
      <c r="BI41" s="59">
        <f ca="1">AVERAGE(OFFSET($BH$3,0,0,'Données projet'!$E$11+1,1))-AVERAGE(OFFSET($H$3,0,0,'Données projet'!$E$11+1,1))</f>
        <v>490.06222615476065</v>
      </c>
      <c r="BJ41" s="59">
        <f t="shared" si="38"/>
        <v>310.43914804089906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163.25712000000001</v>
      </c>
      <c r="CA41" s="13">
        <f t="shared" si="39"/>
        <v>41.576304038313076</v>
      </c>
      <c r="CB41" s="20">
        <f t="shared" si="10"/>
        <v>356.75154686672863</v>
      </c>
      <c r="CC41" s="59">
        <f t="shared" si="11"/>
        <v>650.08488020006189</v>
      </c>
      <c r="CD41" s="59">
        <f ca="1">AVERAGE(OFFSET($CC$3,0,0,'Données projet'!$E$12+1,1))-AVERAGE(OFFSET($H$3,0,0,'Données projet'!$E$12+1,1))</f>
        <v>353.37479213497227</v>
      </c>
      <c r="CE41" s="59">
        <f t="shared" si="40"/>
        <v>345.4750813433123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7.3245873612437498</v>
      </c>
      <c r="CL41" s="21">
        <f>EXP(-LN(2)/25)*CL40+(1-EXP(-LN(2)/25))/(LN(2)/25)*Calculateur!CG41*Calculateur!CI41*VLOOKUP('Données projet'!$B$12,Paramètres!$A$1:$I$89,3,0)*0.475*44/12</f>
        <v>14.255674775755518</v>
      </c>
      <c r="CM41" s="21">
        <f>EXP(-LN(2)/2)*CM40+(1-EXP(-LN(2)/2))/(LN(2)/2)*CG41*CJ41*VLOOKUP('Données projet'!$B$12,Paramètres!$A$1:$I$89,3,0)*0.475*44/12</f>
        <v>2.8202626626417495</v>
      </c>
      <c r="CN41" s="22">
        <f t="shared" si="12"/>
        <v>24.400524799641016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7.2494000000000005</v>
      </c>
      <c r="CT41" s="12">
        <f>IF('Données projet'!$A$140&gt;35,CT40+CS41-DB40,IF(A41&lt;'Données projet'!$A$140,$CQ$205^A41,IF(A41='Données projet'!$A$140,'Données projet'!$B$140,CT40+CS41-DB40)))</f>
        <v>275.47720000000004</v>
      </c>
      <c r="CU41" s="17">
        <f>CT41*VLOOKUP('Données projet'!$B$13,Paramètres!$A$1:$I$89,3,0)*VLOOKUP('Données projet'!$B$13,Paramètres!$A$1:$I$89,5,0)</f>
        <v>132.50453320000003</v>
      </c>
      <c r="CV41" s="13">
        <f t="shared" si="41"/>
        <v>34.574439125008524</v>
      </c>
      <c r="CW41" s="20">
        <f t="shared" si="13"/>
        <v>290.99587679938986</v>
      </c>
      <c r="CX41" s="59">
        <f t="shared" si="14"/>
        <v>584.32921013272312</v>
      </c>
      <c r="CY41" s="59">
        <f ca="1">AVERAGE(OFFSET($CX$3,0,0,'Données projet'!$E$13+1,1))-AVERAGE(OFFSET($H$3,0,0,'Données projet'!$E$13+1,1))</f>
        <v>314.18760071409162</v>
      </c>
      <c r="CZ41" s="59">
        <f t="shared" si="42"/>
        <v>267.72650645201787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150.95808000000002</v>
      </c>
      <c r="DQ41" s="13">
        <f t="shared" si="43"/>
        <v>38.796231993724774</v>
      </c>
      <c r="DR41" s="20">
        <f t="shared" si="16"/>
        <v>330.48876005573732</v>
      </c>
      <c r="DS41" s="59">
        <f t="shared" si="17"/>
        <v>623.82209338907069</v>
      </c>
      <c r="DT41" s="59">
        <f ca="1">AVERAGE(OFFSET($DS$3,0,0,'Données projet'!$E$14+1,1))-AVERAGE(OFFSET($H$3,0,0,'Données projet'!$E$14+1,1))</f>
        <v>324.86930206492627</v>
      </c>
      <c r="DU41" s="59">
        <f t="shared" si="44"/>
        <v>317.03005098025352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3.376222612829737</v>
      </c>
      <c r="EB41" s="21">
        <f>EXP(-LN(2)/25)*EB40+(1-EXP(-LN(2)/25))/(LN(2)/25)*Calculateur!DW41*Calculateur!DY41*VLOOKUP('Données projet'!$B$14,Paramètres!$A$1:$I$89,3,0)*0.475*44/12</f>
        <v>11.80859527475655</v>
      </c>
      <c r="EC41" s="21">
        <f>EXP(-LN(2)/2)*EC40+(1-EXP(-LN(2)/2))/(LN(2)/2)*DW41*DZ41*VLOOKUP('Données projet'!$B$14,Paramètres!$A$1:$I$89,3,0)*0.475*44/12</f>
        <v>2.4766530341423012</v>
      </c>
      <c r="ED41" s="22">
        <f t="shared" si="18"/>
        <v>17.66147092172859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16.583750000000002</v>
      </c>
      <c r="N42" s="13">
        <f>IF('Données projet'!$A$36&gt;35,N41+M42-V41,IF(A42&lt;'Données projet'!$A$36,$K$205^A42,IF(A42='Données projet'!$A$36,'Données projet'!$B$36,N41+M42-V41)))</f>
        <v>285.81125000000003</v>
      </c>
      <c r="O42" s="13">
        <f>N42*VLOOKUP('Données projet'!$B$9,Paramètres!$A$1:$I$89,3,0)*VLOOKUP('Données projet'!$B$9,Paramètres!$A$1:$I$89,5,0)</f>
        <v>170.91512750000004</v>
      </c>
      <c r="P42" s="13">
        <f t="shared" si="33"/>
        <v>43.294917618591782</v>
      </c>
      <c r="Q42" s="20">
        <f t="shared" si="53"/>
        <v>373.08249524821412</v>
      </c>
      <c r="R42" s="59">
        <f t="shared" si="0"/>
        <v>666.41582858154743</v>
      </c>
      <c r="S42" s="59">
        <f ca="1">AVERAGE(OFFSET($R$3,0,0,'Données projet'!$E$9+1,1))-AVERAGE(OFFSET($H$3,0,0,'Données projet'!$E$9+1,1))</f>
        <v>302.00825291248458</v>
      </c>
      <c r="T42" s="59">
        <f t="shared" si="34"/>
        <v>307.35115839449355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28.895239528850777</v>
      </c>
      <c r="AA42" s="21">
        <f>EXP(-LN(2)/25)*AA41+(1-EXP(-LN(2)/25))/(LN(2)/25)*Calculateur!V42*Calculateur!X42*VLOOKUP('Données projet'!$B$9,Paramètres!$A$1:$I$89,3,0)*0.475*44/12</f>
        <v>16.87533189136856</v>
      </c>
      <c r="AB42" s="21">
        <f>EXP(-LN(2)/2)*AB41+(1-EXP(-LN(2)/2))/(LN(2)/2)*V42*Y42*VLOOKUP('Données projet'!$B$9,Paramètres!$A$1:$I$89,3,0)*0.475*44/12</f>
        <v>3.961113822438838</v>
      </c>
      <c r="AC42" s="22">
        <f t="shared" si="3"/>
        <v>49.73168524265818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25.4</v>
      </c>
      <c r="AI42" s="13">
        <f>IF('Données projet'!$A$62&gt;35,AI41+AH42-AQ41,IF(A42&lt;'Données projet'!$A$62,$AF$205^A42,IF(A42='Données projet'!$A$62,'Données projet'!$B$62,AI41+AH42-AQ41)))</f>
        <v>414.59999999999997</v>
      </c>
      <c r="AJ42" s="13">
        <f>AI42*VLOOKUP('Données projet'!$B$10,Paramètres!$A$1:$I$89,3,0)*VLOOKUP('Données projet'!$B$10,Paramètres!$A$1:$I$89,5,0)</f>
        <v>183.25319999999999</v>
      </c>
      <c r="AK42" s="13">
        <f t="shared" si="35"/>
        <v>46.04520698394716</v>
      </c>
      <c r="AL42" s="20">
        <f t="shared" si="4"/>
        <v>399.36139216370793</v>
      </c>
      <c r="AM42" s="59">
        <f t="shared" si="5"/>
        <v>692.69472549704119</v>
      </c>
      <c r="AN42" s="59">
        <f ca="1">AVERAGE(OFFSET($AM$3,0,0,'Données projet'!$E$10+1,1))-AVERAGE(OFFSET($H$3,0,0,'Données projet'!$E$10+1,1))</f>
        <v>394.37446333077651</v>
      </c>
      <c r="AO42" s="59">
        <f t="shared" si="36"/>
        <v>335.44327961212963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13.068323077398338</v>
      </c>
      <c r="AV42" s="21">
        <f>EXP(-LN(2)/25)*AV41+(1-EXP(-LN(2)/25))/(LN(2)/25)*Calculateur!AQ42*Calculateur!AS42*VLOOKUP('Données projet'!$B$10,Paramètres!$A$1:$I$89,3,0)*0.475*44/12</f>
        <v>17.965405744624341</v>
      </c>
      <c r="AW42" s="21">
        <f>EXP(-LN(2)/2)*AW41+(1-EXP(-LN(2)/2))/(LN(2)/2)*AQ42*AT42*VLOOKUP('Données projet'!$B$10,Paramètres!$A$1:$I$89,3,0)*0.475*44/12</f>
        <v>3.6195625539784215</v>
      </c>
      <c r="AX42" s="21">
        <f t="shared" si="6"/>
        <v>34.6532913760011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4.5856818181818184</v>
      </c>
      <c r="BD42" s="12">
        <f>IF('Données projet'!$A$88&gt;35,BD41+BC42-BL41,IF(A42&lt;'Données projet'!$A$88,$BA$205^A42,IF(A42='Données projet'!$A$88,'Données projet'!$B$88,BD41+BC42-BL41)))</f>
        <v>178.84159090909108</v>
      </c>
      <c r="BE42" s="13">
        <f>BD42*VLOOKUP('Données projet'!$B$11,Paramètres!$A$1:$I$89,3,0)*VLOOKUP('Données projet'!$B$11,Paramètres!$A$1:$I$89,5,0)</f>
        <v>161.8158714545456</v>
      </c>
      <c r="BF42" s="13">
        <f t="shared" si="37"/>
        <v>41.251820884010222</v>
      </c>
      <c r="BG42" s="20">
        <f t="shared" si="7"/>
        <v>353.67623082298468</v>
      </c>
      <c r="BH42" s="59">
        <f t="shared" si="8"/>
        <v>647.00956415631799</v>
      </c>
      <c r="BI42" s="59">
        <f ca="1">AVERAGE(OFFSET($BH$3,0,0,'Données projet'!$E$11+1,1))-AVERAGE(OFFSET($H$3,0,0,'Données projet'!$E$11+1,1))</f>
        <v>490.06222615476065</v>
      </c>
      <c r="BJ42" s="59">
        <f t="shared" si="38"/>
        <v>310.43914804089906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172.32695999999999</v>
      </c>
      <c r="CA42" s="13">
        <f t="shared" si="39"/>
        <v>43.61077213808133</v>
      </c>
      <c r="CB42" s="20">
        <f t="shared" si="10"/>
        <v>376.09155014049156</v>
      </c>
      <c r="CC42" s="59">
        <f t="shared" si="11"/>
        <v>669.42488347382482</v>
      </c>
      <c r="CD42" s="59">
        <f ca="1">AVERAGE(OFFSET($CC$3,0,0,'Données projet'!$E$12+1,1))-AVERAGE(OFFSET($H$3,0,0,'Données projet'!$E$12+1,1))</f>
        <v>353.37479213497227</v>
      </c>
      <c r="CE42" s="59">
        <f t="shared" si="40"/>
        <v>345.4750813433123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7.1809566706469159</v>
      </c>
      <c r="CL42" s="21">
        <f>EXP(-LN(2)/25)*CL41+(1-EXP(-LN(2)/25))/(LN(2)/25)*Calculateur!CG42*Calculateur!CI42*VLOOKUP('Données projet'!$B$12,Paramètres!$A$1:$I$89,3,0)*0.475*44/12</f>
        <v>13.865852599339128</v>
      </c>
      <c r="CM42" s="21">
        <f>EXP(-LN(2)/2)*CM41+(1-EXP(-LN(2)/2))/(LN(2)/2)*CG42*CJ42*VLOOKUP('Données projet'!$B$12,Paramètres!$A$1:$I$89,3,0)*0.475*44/12</f>
        <v>1.9942268534812095</v>
      </c>
      <c r="CN42" s="22">
        <f t="shared" si="12"/>
        <v>23.041036123467251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7.2494000000000005</v>
      </c>
      <c r="CT42" s="12">
        <f>IF('Données projet'!$A$140&gt;35,CT41+CS42-DB41,IF(A42&lt;'Données projet'!$A$140,$CQ$205^A42,IF(A42='Données projet'!$A$140,'Données projet'!$B$140,CT41+CS42-DB41)))</f>
        <v>282.72660000000002</v>
      </c>
      <c r="CU42" s="17">
        <f>CT42*VLOOKUP('Données projet'!$B$13,Paramètres!$A$1:$I$89,3,0)*VLOOKUP('Données projet'!$B$13,Paramètres!$A$1:$I$89,5,0)</f>
        <v>135.99149460000001</v>
      </c>
      <c r="CV42" s="13">
        <f t="shared" si="41"/>
        <v>35.377166405184994</v>
      </c>
      <c r="CW42" s="20">
        <f t="shared" si="13"/>
        <v>298.46708458403054</v>
      </c>
      <c r="CX42" s="59">
        <f t="shared" si="14"/>
        <v>591.8004179173638</v>
      </c>
      <c r="CY42" s="59">
        <f ca="1">AVERAGE(OFFSET($CX$3,0,0,'Données projet'!$E$13+1,1))-AVERAGE(OFFSET($H$3,0,0,'Données projet'!$E$13+1,1))</f>
        <v>314.18760071409162</v>
      </c>
      <c r="CZ42" s="59">
        <f t="shared" si="42"/>
        <v>267.72650645201787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159.34464000000003</v>
      </c>
      <c r="DQ42" s="13">
        <f t="shared" si="43"/>
        <v>40.694661837553809</v>
      </c>
      <c r="DR42" s="20">
        <f t="shared" si="16"/>
        <v>348.4017840337396</v>
      </c>
      <c r="DS42" s="59">
        <f t="shared" si="17"/>
        <v>641.73511736707292</v>
      </c>
      <c r="DT42" s="59">
        <f ca="1">AVERAGE(OFFSET($DS$3,0,0,'Données projet'!$E$14+1,1))-AVERAGE(OFFSET($H$3,0,0,'Données projet'!$E$14+1,1))</f>
        <v>324.86930206492627</v>
      </c>
      <c r="DU42" s="59">
        <f t="shared" si="44"/>
        <v>317.03005098025352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3.3100169466846014</v>
      </c>
      <c r="EB42" s="21">
        <f>EXP(-LN(2)/25)*EB41+(1-EXP(-LN(2)/25))/(LN(2)/25)*Calculateur!DW42*Calculateur!DY42*VLOOKUP('Données projet'!$B$14,Paramètres!$A$1:$I$89,3,0)*0.475*44/12</f>
        <v>11.485688615981296</v>
      </c>
      <c r="EC42" s="21">
        <f>EXP(-LN(2)/2)*EC41+(1-EXP(-LN(2)/2))/(LN(2)/2)*DW42*DZ42*VLOOKUP('Données projet'!$B$14,Paramètres!$A$1:$I$89,3,0)*0.475*44/12</f>
        <v>1.7512581550882593</v>
      </c>
      <c r="ED42" s="22">
        <f t="shared" si="18"/>
        <v>16.546963717754156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16.583750000000002</v>
      </c>
      <c r="N43" s="13">
        <f>IF('Données projet'!$A$36&gt;35,N42+M43-V42,IF(A43&lt;'Données projet'!$A$36,$K$205^A43,IF(A43='Données projet'!$A$36,'Données projet'!$B$36,N42+M43-V42)))</f>
        <v>302.39500000000004</v>
      </c>
      <c r="O43" s="13">
        <f>N43*VLOOKUP('Données projet'!$B$9,Paramètres!$A$1:$I$89,3,0)*VLOOKUP('Données projet'!$B$9,Paramètres!$A$1:$I$89,5,0)</f>
        <v>180.83221000000003</v>
      </c>
      <c r="P43" s="13">
        <f t="shared" si="33"/>
        <v>45.507287823747916</v>
      </c>
      <c r="Q43" s="20">
        <f t="shared" si="53"/>
        <v>394.20795870969431</v>
      </c>
      <c r="R43" s="59">
        <f t="shared" si="0"/>
        <v>687.54129204302762</v>
      </c>
      <c r="S43" s="59">
        <f ca="1">AVERAGE(OFFSET($R$3,0,0,'Données projet'!$E$9+1,1))-AVERAGE(OFFSET($H$3,0,0,'Données projet'!$E$9+1,1))</f>
        <v>302.00825291248458</v>
      </c>
      <c r="T43" s="59">
        <f t="shared" si="34"/>
        <v>307.35115839449355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28.328621506045867</v>
      </c>
      <c r="AA43" s="21">
        <f>EXP(-LN(2)/25)*AA42+(1-EXP(-LN(2)/25))/(LN(2)/25)*Calculateur!V43*Calculateur!X43*VLOOKUP('Données projet'!$B$9,Paramètres!$A$1:$I$89,3,0)*0.475*44/12</f>
        <v>16.413875053363952</v>
      </c>
      <c r="AB43" s="21">
        <f>EXP(-LN(2)/2)*AB42+(1-EXP(-LN(2)/2))/(LN(2)/2)*V43*Y43*VLOOKUP('Données projet'!$B$9,Paramètres!$A$1:$I$89,3,0)*0.475*44/12</f>
        <v>2.8009304448982686</v>
      </c>
      <c r="AC43" s="22">
        <f t="shared" si="3"/>
        <v>47.543427004308086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440</v>
      </c>
      <c r="AG43" s="12">
        <f>VLOOKUP(A43,'Données projet'!$A$61:$I$81,9,0)</f>
        <v>25.4</v>
      </c>
      <c r="AH43" s="12">
        <f t="array" ref="AH43">INDEX(AG:AG,MIN(IF(ISNUMBER(AG43:AG239),ROW(AG43:AG239),"")))</f>
        <v>25.4</v>
      </c>
      <c r="AI43" s="13">
        <f>IF('Données projet'!$A$62&gt;35,AI42+AH43-AQ42,IF(A43&lt;'Données projet'!$A$62,$AF$205^A43,IF(A43='Données projet'!$A$62,'Données projet'!$B$62,AI42+AH43-AQ42)))</f>
        <v>439.99999999999994</v>
      </c>
      <c r="AJ43" s="13">
        <f>AI43*VLOOKUP('Données projet'!$B$10,Paramètres!$A$1:$I$89,3,0)*VLOOKUP('Données projet'!$B$10,Paramètres!$A$1:$I$89,5,0)</f>
        <v>194.48</v>
      </c>
      <c r="AK43" s="13">
        <f t="shared" si="35"/>
        <v>48.529069813916593</v>
      </c>
      <c r="AL43" s="20">
        <f t="shared" si="4"/>
        <v>423.24079659257137</v>
      </c>
      <c r="AM43" s="59">
        <f t="shared" si="5"/>
        <v>716.57412992590469</v>
      </c>
      <c r="AN43" s="59">
        <f ca="1">AVERAGE(OFFSET($AM$3,0,0,'Données projet'!$E$10+1,1))-AVERAGE(OFFSET($H$3,0,0,'Données projet'!$E$10+1,1))</f>
        <v>394.37446333077651</v>
      </c>
      <c r="AO43" s="59">
        <f t="shared" si="36"/>
        <v>335.44327961212963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63</v>
      </c>
      <c r="AR43" s="16">
        <f>IF(ISNA(VLOOKUP(A43,'Données projet'!$A$61:$I$81,5,0)),0%,VLOOKUP(A43,'Données projet'!$A$61:$I$81,5,0)*VLOOKUP('Données projet'!$B$10,Paramètres!$A$1:$I$89,7,0))</f>
        <v>0.13750000000000001</v>
      </c>
      <c r="AS43" s="16">
        <f>IF(ISNA(VLOOKUP(A43,'Données projet'!$A$61:$I$81,6,0)),0%,VLOOKUP(A43,'Données projet'!$A$61:$I$81,6,0)*VLOOKUP('Données projet'!$B$10,Paramètres!$A$1:$I$89,7,0))</f>
        <v>0.20350000000000001</v>
      </c>
      <c r="AT43" s="16">
        <f>IF(ISNA(VLOOKUP(A43,'Données projet'!$A$61:$I$81,7,0)),0%,VLOOKUP(A43,'Données projet'!$A$61:$I$81,7,0))</f>
        <v>0.38</v>
      </c>
      <c r="AU43" s="21">
        <f>EXP(-LN(2)/35)*AU42+(1-EXP(-LN(2)/35))/(LN(2)/35)*AQ43*AR43*VLOOKUP('Données projet'!$B$10,Paramètres!$A$1:$I$89,3,0)*0.475*44/12</f>
        <v>17.89124438383887</v>
      </c>
      <c r="AV43" s="21">
        <f>EXP(-LN(2)/25)*AV42+(1-EXP(-LN(2)/25))/(LN(2)/25)*Calculateur!AQ43*Calculateur!AS43*VLOOKUP('Données projet'!$B$10,Paramètres!$A$1:$I$89,3,0)*0.475*44/12</f>
        <v>24.961733797911599</v>
      </c>
      <c r="AW43" s="21">
        <f>EXP(-LN(2)/2)*AW42+(1-EXP(-LN(2)/2))/(LN(2)/2)*AQ43*AT43*VLOOKUP('Données projet'!$B$10,Paramètres!$A$1:$I$89,3,0)*0.475*44/12</f>
        <v>14.54011063847739</v>
      </c>
      <c r="AX43" s="21">
        <f t="shared" si="6"/>
        <v>57.39308882022786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4.5856818181818184</v>
      </c>
      <c r="BD43" s="12">
        <f>IF('Données projet'!$A$88&gt;35,BD42+BC43-BL42,IF(A43&lt;'Données projet'!$A$88,$BA$205^A43,IF(A43='Données projet'!$A$88,'Données projet'!$B$88,BD42+BC43-BL42)))</f>
        <v>183.42727272727291</v>
      </c>
      <c r="BE43" s="13">
        <f>BD43*VLOOKUP('Données projet'!$B$11,Paramètres!$A$1:$I$89,3,0)*VLOOKUP('Données projet'!$B$11,Paramètres!$A$1:$I$89,5,0)</f>
        <v>165.96499636363652</v>
      </c>
      <c r="BF43" s="13">
        <f t="shared" si="37"/>
        <v>42.185057454593114</v>
      </c>
      <c r="BG43" s="20">
        <f t="shared" si="7"/>
        <v>362.52801040008325</v>
      </c>
      <c r="BH43" s="59">
        <f t="shared" si="8"/>
        <v>655.86134373341656</v>
      </c>
      <c r="BI43" s="59">
        <f ca="1">AVERAGE(OFFSET($BH$3,0,0,'Données projet'!$E$11+1,1))-AVERAGE(OFFSET($H$3,0,0,'Données projet'!$E$11+1,1))</f>
        <v>490.06222615476065</v>
      </c>
      <c r="BJ43" s="59">
        <f t="shared" si="38"/>
        <v>310.43914804089906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181.39680000000001</v>
      </c>
      <c r="CA43" s="13">
        <f t="shared" si="39"/>
        <v>45.63280848550832</v>
      </c>
      <c r="CB43" s="20">
        <f t="shared" si="10"/>
        <v>395.40990144559368</v>
      </c>
      <c r="CC43" s="59">
        <f t="shared" si="11"/>
        <v>688.74323477892699</v>
      </c>
      <c r="CD43" s="59">
        <f ca="1">AVERAGE(OFFSET($CC$3,0,0,'Données projet'!$E$12+1,1))-AVERAGE(OFFSET($H$3,0,0,'Données projet'!$E$12+1,1))</f>
        <v>353.37479213497227</v>
      </c>
      <c r="CE43" s="59">
        <f t="shared" si="40"/>
        <v>345.4750813433123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0.13250000000000001</v>
      </c>
      <c r="CI43" s="16">
        <f>IF(ISNA(VLOOKUP(A43,'Données projet'!$A$113:$I$133,6,0)),0%,VLOOKUP(A43,'Données projet'!$A$113:$I$133,6,0)*VLOOKUP('Données projet'!$B$12,Paramètres!$A$1:$I$89,7,0))</f>
        <v>0.13250000000000001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11.118880475259491</v>
      </c>
      <c r="CL43" s="21">
        <f>EXP(-LN(2)/25)*CL42+(1-EXP(-LN(2)/25))/(LN(2)/25)*Calculateur!CG43*Calculateur!CI43*VLOOKUP('Données projet'!$B$12,Paramètres!$A$1:$I$89,3,0)*0.475*44/12</f>
        <v>17.549368570241725</v>
      </c>
      <c r="CM43" s="21">
        <f>EXP(-LN(2)/2)*CM42+(1-EXP(-LN(2)/2))/(LN(2)/2)*CG43*CJ43*VLOOKUP('Données projet'!$B$12,Paramètres!$A$1:$I$89,3,0)*0.475*44/12</f>
        <v>7.9784939473462853</v>
      </c>
      <c r="CN43" s="22">
        <f t="shared" si="12"/>
        <v>36.6467429928475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7.2494000000000005</v>
      </c>
      <c r="CT43" s="12">
        <f>IF('Données projet'!$A$140&gt;35,CT42+CS43-DB42,IF(A43&lt;'Données projet'!$A$140,$CQ$205^A43,IF(A43='Données projet'!$A$140,'Données projet'!$B$140,CT42+CS43-DB42)))</f>
        <v>289.976</v>
      </c>
      <c r="CU43" s="17">
        <f>CT43*VLOOKUP('Données projet'!$B$13,Paramètres!$A$1:$I$89,3,0)*VLOOKUP('Données projet'!$B$13,Paramètres!$A$1:$I$89,5,0)</f>
        <v>139.47845599999999</v>
      </c>
      <c r="CV43" s="13">
        <f t="shared" si="41"/>
        <v>36.177501147880221</v>
      </c>
      <c r="CW43" s="20">
        <f t="shared" si="13"/>
        <v>305.9341253658913</v>
      </c>
      <c r="CX43" s="59">
        <f t="shared" si="14"/>
        <v>599.26745869922456</v>
      </c>
      <c r="CY43" s="59">
        <f ca="1">AVERAGE(OFFSET($CX$3,0,0,'Données projet'!$E$13+1,1))-AVERAGE(OFFSET($H$3,0,0,'Données projet'!$E$13+1,1))</f>
        <v>314.18760071409162</v>
      </c>
      <c r="CZ43" s="59">
        <f t="shared" si="42"/>
        <v>267.72650645201787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167.73120000000003</v>
      </c>
      <c r="DQ43" s="13">
        <f t="shared" si="43"/>
        <v>42.581491199832655</v>
      </c>
      <c r="DR43" s="20">
        <f t="shared" si="16"/>
        <v>366.29460383970854</v>
      </c>
      <c r="DS43" s="59">
        <f t="shared" si="17"/>
        <v>659.6279371730418</v>
      </c>
      <c r="DT43" s="59">
        <f ca="1">AVERAGE(OFFSET($DS$3,0,0,'Données projet'!$E$14+1,1))-AVERAGE(OFFSET($H$3,0,0,'Données projet'!$E$14+1,1))</f>
        <v>324.86930206492627</v>
      </c>
      <c r="DU43" s="59">
        <f t="shared" si="44"/>
        <v>317.03005098025352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0.13250000000000001</v>
      </c>
      <c r="DY43" s="16">
        <f>IF(ISNA(VLOOKUP(A43,'Données projet'!$A$165:$I$185,6,0)),0%,VLOOKUP(A43,'Données projet'!$A$165:$I$185,6,0)*VLOOKUP('Données projet'!$B$14,Paramètres!$A$1:$I$89,7,0))</f>
        <v>0.13250000000000001</v>
      </c>
      <c r="DZ43" s="16">
        <f>IF(ISNA(VLOOKUP(A43,'Données projet'!$A$165:$I$185,7,0)),0%,VLOOKUP(A43,'Données projet'!$A$165:$I$185,7,0))</f>
        <v>0.25</v>
      </c>
      <c r="EA43" s="21">
        <f>EXP(-LN(2)/35)*EA42+(1-EXP(-LN(2)/35))/(LN(2)/35)*DW43*DX43*VLOOKUP('Données projet'!$B$14,Paramètres!$A$1:$I$89,3,0)*0.475*44/12</f>
        <v>6.828000939678649</v>
      </c>
      <c r="EB43" s="21">
        <f>EXP(-LN(2)/25)*EB42+(1-EXP(-LN(2)/25))/(LN(2)/25)*Calculateur!DW43*Calculateur!DY43*VLOOKUP('Données projet'!$B$14,Paramètres!$A$1:$I$89,3,0)*0.475*44/12</f>
        <v>14.740396054523039</v>
      </c>
      <c r="EC43" s="21">
        <f>EXP(-LN(2)/2)*EC42+(1-EXP(-LN(2)/2))/(LN(2)/2)*DW43*DZ43*VLOOKUP('Données projet'!$B$14,Paramètres!$A$1:$I$89,3,0)*0.475*44/12</f>
        <v>7.0081823052660219</v>
      </c>
      <c r="ED43" s="22">
        <f t="shared" si="18"/>
        <v>28.57657929946771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16.583750000000002</v>
      </c>
      <c r="N44" s="13">
        <f>IF('Données projet'!$A$36&gt;35,N43+M44-V43,IF(A44&lt;'Données projet'!$A$36,$K$205^A44,IF(A44='Données projet'!$A$36,'Données projet'!$B$36,N43+M44-V43)))</f>
        <v>318.97875000000005</v>
      </c>
      <c r="O44" s="13">
        <f>N44*VLOOKUP('Données projet'!$B$9,Paramètres!$A$1:$I$89,3,0)*VLOOKUP('Données projet'!$B$9,Paramètres!$A$1:$I$89,5,0)</f>
        <v>190.74929250000002</v>
      </c>
      <c r="P44" s="13">
        <f t="shared" si="33"/>
        <v>47.705572818216723</v>
      </c>
      <c r="Q44" s="20">
        <f t="shared" si="53"/>
        <v>415.30889042922746</v>
      </c>
      <c r="R44" s="59">
        <f t="shared" si="0"/>
        <v>708.64222376256077</v>
      </c>
      <c r="S44" s="59">
        <f ca="1">AVERAGE(OFFSET($R$3,0,0,'Données projet'!$E$9+1,1))-AVERAGE(OFFSET($H$3,0,0,'Données projet'!$E$9+1,1))</f>
        <v>302.00825291248458</v>
      </c>
      <c r="T44" s="59">
        <f t="shared" si="34"/>
        <v>307.35115839449355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27.773114517065292</v>
      </c>
      <c r="AA44" s="21">
        <f>EXP(-LN(2)/25)*AA43+(1-EXP(-LN(2)/25))/(LN(2)/25)*Calculateur!V44*Calculateur!X44*VLOOKUP('Données projet'!$B$9,Paramètres!$A$1:$I$89,3,0)*0.475*44/12</f>
        <v>15.96503677686154</v>
      </c>
      <c r="AB44" s="21">
        <f>EXP(-LN(2)/2)*AB43+(1-EXP(-LN(2)/2))/(LN(2)/2)*V44*Y44*VLOOKUP('Données projet'!$B$9,Paramètres!$A$1:$I$89,3,0)*0.475*44/12</f>
        <v>1.9805569112194195</v>
      </c>
      <c r="AC44" s="22">
        <f t="shared" si="3"/>
        <v>45.71870820514625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24.2</v>
      </c>
      <c r="AI44" s="13">
        <f>IF('Données projet'!$A$62&gt;35,AI43+AH44-AQ43,IF(A44&lt;'Données projet'!$A$62,$AF$205^A44,IF(A44='Données projet'!$A$62,'Données projet'!$B$62,AI43+AH44-AQ43)))</f>
        <v>401.19999999999993</v>
      </c>
      <c r="AJ44" s="13">
        <f>AI44*VLOOKUP('Données projet'!$B$10,Paramètres!$A$1:$I$89,3,0)*VLOOKUP('Données projet'!$B$10,Paramètres!$A$1:$I$89,5,0)</f>
        <v>177.3304</v>
      </c>
      <c r="AK44" s="13">
        <f t="shared" si="35"/>
        <v>44.72773383028116</v>
      </c>
      <c r="AL44" s="20">
        <f t="shared" si="4"/>
        <v>386.75124975440627</v>
      </c>
      <c r="AM44" s="59">
        <f t="shared" si="5"/>
        <v>680.08458308773959</v>
      </c>
      <c r="AN44" s="59">
        <f ca="1">AVERAGE(OFFSET($AM$3,0,0,'Données projet'!$E$10+1,1))-AVERAGE(OFFSET($H$3,0,0,'Données projet'!$E$10+1,1))</f>
        <v>394.37446333077651</v>
      </c>
      <c r="AO44" s="59">
        <f t="shared" si="36"/>
        <v>335.44327961212963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17.540407994053336</v>
      </c>
      <c r="AV44" s="21">
        <f>EXP(-LN(2)/25)*AV43+(1-EXP(-LN(2)/25))/(LN(2)/25)*Calculateur!AQ44*Calculateur!AS44*VLOOKUP('Données projet'!$B$10,Paramètres!$A$1:$I$89,3,0)*0.475*44/12</f>
        <v>24.279153874527175</v>
      </c>
      <c r="AW44" s="21">
        <f>EXP(-LN(2)/2)*AW43+(1-EXP(-LN(2)/2))/(LN(2)/2)*AQ44*AT44*VLOOKUP('Données projet'!$B$10,Paramètres!$A$1:$I$89,3,0)*0.475*44/12</f>
        <v>10.281410831670025</v>
      </c>
      <c r="AX44" s="21">
        <f t="shared" si="6"/>
        <v>52.10097270025053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4.5856818181818184</v>
      </c>
      <c r="BD44" s="12">
        <f>IF('Données projet'!$A$88&gt;35,BD43+BC44-BL43,IF(A44&lt;'Données projet'!$A$88,$BA$205^A44,IF(A44='Données projet'!$A$88,'Données projet'!$B$88,BD43+BC44-BL43)))</f>
        <v>188.01295454545473</v>
      </c>
      <c r="BE44" s="13">
        <f>BD44*VLOOKUP('Données projet'!$B$11,Paramètres!$A$1:$I$89,3,0)*VLOOKUP('Données projet'!$B$11,Paramètres!$A$1:$I$89,5,0)</f>
        <v>170.11412127272743</v>
      </c>
      <c r="BF44" s="13">
        <f t="shared" si="37"/>
        <v>43.115581955736218</v>
      </c>
      <c r="BG44" s="20">
        <f t="shared" si="7"/>
        <v>371.3750664562408</v>
      </c>
      <c r="BH44" s="59">
        <f t="shared" si="8"/>
        <v>664.70839978957406</v>
      </c>
      <c r="BI44" s="59">
        <f ca="1">AVERAGE(OFFSET($BH$3,0,0,'Données projet'!$E$11+1,1))-AVERAGE(OFFSET($H$3,0,0,'Données projet'!$E$11+1,1))</f>
        <v>490.06222615476065</v>
      </c>
      <c r="BJ44" s="59">
        <f t="shared" si="38"/>
        <v>310.43914804089906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161.34768000000003</v>
      </c>
      <c r="CA44" s="13">
        <f t="shared" si="39"/>
        <v>41.146339844316657</v>
      </c>
      <c r="CB44" s="20">
        <f t="shared" si="10"/>
        <v>352.6770845621848</v>
      </c>
      <c r="CC44" s="59">
        <f t="shared" si="11"/>
        <v>646.01041789551812</v>
      </c>
      <c r="CD44" s="59">
        <f ca="1">AVERAGE(OFFSET($CC$3,0,0,'Données projet'!$E$12+1,1))-AVERAGE(OFFSET($H$3,0,0,'Données projet'!$E$12+1,1))</f>
        <v>353.37479213497227</v>
      </c>
      <c r="CE44" s="59">
        <f t="shared" si="40"/>
        <v>345.4750813433123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10.90084601098709</v>
      </c>
      <c r="CL44" s="21">
        <f>EXP(-LN(2)/25)*CL43+(1-EXP(-LN(2)/25))/(LN(2)/25)*Calculateur!CG44*Calculateur!CI44*VLOOKUP('Données projet'!$B$12,Paramètres!$A$1:$I$89,3,0)*0.475*44/12</f>
        <v>17.069480163807281</v>
      </c>
      <c r="CM44" s="21">
        <f>EXP(-LN(2)/2)*CM43+(1-EXP(-LN(2)/2))/(LN(2)/2)*CG44*CJ44*VLOOKUP('Données projet'!$B$12,Paramètres!$A$1:$I$89,3,0)*0.475*44/12</f>
        <v>5.6416471738243841</v>
      </c>
      <c r="CN44" s="22">
        <f t="shared" si="12"/>
        <v>33.611973348618754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7.2494000000000005</v>
      </c>
      <c r="CT44" s="12">
        <f>IF('Données projet'!$A$140&gt;35,CT43+CS44-DB43,IF(A44&lt;'Données projet'!$A$140,$CQ$205^A44,IF(A44='Données projet'!$A$140,'Données projet'!$B$140,CT43+CS44-DB43)))</f>
        <v>297.22539999999998</v>
      </c>
      <c r="CU44" s="17">
        <f>CT44*VLOOKUP('Données projet'!$B$13,Paramètres!$A$1:$I$89,3,0)*VLOOKUP('Données projet'!$B$13,Paramètres!$A$1:$I$89,5,0)</f>
        <v>142.96541739999998</v>
      </c>
      <c r="CV44" s="13">
        <f t="shared" si="41"/>
        <v>36.975510045805045</v>
      </c>
      <c r="CW44" s="20">
        <f t="shared" si="13"/>
        <v>313.3971153014437</v>
      </c>
      <c r="CX44" s="59">
        <f t="shared" si="14"/>
        <v>606.73044863477708</v>
      </c>
      <c r="CY44" s="59">
        <f ca="1">AVERAGE(OFFSET($CX$3,0,0,'Données projet'!$E$13+1,1))-AVERAGE(OFFSET($H$3,0,0,'Données projet'!$E$13+1,1))</f>
        <v>314.18760071409162</v>
      </c>
      <c r="CZ44" s="59">
        <f t="shared" si="42"/>
        <v>267.72650645201787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150.43392</v>
      </c>
      <c r="DQ44" s="13">
        <f t="shared" si="43"/>
        <v>38.677178913707927</v>
      </c>
      <c r="DR44" s="20">
        <f t="shared" si="16"/>
        <v>329.36849727470798</v>
      </c>
      <c r="DS44" s="59">
        <f t="shared" si="17"/>
        <v>622.70183060804129</v>
      </c>
      <c r="DT44" s="59">
        <f ca="1">AVERAGE(OFFSET($DS$3,0,0,'Données projet'!$E$14+1,1))-AVERAGE(OFFSET($H$3,0,0,'Données projet'!$E$14+1,1))</f>
        <v>324.86930206492627</v>
      </c>
      <c r="DU44" s="59">
        <f t="shared" si="44"/>
        <v>317.03005098025352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6.6941080059208966</v>
      </c>
      <c r="EB44" s="21">
        <f>EXP(-LN(2)/25)*EB43+(1-EXP(-LN(2)/25))/(LN(2)/25)*Calculateur!DW44*Calculateur!DY44*VLOOKUP('Données projet'!$B$14,Paramètres!$A$1:$I$89,3,0)*0.475*44/12</f>
        <v>14.337319149248367</v>
      </c>
      <c r="EC44" s="21">
        <f>EXP(-LN(2)/2)*EC43+(1-EXP(-LN(2)/2))/(LN(2)/2)*DW44*DZ44*VLOOKUP('Données projet'!$B$14,Paramètres!$A$1:$I$89,3,0)*0.475*44/12</f>
        <v>4.9555332318451759</v>
      </c>
      <c r="ED44" s="22">
        <f t="shared" si="18"/>
        <v>25.986960387014442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16.583750000000002</v>
      </c>
      <c r="N45" s="13">
        <f>IF('Données projet'!$A$36&gt;35,N44+M45-V44,IF(A45&lt;'Données projet'!$A$36,$K$205^A45,IF(A45='Données projet'!$A$36,'Données projet'!$B$36,N44+M45-V44)))</f>
        <v>335.56250000000006</v>
      </c>
      <c r="O45" s="13">
        <f>N45*VLOOKUP('Données projet'!$B$9,Paramètres!$A$1:$I$89,3,0)*VLOOKUP('Données projet'!$B$9,Paramètres!$A$1:$I$89,5,0)</f>
        <v>200.66637500000007</v>
      </c>
      <c r="P45" s="13">
        <f t="shared" si="33"/>
        <v>49.890588417680917</v>
      </c>
      <c r="Q45" s="20">
        <f t="shared" si="53"/>
        <v>436.38671128579443</v>
      </c>
      <c r="R45" s="59">
        <f t="shared" si="0"/>
        <v>729.72004461912775</v>
      </c>
      <c r="S45" s="59">
        <f ca="1">AVERAGE(OFFSET($R$3,0,0,'Données projet'!$E$9+1,1))-AVERAGE(OFFSET($H$3,0,0,'Données projet'!$E$9+1,1))</f>
        <v>302.00825291248458</v>
      </c>
      <c r="T45" s="59">
        <f t="shared" si="34"/>
        <v>307.35115839449355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27.228500681312816</v>
      </c>
      <c r="AA45" s="21">
        <f>EXP(-LN(2)/25)*AA44+(1-EXP(-LN(2)/25))/(LN(2)/25)*Calculateur!V45*Calculateur!X45*VLOOKUP('Données projet'!$B$9,Paramètres!$A$1:$I$89,3,0)*0.475*44/12</f>
        <v>15.528472006633466</v>
      </c>
      <c r="AB45" s="21">
        <f>EXP(-LN(2)/2)*AB44+(1-EXP(-LN(2)/2))/(LN(2)/2)*V45*Y45*VLOOKUP('Données projet'!$B$9,Paramètres!$A$1:$I$89,3,0)*0.475*44/12</f>
        <v>1.4004652224491345</v>
      </c>
      <c r="AC45" s="22">
        <f t="shared" si="3"/>
        <v>44.157437910395416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24.2</v>
      </c>
      <c r="AI45" s="13">
        <f>IF('Données projet'!$A$62&gt;35,AI44+AH45-AQ44,IF(A45&lt;'Données projet'!$A$62,$AF$205^A45,IF(A45='Données projet'!$A$62,'Données projet'!$B$62,AI44+AH45-AQ44)))</f>
        <v>425.39999999999992</v>
      </c>
      <c r="AJ45" s="13">
        <f>AI45*VLOOKUP('Données projet'!$B$10,Paramètres!$A$1:$I$89,3,0)*VLOOKUP('Données projet'!$B$10,Paramètres!$A$1:$I$89,5,0)</f>
        <v>188.02680000000001</v>
      </c>
      <c r="AK45" s="13">
        <f t="shared" si="35"/>
        <v>47.103441645351992</v>
      </c>
      <c r="AL45" s="20">
        <f t="shared" si="4"/>
        <v>409.51850419898801</v>
      </c>
      <c r="AM45" s="59">
        <f t="shared" si="5"/>
        <v>702.85183753232127</v>
      </c>
      <c r="AN45" s="59">
        <f ca="1">AVERAGE(OFFSET($AM$3,0,0,'Données projet'!$E$10+1,1))-AVERAGE(OFFSET($H$3,0,0,'Données projet'!$E$10+1,1))</f>
        <v>394.37446333077651</v>
      </c>
      <c r="AO45" s="59">
        <f t="shared" si="36"/>
        <v>335.44327961212963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17.196451291882429</v>
      </c>
      <c r="AV45" s="21">
        <f>EXP(-LN(2)/25)*AV44+(1-EXP(-LN(2)/25))/(LN(2)/25)*Calculateur!AQ45*Calculateur!AS45*VLOOKUP('Données projet'!$B$10,Paramètres!$A$1:$I$89,3,0)*0.475*44/12</f>
        <v>23.615239135043019</v>
      </c>
      <c r="AW45" s="21">
        <f>EXP(-LN(2)/2)*AW44+(1-EXP(-LN(2)/2))/(LN(2)/2)*AQ45*AT45*VLOOKUP('Données projet'!$B$10,Paramètres!$A$1:$I$89,3,0)*0.475*44/12</f>
        <v>7.2700553192386961</v>
      </c>
      <c r="AX45" s="21">
        <f t="shared" si="6"/>
        <v>48.081745746164145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4.5856818181818184</v>
      </c>
      <c r="BD45" s="12">
        <f>IF('Données projet'!$A$88&gt;35,BD44+BC45-BL44,IF(A45&lt;'Données projet'!$A$88,$BA$205^A45,IF(A45='Données projet'!$A$88,'Données projet'!$B$88,BD44+BC45-BL44)))</f>
        <v>192.59863636363656</v>
      </c>
      <c r="BE45" s="13">
        <f>BD45*VLOOKUP('Données projet'!$B$11,Paramètres!$A$1:$I$89,3,0)*VLOOKUP('Données projet'!$B$11,Paramètres!$A$1:$I$89,5,0)</f>
        <v>174.26324618181837</v>
      </c>
      <c r="BF45" s="13">
        <f t="shared" si="37"/>
        <v>44.043468145167253</v>
      </c>
      <c r="BG45" s="20">
        <f t="shared" si="7"/>
        <v>380.21752745283328</v>
      </c>
      <c r="BH45" s="59">
        <f t="shared" si="8"/>
        <v>673.5508607861666</v>
      </c>
      <c r="BI45" s="59">
        <f ca="1">AVERAGE(OFFSET($BH$3,0,0,'Données projet'!$E$11+1,1))-AVERAGE(OFFSET($H$3,0,0,'Données projet'!$E$11+1,1))</f>
        <v>490.06222615476065</v>
      </c>
      <c r="BJ45" s="59">
        <f t="shared" si="38"/>
        <v>310.43914804089906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169.14456000000004</v>
      </c>
      <c r="CA45" s="13">
        <f t="shared" si="39"/>
        <v>42.898377267189964</v>
      </c>
      <c r="CB45" s="20">
        <f t="shared" si="10"/>
        <v>369.30811574035596</v>
      </c>
      <c r="CC45" s="59">
        <f t="shared" si="11"/>
        <v>662.64144907368927</v>
      </c>
      <c r="CD45" s="59">
        <f ca="1">AVERAGE(OFFSET($CC$3,0,0,'Données projet'!$E$12+1,1))-AVERAGE(OFFSET($H$3,0,0,'Données projet'!$E$12+1,1))</f>
        <v>353.37479213497227</v>
      </c>
      <c r="CE45" s="59">
        <f t="shared" si="40"/>
        <v>345.4750813433123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10.687087069571179</v>
      </c>
      <c r="CL45" s="21">
        <f>EXP(-LN(2)/25)*CL44+(1-EXP(-LN(2)/25))/(LN(2)/25)*Calculateur!CG45*Calculateur!CI45*VLOOKUP('Données projet'!$B$12,Paramètres!$A$1:$I$89,3,0)*0.475*44/12</f>
        <v>16.602714331083021</v>
      </c>
      <c r="CM45" s="21">
        <f>EXP(-LN(2)/2)*CM44+(1-EXP(-LN(2)/2))/(LN(2)/2)*CG45*CJ45*VLOOKUP('Données projet'!$B$12,Paramètres!$A$1:$I$89,3,0)*0.475*44/12</f>
        <v>3.9892469736731431</v>
      </c>
      <c r="CN45" s="22">
        <f t="shared" si="12"/>
        <v>31.279048374327342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7.2494000000000005</v>
      </c>
      <c r="CT45" s="12">
        <f>IF('Données projet'!$A$140&gt;35,CT44+CS45-DB44,IF(A45&lt;'Données projet'!$A$140,$CQ$205^A45,IF(A45='Données projet'!$A$140,'Données projet'!$B$140,CT44+CS45-DB44)))</f>
        <v>304.47479999999996</v>
      </c>
      <c r="CU45" s="17">
        <f>CT45*VLOOKUP('Données projet'!$B$13,Paramètres!$A$1:$I$89,3,0)*VLOOKUP('Données projet'!$B$13,Paramètres!$A$1:$I$89,5,0)</f>
        <v>146.45237879999999</v>
      </c>
      <c r="CV45" s="13">
        <f t="shared" si="41"/>
        <v>37.771256352880151</v>
      </c>
      <c r="CW45" s="20">
        <f t="shared" si="13"/>
        <v>320.85616455793291</v>
      </c>
      <c r="CX45" s="59">
        <f t="shared" si="14"/>
        <v>614.18949789126623</v>
      </c>
      <c r="CY45" s="59">
        <f ca="1">AVERAGE(OFFSET($CX$3,0,0,'Données projet'!$E$13+1,1))-AVERAGE(OFFSET($H$3,0,0,'Données projet'!$E$13+1,1))</f>
        <v>314.18760071409162</v>
      </c>
      <c r="CZ45" s="59">
        <f t="shared" si="42"/>
        <v>267.72650645201787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157.59744000000001</v>
      </c>
      <c r="DQ45" s="13">
        <f t="shared" si="43"/>
        <v>40.300135037830529</v>
      </c>
      <c r="DR45" s="20">
        <f t="shared" si="16"/>
        <v>344.67160985755481</v>
      </c>
      <c r="DS45" s="59">
        <f t="shared" si="17"/>
        <v>638.00494319088807</v>
      </c>
      <c r="DT45" s="59">
        <f ca="1">AVERAGE(OFFSET($DS$3,0,0,'Données projet'!$E$14+1,1))-AVERAGE(OFFSET($H$3,0,0,'Données projet'!$E$14+1,1))</f>
        <v>324.86930206492627</v>
      </c>
      <c r="DU45" s="59">
        <f t="shared" si="44"/>
        <v>317.03005098025352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6.562840630927508</v>
      </c>
      <c r="EB45" s="21">
        <f>EXP(-LN(2)/25)*EB44+(1-EXP(-LN(2)/25))/(LN(2)/25)*Calculateur!DW45*Calculateur!DY45*VLOOKUP('Données projet'!$B$14,Paramètres!$A$1:$I$89,3,0)*0.475*44/12</f>
        <v>13.945264403145325</v>
      </c>
      <c r="EC45" s="21">
        <f>EXP(-LN(2)/2)*EC44+(1-EXP(-LN(2)/2))/(LN(2)/2)*DW45*DZ45*VLOOKUP('Données projet'!$B$14,Paramètres!$A$1:$I$89,3,0)*0.475*44/12</f>
        <v>3.5040911526330119</v>
      </c>
      <c r="ED45" s="22">
        <f t="shared" si="18"/>
        <v>24.012196186705847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16.583750000000002</v>
      </c>
      <c r="N46" s="13">
        <f>IF('Données projet'!$A$36&gt;35,N45+M46-V45,IF(A46&lt;'Données projet'!$A$36,$K$205^A46,IF(A46='Données projet'!$A$36,'Données projet'!$B$36,N45+M46-V45)))</f>
        <v>352.14625000000007</v>
      </c>
      <c r="O46" s="13">
        <f>N46*VLOOKUP('Données projet'!$B$9,Paramètres!$A$1:$I$89,3,0)*VLOOKUP('Données projet'!$B$9,Paramètres!$A$1:$I$89,5,0)</f>
        <v>210.58345750000007</v>
      </c>
      <c r="P46" s="13">
        <f t="shared" si="33"/>
        <v>52.063065246002132</v>
      </c>
      <c r="Q46" s="20">
        <f t="shared" si="53"/>
        <v>457.44269378262044</v>
      </c>
      <c r="R46" s="59">
        <f t="shared" si="0"/>
        <v>750.77602711595375</v>
      </c>
      <c r="S46" s="59">
        <f ca="1">AVERAGE(OFFSET($R$3,0,0,'Données projet'!$E$9+1,1))-AVERAGE(OFFSET($H$3,0,0,'Données projet'!$E$9+1,1))</f>
        <v>302.00825291248458</v>
      </c>
      <c r="T46" s="59">
        <f t="shared" si="34"/>
        <v>307.35115839449355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26.694566390697808</v>
      </c>
      <c r="AA46" s="21">
        <f>EXP(-LN(2)/25)*AA45+(1-EXP(-LN(2)/25))/(LN(2)/25)*Calculateur!V46*Calculateur!X46*VLOOKUP('Données projet'!$B$9,Paramètres!$A$1:$I$89,3,0)*0.475*44/12</f>
        <v>15.103845123005222</v>
      </c>
      <c r="AB46" s="21">
        <f>EXP(-LN(2)/2)*AB45+(1-EXP(-LN(2)/2))/(LN(2)/2)*V46*Y46*VLOOKUP('Données projet'!$B$9,Paramètres!$A$1:$I$89,3,0)*0.475*44/12</f>
        <v>0.99027845560970984</v>
      </c>
      <c r="AC46" s="22">
        <f t="shared" si="3"/>
        <v>42.788689969312742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24.2</v>
      </c>
      <c r="AI46" s="13">
        <f>IF('Données projet'!$A$62&gt;35,AI45+AH46-AQ45,IF(A46&lt;'Données projet'!$A$62,$AF$205^A46,IF(A46='Données projet'!$A$62,'Données projet'!$B$62,AI45+AH46-AQ45)))</f>
        <v>449.59999999999991</v>
      </c>
      <c r="AJ46" s="13">
        <f>AI46*VLOOKUP('Données projet'!$B$10,Paramètres!$A$1:$I$89,3,0)*VLOOKUP('Données projet'!$B$10,Paramètres!$A$1:$I$89,5,0)</f>
        <v>198.72319999999996</v>
      </c>
      <c r="AK46" s="13">
        <f t="shared" si="35"/>
        <v>49.463461224416463</v>
      </c>
      <c r="AL46" s="20">
        <f t="shared" si="4"/>
        <v>432.25843496585861</v>
      </c>
      <c r="AM46" s="59">
        <f t="shared" si="5"/>
        <v>725.59176829919193</v>
      </c>
      <c r="AN46" s="59">
        <f ca="1">AVERAGE(OFFSET($AM$3,0,0,'Données projet'!$E$10+1,1))-AVERAGE(OFFSET($H$3,0,0,'Données projet'!$E$10+1,1))</f>
        <v>394.37446333077651</v>
      </c>
      <c r="AO46" s="59">
        <f t="shared" si="36"/>
        <v>335.44327961212963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16.859239370848218</v>
      </c>
      <c r="AV46" s="21">
        <f>EXP(-LN(2)/25)*AV45+(1-EXP(-LN(2)/25))/(LN(2)/25)*Calculateur!AQ46*Calculateur!AS46*VLOOKUP('Données projet'!$B$10,Paramètres!$A$1:$I$89,3,0)*0.475*44/12</f>
        <v>22.969479179023814</v>
      </c>
      <c r="AW46" s="21">
        <f>EXP(-LN(2)/2)*AW45+(1-EXP(-LN(2)/2))/(LN(2)/2)*AQ46*AT46*VLOOKUP('Données projet'!$B$10,Paramètres!$A$1:$I$89,3,0)*0.475*44/12</f>
        <v>5.1407054158350132</v>
      </c>
      <c r="AX46" s="21">
        <f t="shared" si="6"/>
        <v>44.969423965707051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4.5856818181818184</v>
      </c>
      <c r="BD46" s="12">
        <f>IF('Données projet'!$A$88&gt;35,BD45+BC46-BL45,IF(A46&lt;'Données projet'!$A$88,$BA$205^A46,IF(A46='Données projet'!$A$88,'Données projet'!$B$88,BD45+BC46-BL45)))</f>
        <v>197.18431818181838</v>
      </c>
      <c r="BE46" s="13">
        <f>BD46*VLOOKUP('Données projet'!$B$11,Paramètres!$A$1:$I$89,3,0)*VLOOKUP('Données projet'!$B$11,Paramètres!$A$1:$I$89,5,0)</f>
        <v>178.41237109090926</v>
      </c>
      <c r="BF46" s="13">
        <f t="shared" si="37"/>
        <v>44.968786068016108</v>
      </c>
      <c r="BG46" s="20">
        <f t="shared" si="7"/>
        <v>389.05551538512827</v>
      </c>
      <c r="BH46" s="59">
        <f t="shared" si="8"/>
        <v>682.38884871846153</v>
      </c>
      <c r="BI46" s="59">
        <f ca="1">AVERAGE(OFFSET($BH$3,0,0,'Données projet'!$E$11+1,1))-AVERAGE(OFFSET($H$3,0,0,'Données projet'!$E$11+1,1))</f>
        <v>490.06222615476065</v>
      </c>
      <c r="BJ46" s="59">
        <f t="shared" si="38"/>
        <v>310.43914804089906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176.94144000000003</v>
      </c>
      <c r="CA46" s="13">
        <f t="shared" si="39"/>
        <v>44.641035679901449</v>
      </c>
      <c r="CB46" s="20">
        <f t="shared" si="10"/>
        <v>385.92281180916171</v>
      </c>
      <c r="CC46" s="59">
        <f t="shared" si="11"/>
        <v>679.25614514249503</v>
      </c>
      <c r="CD46" s="59">
        <f ca="1">AVERAGE(OFFSET($CC$3,0,0,'Données projet'!$E$12+1,1))-AVERAGE(OFFSET($H$3,0,0,'Données projet'!$E$12+1,1))</f>
        <v>353.37479213497227</v>
      </c>
      <c r="CE46" s="59">
        <f t="shared" si="40"/>
        <v>345.4750813433123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10.477519810616354</v>
      </c>
      <c r="CL46" s="21">
        <f>EXP(-LN(2)/25)*CL45+(1-EXP(-LN(2)/25))/(LN(2)/25)*Calculateur!CG46*Calculateur!CI46*VLOOKUP('Données projet'!$B$12,Paramètres!$A$1:$I$89,3,0)*0.475*44/12</f>
        <v>16.148712234600755</v>
      </c>
      <c r="CM46" s="21">
        <f>EXP(-LN(2)/2)*CM45+(1-EXP(-LN(2)/2))/(LN(2)/2)*CG46*CJ46*VLOOKUP('Données projet'!$B$12,Paramètres!$A$1:$I$89,3,0)*0.475*44/12</f>
        <v>2.8208235869121925</v>
      </c>
      <c r="CN46" s="22">
        <f t="shared" si="12"/>
        <v>29.447055632129299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7.2494000000000005</v>
      </c>
      <c r="CT46" s="12">
        <f>IF('Données projet'!$A$140&gt;35,CT45+CS46-DB45,IF(A46&lt;'Données projet'!$A$140,$CQ$205^A46,IF(A46='Données projet'!$A$140,'Données projet'!$B$140,CT45+CS46-DB45)))</f>
        <v>311.72419999999994</v>
      </c>
      <c r="CU46" s="17">
        <f>CT46*VLOOKUP('Données projet'!$B$13,Paramètres!$A$1:$I$89,3,0)*VLOOKUP('Données projet'!$B$13,Paramètres!$A$1:$I$89,5,0)</f>
        <v>149.93934019999998</v>
      </c>
      <c r="CV46" s="13">
        <f t="shared" si="41"/>
        <v>38.564800139137901</v>
      </c>
      <c r="CW46" s="20">
        <f t="shared" si="13"/>
        <v>328.3113777573318</v>
      </c>
      <c r="CX46" s="59">
        <f t="shared" si="14"/>
        <v>621.64471109066517</v>
      </c>
      <c r="CY46" s="59">
        <f ca="1">AVERAGE(OFFSET($CX$3,0,0,'Données projet'!$E$13+1,1))-AVERAGE(OFFSET($H$3,0,0,'Données projet'!$E$13+1,1))</f>
        <v>314.18760071409162</v>
      </c>
      <c r="CZ46" s="59">
        <f t="shared" si="42"/>
        <v>267.72650645201787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164.76095999999998</v>
      </c>
      <c r="DQ46" s="13">
        <f t="shared" si="43"/>
        <v>41.91452380971991</v>
      </c>
      <c r="DR46" s="20">
        <f t="shared" si="16"/>
        <v>359.9598009685954</v>
      </c>
      <c r="DS46" s="59">
        <f t="shared" si="17"/>
        <v>653.29313430192872</v>
      </c>
      <c r="DT46" s="59">
        <f ca="1">AVERAGE(OFFSET($DS$3,0,0,'Données projet'!$E$14+1,1))-AVERAGE(OFFSET($H$3,0,0,'Données projet'!$E$14+1,1))</f>
        <v>324.86930206492627</v>
      </c>
      <c r="DU46" s="59">
        <f t="shared" si="44"/>
        <v>317.03005098025352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6.4341473290925473</v>
      </c>
      <c r="EB46" s="21">
        <f>EXP(-LN(2)/25)*EB45+(1-EXP(-LN(2)/25))/(LN(2)/25)*Calculateur!DW46*Calculateur!DY46*VLOOKUP('Données projet'!$B$14,Paramètres!$A$1:$I$89,3,0)*0.475*44/12</f>
        <v>13.563930414691734</v>
      </c>
      <c r="EC46" s="21">
        <f>EXP(-LN(2)/2)*EC45+(1-EXP(-LN(2)/2))/(LN(2)/2)*DW46*DZ46*VLOOKUP('Données projet'!$B$14,Paramètres!$A$1:$I$89,3,0)*0.475*44/12</f>
        <v>2.4777666159225884</v>
      </c>
      <c r="ED46" s="22">
        <f t="shared" si="18"/>
        <v>22.475844359706869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368.73</v>
      </c>
      <c r="L47" s="12">
        <f>VLOOKUP(A47,'Données projet'!$A$35:$I$55,9,0)</f>
        <v>16.583750000000002</v>
      </c>
      <c r="M47" s="12">
        <f t="array" ref="M47">INDEX(L:L,MIN(IF(ISNUMBER(L47:L243),ROW(L47:L243),"")))</f>
        <v>16.583750000000002</v>
      </c>
      <c r="N47" s="13">
        <f>IF('Données projet'!$A$36&gt;35,N46+M47-V46,IF(A47&lt;'Données projet'!$A$36,$K$205^A47,IF(A47='Données projet'!$A$36,'Données projet'!$B$36,N46+M47-V46)))</f>
        <v>368.73000000000008</v>
      </c>
      <c r="O47" s="13">
        <f>N47*VLOOKUP('Données projet'!$B$9,Paramètres!$A$1:$I$89,3,0)*VLOOKUP('Données projet'!$B$9,Paramètres!$A$1:$I$89,5,0)</f>
        <v>220.50054000000006</v>
      </c>
      <c r="P47" s="13">
        <f t="shared" si="33"/>
        <v>54.223661223229719</v>
      </c>
      <c r="Q47" s="20">
        <f t="shared" si="53"/>
        <v>478.47798379712521</v>
      </c>
      <c r="R47" s="59">
        <f t="shared" si="0"/>
        <v>771.81131713045852</v>
      </c>
      <c r="S47" s="59">
        <f ca="1">AVERAGE(OFFSET($R$3,0,0,'Données projet'!$E$9+1,1))-AVERAGE(OFFSET($H$3,0,0,'Données projet'!$E$9+1,1))</f>
        <v>302.00825291248458</v>
      </c>
      <c r="T47" s="59">
        <f t="shared" si="34"/>
        <v>307.35115839449355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78.240000000000009</v>
      </c>
      <c r="W47" s="16">
        <f>IF(ISNA(VLOOKUP(A47,'Données projet'!$A$35:$I$55,5,0)),0%,VLOOKUP(A47,'Données projet'!$A$35:$I$55,5,0)*VLOOKUP('Données projet'!$B$9,Paramètres!$A$1:$I$89,7,0))</f>
        <v>0.27</v>
      </c>
      <c r="X47" s="16">
        <f>IF(ISNA(VLOOKUP(A47,'Données projet'!$A$35:$I$55,6,0)),0%,VLOOKUP(A47,'Données projet'!$A$35:$I$55,6,0)*VLOOKUP('Données projet'!$B$9,Paramètres!$A$1:$I$89,7,0))</f>
        <v>9.0000000000000011E-2</v>
      </c>
      <c r="Y47" s="16">
        <f>IF(ISNA(VLOOKUP(A47,'Données projet'!$A$35:$I$55,7,0)),0%,VLOOKUP(A47,'Données projet'!$A$35:$I$55,7,0))</f>
        <v>0.2</v>
      </c>
      <c r="Z47" s="21">
        <f>EXP(-LN(2)/35)*Z46+(1-EXP(-LN(2)/35))/(LN(2)/35)*V47*W47*VLOOKUP('Données projet'!$B$9,Paramètres!$A$1:$I$89,3,0)*0.475*44/12</f>
        <v>42.92910069319899</v>
      </c>
      <c r="AA47" s="21">
        <f>EXP(-LN(2)/25)*AA46+(1-EXP(-LN(2)/25))/(LN(2)/25)*Calculateur!V47*Calculateur!X47*VLOOKUP('Données projet'!$B$9,Paramètres!$A$1:$I$89,3,0)*0.475*44/12</f>
        <v>20.254834964533629</v>
      </c>
      <c r="AB47" s="21">
        <f>EXP(-LN(2)/2)*AB46+(1-EXP(-LN(2)/2))/(LN(2)/2)*V47*Y47*VLOOKUP('Données projet'!$B$9,Paramètres!$A$1:$I$89,3,0)*0.475*44/12</f>
        <v>11.295100864257664</v>
      </c>
      <c r="AC47" s="22">
        <f t="shared" si="3"/>
        <v>74.479036521990281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24.2</v>
      </c>
      <c r="AI47" s="13">
        <f>IF('Données projet'!$A$62&gt;35,AI46+AH47-AQ46,IF(A47&lt;'Données projet'!$A$62,$AF$205^A47,IF(A47='Données projet'!$A$62,'Données projet'!$B$62,AI46+AH47-AQ46)))</f>
        <v>473.7999999999999</v>
      </c>
      <c r="AJ47" s="13">
        <f>AI47*VLOOKUP('Données projet'!$B$10,Paramètres!$A$1:$I$89,3,0)*VLOOKUP('Données projet'!$B$10,Paramètres!$A$1:$I$89,5,0)</f>
        <v>209.41959999999997</v>
      </c>
      <c r="AK47" s="13">
        <f t="shared" si="35"/>
        <v>51.808733273237316</v>
      </c>
      <c r="AL47" s="20">
        <f t="shared" si="4"/>
        <v>454.97268045088828</v>
      </c>
      <c r="AM47" s="59">
        <f t="shared" si="5"/>
        <v>748.30601378422159</v>
      </c>
      <c r="AN47" s="59">
        <f ca="1">AVERAGE(OFFSET($AM$3,0,0,'Données projet'!$E$10+1,1))-AVERAGE(OFFSET($H$3,0,0,'Données projet'!$E$10+1,1))</f>
        <v>394.37446333077651</v>
      </c>
      <c r="AO47" s="59">
        <f t="shared" si="36"/>
        <v>335.44327961212963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16.528639969906529</v>
      </c>
      <c r="AV47" s="21">
        <f>EXP(-LN(2)/25)*AV46+(1-EXP(-LN(2)/25))/(LN(2)/25)*Calculateur!AQ47*Calculateur!AS47*VLOOKUP('Données projet'!$B$10,Paramètres!$A$1:$I$89,3,0)*0.475*44/12</f>
        <v>22.341377562960997</v>
      </c>
      <c r="AW47" s="21">
        <f>EXP(-LN(2)/2)*AW46+(1-EXP(-LN(2)/2))/(LN(2)/2)*AQ47*AT47*VLOOKUP('Données projet'!$B$10,Paramètres!$A$1:$I$89,3,0)*0.475*44/12</f>
        <v>3.6350276596193489</v>
      </c>
      <c r="AX47" s="21">
        <f t="shared" si="6"/>
        <v>42.505045192486868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4.5856818181818184</v>
      </c>
      <c r="BC47" s="12">
        <f t="array" ref="BC47">INDEX(BB:BB,MIN(IF(ISNUMBER(BB47:BB243),ROW(BB47:BB243),"")))</f>
        <v>4.5856818181818184</v>
      </c>
      <c r="BD47" s="12">
        <f>IF('Données projet'!$A$88&gt;35,BD46+BC47-BL46,IF(A47&lt;'Données projet'!$A$88,$BA$205^A47,IF(A47='Données projet'!$A$88,'Données projet'!$B$88,BD46+BC47-BL46)))</f>
        <v>201.77000000000021</v>
      </c>
      <c r="BE47" s="13">
        <f>BD47*VLOOKUP('Données projet'!$B$11,Paramètres!$A$1:$I$89,3,0)*VLOOKUP('Données projet'!$B$11,Paramètres!$A$1:$I$89,5,0)</f>
        <v>182.56149600000018</v>
      </c>
      <c r="BF47" s="13">
        <f t="shared" si="37"/>
        <v>45.891602325617114</v>
      </c>
      <c r="BG47" s="20">
        <f t="shared" si="7"/>
        <v>397.8891462504501</v>
      </c>
      <c r="BH47" s="59">
        <f t="shared" si="8"/>
        <v>691.22247958378341</v>
      </c>
      <c r="BI47" s="59">
        <f ca="1">AVERAGE(OFFSET($BH$3,0,0,'Données projet'!$E$11+1,1))-AVERAGE(OFFSET($H$3,0,0,'Données projet'!$E$11+1,1))</f>
        <v>490.06222615476065</v>
      </c>
      <c r="BJ47" s="59">
        <f t="shared" si="38"/>
        <v>310.43914804089906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76.680000000000007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0.34400000000000003</v>
      </c>
      <c r="BO47" s="16">
        <f>IF(ISNA(VLOOKUP(A47,'Données projet'!$A$87:$I$107,7,0)),0%,VLOOKUP(A47,'Données projet'!$A$87:$I$107,7,0))</f>
        <v>0.2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26.280092586651165</v>
      </c>
      <c r="BR47" s="21">
        <f>EXP(-LN(2)/2)*BR46+(1-EXP(-LN(2)/2))/(LN(2)/2)*BL47*BO47*VLOOKUP('Données projet'!$B$11,Paramètres!$A$1:$I$89,3,0)*0.475*44/12</f>
        <v>13.092391544208875</v>
      </c>
      <c r="BS47" s="22">
        <f t="shared" si="9"/>
        <v>39.372484130860038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184.73832000000004</v>
      </c>
      <c r="CA47" s="13">
        <f t="shared" si="39"/>
        <v>46.374775595471988</v>
      </c>
      <c r="CB47" s="20">
        <f t="shared" si="10"/>
        <v>402.52197482878046</v>
      </c>
      <c r="CC47" s="59">
        <f t="shared" si="11"/>
        <v>695.85530816211372</v>
      </c>
      <c r="CD47" s="59">
        <f ca="1">AVERAGE(OFFSET($CC$3,0,0,'Données projet'!$E$12+1,1))-AVERAGE(OFFSET($H$3,0,0,'Données projet'!$E$12+1,1))</f>
        <v>353.37479213497227</v>
      </c>
      <c r="CE47" s="59">
        <f t="shared" si="40"/>
        <v>345.4750813433123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10.272062037786226</v>
      </c>
      <c r="CL47" s="21">
        <f>EXP(-LN(2)/25)*CL46+(1-EXP(-LN(2)/25))/(LN(2)/25)*Calculateur!CG47*Calculateur!CI47*VLOOKUP('Données projet'!$B$12,Paramètres!$A$1:$I$89,3,0)*0.475*44/12</f>
        <v>15.70712484932173</v>
      </c>
      <c r="CM47" s="21">
        <f>EXP(-LN(2)/2)*CM46+(1-EXP(-LN(2)/2))/(LN(2)/2)*CG47*CJ47*VLOOKUP('Données projet'!$B$12,Paramètres!$A$1:$I$89,3,0)*0.475*44/12</f>
        <v>1.994623486836572</v>
      </c>
      <c r="CN47" s="22">
        <f t="shared" si="12"/>
        <v>27.973810373944531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7.2494000000000005</v>
      </c>
      <c r="CT47" s="12">
        <f>IF('Données projet'!$A$140&gt;35,CT46+CS47-DB46,IF(A47&lt;'Données projet'!$A$140,$CQ$205^A47,IF(A47='Données projet'!$A$140,'Données projet'!$B$140,CT46+CS47-DB46)))</f>
        <v>318.97359999999992</v>
      </c>
      <c r="CU47" s="17">
        <f>CT47*VLOOKUP('Données projet'!$B$13,Paramètres!$A$1:$I$89,3,0)*VLOOKUP('Données projet'!$B$13,Paramètres!$A$1:$I$89,5,0)</f>
        <v>153.42630159999996</v>
      </c>
      <c r="CV47" s="13">
        <f t="shared" si="41"/>
        <v>39.356198521244593</v>
      </c>
      <c r="CW47" s="20">
        <f t="shared" si="13"/>
        <v>335.76285437783423</v>
      </c>
      <c r="CX47" s="59">
        <f t="shared" si="14"/>
        <v>629.09618771116754</v>
      </c>
      <c r="CY47" s="59">
        <f ca="1">AVERAGE(OFFSET($CX$3,0,0,'Données projet'!$E$13+1,1))-AVERAGE(OFFSET($H$3,0,0,'Données projet'!$E$13+1,1))</f>
        <v>314.18760071409162</v>
      </c>
      <c r="CZ47" s="59">
        <f t="shared" si="42"/>
        <v>267.72650645201787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171.92447999999999</v>
      </c>
      <c r="DQ47" s="13">
        <f t="shared" si="43"/>
        <v>43.520760297647755</v>
      </c>
      <c r="DR47" s="20">
        <f t="shared" si="16"/>
        <v>375.23379351840316</v>
      </c>
      <c r="DS47" s="59">
        <f t="shared" si="17"/>
        <v>668.56712685173648</v>
      </c>
      <c r="DT47" s="59">
        <f ca="1">AVERAGE(OFFSET($DS$3,0,0,'Données projet'!$E$14+1,1))-AVERAGE(OFFSET($H$3,0,0,'Données projet'!$E$14+1,1))</f>
        <v>324.86930206492627</v>
      </c>
      <c r="DU47" s="59">
        <f t="shared" si="44"/>
        <v>317.03005098025352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6.3079776244114063</v>
      </c>
      <c r="EB47" s="21">
        <f>EXP(-LN(2)/25)*EB46+(1-EXP(-LN(2)/25))/(LN(2)/25)*Calculateur!DW47*Calculateur!DY47*VLOOKUP('Données projet'!$B$14,Paramètres!$A$1:$I$89,3,0)*0.475*44/12</f>
        <v>13.193024024205888</v>
      </c>
      <c r="EC47" s="21">
        <f>EXP(-LN(2)/2)*EC46+(1-EXP(-LN(2)/2))/(LN(2)/2)*DW47*DZ47*VLOOKUP('Données projet'!$B$14,Paramètres!$A$1:$I$89,3,0)*0.475*44/12</f>
        <v>1.7520455763165061</v>
      </c>
      <c r="ED47" s="22">
        <f t="shared" si="18"/>
        <v>21.253047224933798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14.689999999999998</v>
      </c>
      <c r="N48" s="13">
        <f>IF('Données projet'!$A$36&gt;35,N47+M48-V47,IF(A48&lt;'Données projet'!$A$36,$K$205^A48,IF(A48='Données projet'!$A$36,'Données projet'!$B$36,N47+M48-V47)))</f>
        <v>305.18000000000006</v>
      </c>
      <c r="O48" s="13">
        <f>N48*VLOOKUP('Données projet'!$B$9,Paramètres!$A$1:$I$89,3,0)*VLOOKUP('Données projet'!$B$9,Paramètres!$A$1:$I$89,5,0)</f>
        <v>182.49764000000005</v>
      </c>
      <c r="P48" s="13">
        <f t="shared" si="33"/>
        <v>45.877418600848756</v>
      </c>
      <c r="Q48" s="20">
        <f t="shared" si="53"/>
        <v>397.753227063145</v>
      </c>
      <c r="R48" s="59">
        <f t="shared" si="0"/>
        <v>691.08656039647826</v>
      </c>
      <c r="S48" s="59">
        <f ca="1">AVERAGE(OFFSET($R$3,0,0,'Données projet'!$E$9+1,1))-AVERAGE(OFFSET($H$3,0,0,'Données projet'!$E$9+1,1))</f>
        <v>302.00825291248458</v>
      </c>
      <c r="T48" s="59">
        <f t="shared" si="34"/>
        <v>307.35115839449355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42.087287212771308</v>
      </c>
      <c r="AA48" s="21">
        <f>EXP(-LN(2)/25)*AA47+(1-EXP(-LN(2)/25))/(LN(2)/25)*Calculateur!V48*Calculateur!X48*VLOOKUP('Données projet'!$B$9,Paramètres!$A$1:$I$89,3,0)*0.475*44/12</f>
        <v>19.700965437272981</v>
      </c>
      <c r="AB48" s="21">
        <f>EXP(-LN(2)/2)*AB47+(1-EXP(-LN(2)/2))/(LN(2)/2)*V48*Y48*VLOOKUP('Données projet'!$B$9,Paramètres!$A$1:$I$89,3,0)*0.475*44/12</f>
        <v>7.986842415302629</v>
      </c>
      <c r="AC48" s="22">
        <f t="shared" si="3"/>
        <v>69.775095065346918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498</v>
      </c>
      <c r="AG48" s="12">
        <f>VLOOKUP(A48,'Données projet'!$A$61:$I$81,9,0)</f>
        <v>24.2</v>
      </c>
      <c r="AH48" s="12">
        <f t="array" ref="AH48">INDEX(AG:AG,MIN(IF(ISNUMBER(AG48:AG244),ROW(AG48:AG244),"")))</f>
        <v>24.2</v>
      </c>
      <c r="AI48" s="13">
        <f>IF('Données projet'!$A$62&gt;35,AI47+AH48-AQ47,IF(A48&lt;'Données projet'!$A$62,$AF$205^A48,IF(A48='Données projet'!$A$62,'Données projet'!$B$62,AI47+AH48-AQ47)))</f>
        <v>497.99999999999989</v>
      </c>
      <c r="AJ48" s="13">
        <f>AI48*VLOOKUP('Données projet'!$B$10,Paramètres!$A$1:$I$89,3,0)*VLOOKUP('Données projet'!$B$10,Paramètres!$A$1:$I$89,5,0)</f>
        <v>220.11599999999996</v>
      </c>
      <c r="AK48" s="13">
        <f t="shared" si="35"/>
        <v>54.140096973925921</v>
      </c>
      <c r="AL48" s="20">
        <f t="shared" si="4"/>
        <v>477.66270222958752</v>
      </c>
      <c r="AM48" s="59">
        <f t="shared" si="5"/>
        <v>770.99603556292084</v>
      </c>
      <c r="AN48" s="59">
        <f ca="1">AVERAGE(OFFSET($AM$3,0,0,'Données projet'!$E$10+1,1))-AVERAGE(OFFSET($H$3,0,0,'Données projet'!$E$10+1,1))</f>
        <v>394.37446333077651</v>
      </c>
      <c r="AO48" s="59">
        <f t="shared" si="36"/>
        <v>335.44327961212963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63</v>
      </c>
      <c r="AR48" s="16">
        <f>IF(ISNA(VLOOKUP(A48,'Données projet'!$A$61:$I$81,5,0)),0%,VLOOKUP(A48,'Données projet'!$A$61:$I$81,5,0)*VLOOKUP('Données projet'!$B$10,Paramètres!$A$1:$I$89,7,0))</f>
        <v>0.33</v>
      </c>
      <c r="AS48" s="16">
        <f>IF(ISNA(VLOOKUP(A48,'Données projet'!$A$61:$I$81,6,0)),0%,VLOOKUP(A48,'Données projet'!$A$61:$I$81,6,0)*VLOOKUP('Données projet'!$B$10,Paramètres!$A$1:$I$89,7,0))</f>
        <v>0.11000000000000001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28.394562984207496</v>
      </c>
      <c r="AV48" s="21">
        <f>EXP(-LN(2)/25)*AV47+(1-EXP(-LN(2)/25))/(LN(2)/25)*Calculateur!AQ48*Calculateur!AS48*VLOOKUP('Données projet'!$B$10,Paramètres!$A$1:$I$89,3,0)*0.475*44/12</f>
        <v>25.777798995989379</v>
      </c>
      <c r="AW48" s="21">
        <f>EXP(-LN(2)/2)*AW47+(1-EXP(-LN(2)/2))/(LN(2)/2)*AQ48*AT48*VLOOKUP('Données projet'!$B$10,Paramètres!$A$1:$I$89,3,0)*0.475*44/12</f>
        <v>8.8759808193019012</v>
      </c>
      <c r="AX48" s="21">
        <f t="shared" si="6"/>
        <v>63.048342799498776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9.6799999999999979</v>
      </c>
      <c r="BD48" s="12">
        <f>IF('Données projet'!$A$88&gt;35,BD47+BC48-BL47,IF(A48&lt;'Données projet'!$A$88,$BA$205^A48,IF(A48='Données projet'!$A$88,'Données projet'!$B$88,BD47+BC48-BL47)))</f>
        <v>134.77000000000021</v>
      </c>
      <c r="BE48" s="13">
        <f>BD48*VLOOKUP('Données projet'!$B$11,Paramètres!$A$1:$I$89,3,0)*VLOOKUP('Données projet'!$B$11,Paramètres!$A$1:$I$89,5,0)</f>
        <v>121.93989600000019</v>
      </c>
      <c r="BF48" s="13">
        <f t="shared" si="37"/>
        <v>32.127025032251971</v>
      </c>
      <c r="BG48" s="20">
        <f t="shared" si="7"/>
        <v>268.3332207978392</v>
      </c>
      <c r="BH48" s="59">
        <f t="shared" si="8"/>
        <v>561.66655413117246</v>
      </c>
      <c r="BI48" s="59">
        <f ca="1">AVERAGE(OFFSET($BH$3,0,0,'Données projet'!$E$11+1,1))-AVERAGE(OFFSET($H$3,0,0,'Données projet'!$E$11+1,1))</f>
        <v>490.06222615476065</v>
      </c>
      <c r="BJ48" s="59">
        <f t="shared" si="38"/>
        <v>310.43914804089906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25.561462072859182</v>
      </c>
      <c r="BR48" s="21">
        <f>EXP(-LN(2)/2)*BR47+(1-EXP(-LN(2)/2))/(LN(2)/2)*BL48*BO48*VLOOKUP('Données projet'!$B$11,Paramètres!$A$1:$I$89,3,0)*0.475*44/12</f>
        <v>9.2577188428595107</v>
      </c>
      <c r="BS48" s="22">
        <f t="shared" si="9"/>
        <v>34.81918091571869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192.53520000000006</v>
      </c>
      <c r="CA48" s="13">
        <f t="shared" si="39"/>
        <v>48.100016456123079</v>
      </c>
      <c r="CB48" s="20">
        <f t="shared" si="10"/>
        <v>419.10633532774779</v>
      </c>
      <c r="CC48" s="59">
        <f t="shared" si="11"/>
        <v>712.4396686610811</v>
      </c>
      <c r="CD48" s="59">
        <f ca="1">AVERAGE(OFFSET($CC$3,0,0,'Données projet'!$E$12+1,1))-AVERAGE(OFFSET($H$3,0,0,'Données projet'!$E$12+1,1))</f>
        <v>353.37479213497227</v>
      </c>
      <c r="CE48" s="59">
        <f t="shared" si="40"/>
        <v>345.4750813433123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0.13250000000000001</v>
      </c>
      <c r="CI48" s="16">
        <f>IF(ISNA(VLOOKUP(A48,'Données projet'!$A$113:$I$133,6,0)),0%,VLOOKUP(A48,'Données projet'!$A$113:$I$133,6,0)*VLOOKUP('Données projet'!$B$12,Paramètres!$A$1:$I$89,7,0))</f>
        <v>0.13250000000000001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12.867482070545831</v>
      </c>
      <c r="CL48" s="21">
        <f>EXP(-LN(2)/25)*CL47+(1-EXP(-LN(2)/25))/(LN(2)/25)*Calculateur!CG48*Calculateur!CI48*VLOOKUP('Données projet'!$B$12,Paramètres!$A$1:$I$89,3,0)*0.475*44/12</f>
        <v>18.063449338478677</v>
      </c>
      <c r="CM48" s="21">
        <f>EXP(-LN(2)/2)*CM47+(1-EXP(-LN(2)/2))/(LN(2)/2)*CG48*CJ48*VLOOKUP('Données projet'!$B$12,Paramètres!$A$1:$I$89,3,0)*0.475*44/12</f>
        <v>5.914431873016377</v>
      </c>
      <c r="CN48" s="22">
        <f t="shared" si="12"/>
        <v>36.845363282040886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7.2494000000000005</v>
      </c>
      <c r="CT48" s="12">
        <f>IF('Données projet'!$A$140&gt;35,CT47+CS48-DB47,IF(A48&lt;'Données projet'!$A$140,$CQ$205^A48,IF(A48='Données projet'!$A$140,'Données projet'!$B$140,CT47+CS48-DB47)))</f>
        <v>326.2229999999999</v>
      </c>
      <c r="CU48" s="17">
        <f>CT48*VLOOKUP('Données projet'!$B$13,Paramètres!$A$1:$I$89,3,0)*VLOOKUP('Données projet'!$B$13,Paramètres!$A$1:$I$89,5,0)</f>
        <v>156.91326299999994</v>
      </c>
      <c r="CV48" s="13">
        <f t="shared" si="41"/>
        <v>40.145505871474867</v>
      </c>
      <c r="CW48" s="20">
        <f t="shared" si="13"/>
        <v>343.21068911781862</v>
      </c>
      <c r="CX48" s="59">
        <f t="shared" si="14"/>
        <v>636.54402245115193</v>
      </c>
      <c r="CY48" s="59">
        <f ca="1">AVERAGE(OFFSET($CX$3,0,0,'Données projet'!$E$13+1,1))-AVERAGE(OFFSET($H$3,0,0,'Données projet'!$E$13+1,1))</f>
        <v>314.18760071409162</v>
      </c>
      <c r="CZ48" s="59">
        <f t="shared" si="42"/>
        <v>267.72650645201787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179.08799999999997</v>
      </c>
      <c r="DQ48" s="13">
        <f t="shared" si="43"/>
        <v>45.119223023956835</v>
      </c>
      <c r="DR48" s="20">
        <f t="shared" si="16"/>
        <v>390.49424676672476</v>
      </c>
      <c r="DS48" s="59">
        <f t="shared" si="17"/>
        <v>683.82758010005807</v>
      </c>
      <c r="DT48" s="59">
        <f ca="1">AVERAGE(OFFSET($DS$3,0,0,'Données projet'!$E$14+1,1))-AVERAGE(OFFSET($H$3,0,0,'Données projet'!$E$14+1,1))</f>
        <v>324.86930206492627</v>
      </c>
      <c r="DU48" s="59">
        <f t="shared" si="44"/>
        <v>317.03005098025352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0.13250000000000001</v>
      </c>
      <c r="DY48" s="16">
        <f>IF(ISNA(VLOOKUP(A48,'Données projet'!$A$165:$I$185,6,0)),0%,VLOOKUP(A48,'Données projet'!$A$165:$I$185,6,0)*VLOOKUP('Données projet'!$B$14,Paramètres!$A$1:$I$89,7,0))</f>
        <v>0.13250000000000001</v>
      </c>
      <c r="DZ48" s="16">
        <f>IF(ISNA(VLOOKUP(A48,'Données projet'!$A$165:$I$185,7,0)),0%,VLOOKUP(A48,'Données projet'!$A$165:$I$185,7,0))</f>
        <v>0.25</v>
      </c>
      <c r="EA48" s="21">
        <f>EXP(-LN(2)/35)*EA47+(1-EXP(-LN(2)/35))/(LN(2)/35)*DW48*DX48*VLOOKUP('Données projet'!$B$14,Paramètres!$A$1:$I$89,3,0)*0.475*44/12</f>
        <v>8.9994109928604988</v>
      </c>
      <c r="EB48" s="21">
        <f>EXP(-LN(2)/25)*EB47+(1-EXP(-LN(2)/25))/(LN(2)/25)*Calculateur!DW48*Calculateur!DY48*VLOOKUP('Données projet'!$B$14,Paramètres!$A$1:$I$89,3,0)*0.475*44/12</f>
        <v>15.636304815278034</v>
      </c>
      <c r="EC48" s="21">
        <f>EXP(-LN(2)/2)*EC47+(1-EXP(-LN(2)/2))/(LN(2)/2)*DW48*DZ48*VLOOKUP('Données projet'!$B$14,Paramètres!$A$1:$I$89,3,0)*0.475*44/12</f>
        <v>5.7723414272572642</v>
      </c>
      <c r="ED48" s="22">
        <f t="shared" si="18"/>
        <v>30.408057235395798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14.689999999999998</v>
      </c>
      <c r="N49" s="13">
        <f>IF('Données projet'!$A$36&gt;35,N48+M49-V48,IF(A49&lt;'Données projet'!$A$36,$K$205^A49,IF(A49='Données projet'!$A$36,'Données projet'!$B$36,N48+M49-V48)))</f>
        <v>319.87000000000006</v>
      </c>
      <c r="O49" s="13">
        <f>N49*VLOOKUP('Données projet'!$B$9,Paramètres!$A$1:$I$89,3,0)*VLOOKUP('Données projet'!$B$9,Paramètres!$A$1:$I$89,5,0)</f>
        <v>191.28226000000004</v>
      </c>
      <c r="P49" s="13">
        <f t="shared" si="33"/>
        <v>47.823331262073218</v>
      </c>
      <c r="Q49" s="20">
        <f t="shared" si="53"/>
        <v>416.44223811477758</v>
      </c>
      <c r="R49" s="59">
        <f t="shared" si="0"/>
        <v>709.7755714481109</v>
      </c>
      <c r="S49" s="59">
        <f ca="1">AVERAGE(OFFSET($R$3,0,0,'Données projet'!$E$9+1,1))-AVERAGE(OFFSET($H$3,0,0,'Données projet'!$E$9+1,1))</f>
        <v>302.00825291248458</v>
      </c>
      <c r="T49" s="59">
        <f t="shared" si="34"/>
        <v>307.35115839449355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41.261981181239292</v>
      </c>
      <c r="AA49" s="21">
        <f>EXP(-LN(2)/25)*AA48+(1-EXP(-LN(2)/25))/(LN(2)/25)*Calculateur!V49*Calculateur!X49*VLOOKUP('Données projet'!$B$9,Paramètres!$A$1:$I$89,3,0)*0.475*44/12</f>
        <v>19.162241501362004</v>
      </c>
      <c r="AB49" s="21">
        <f>EXP(-LN(2)/2)*AB48+(1-EXP(-LN(2)/2))/(LN(2)/2)*V49*Y49*VLOOKUP('Données projet'!$B$9,Paramètres!$A$1:$I$89,3,0)*0.475*44/12</f>
        <v>5.647550432128833</v>
      </c>
      <c r="AC49" s="22">
        <f t="shared" si="3"/>
        <v>66.071773114730135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22.8</v>
      </c>
      <c r="AI49" s="13">
        <f>IF('Données projet'!$A$62&gt;35,AI48+AH49-AQ48,IF(A49&lt;'Données projet'!$A$62,$AF$205^A49,IF(A49='Données projet'!$A$62,'Données projet'!$B$62,AI48+AH49-AQ48)))</f>
        <v>457.79999999999984</v>
      </c>
      <c r="AJ49" s="13">
        <f>AI49*VLOOKUP('Données projet'!$B$10,Paramètres!$A$1:$I$89,3,0)*VLOOKUP('Données projet'!$B$10,Paramètres!$A$1:$I$89,5,0)</f>
        <v>202.34759999999994</v>
      </c>
      <c r="AK49" s="13">
        <f t="shared" si="35"/>
        <v>50.259748221306481</v>
      </c>
      <c r="AL49" s="20">
        <f t="shared" si="4"/>
        <v>439.95779815210875</v>
      </c>
      <c r="AM49" s="59">
        <f t="shared" si="5"/>
        <v>733.29113148544207</v>
      </c>
      <c r="AN49" s="59">
        <f ca="1">AVERAGE(OFFSET($AM$3,0,0,'Données projet'!$E$10+1,1))-AVERAGE(OFFSET($H$3,0,0,'Données projet'!$E$10+1,1))</f>
        <v>394.37446333077651</v>
      </c>
      <c r="AO49" s="59">
        <f t="shared" si="36"/>
        <v>335.44327961212963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27.837762923060502</v>
      </c>
      <c r="AV49" s="21">
        <f>EXP(-LN(2)/25)*AV48+(1-EXP(-LN(2)/25))/(LN(2)/25)*Calculateur!AQ49*Calculateur!AS49*VLOOKUP('Données projet'!$B$10,Paramètres!$A$1:$I$89,3,0)*0.475*44/12</f>
        <v>25.072903726848516</v>
      </c>
      <c r="AW49" s="21">
        <f>EXP(-LN(2)/2)*AW48+(1-EXP(-LN(2)/2))/(LN(2)/2)*AQ49*AT49*VLOOKUP('Données projet'!$B$10,Paramètres!$A$1:$I$89,3,0)*0.475*44/12</f>
        <v>6.2762662270101028</v>
      </c>
      <c r="AX49" s="21">
        <f t="shared" si="6"/>
        <v>59.186932876919123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9.6799999999999979</v>
      </c>
      <c r="BD49" s="12">
        <f>IF('Données projet'!$A$88&gt;35,BD48+BC49-BL48,IF(A49&lt;'Données projet'!$A$88,$BA$205^A49,IF(A49='Données projet'!$A$88,'Données projet'!$B$88,BD48+BC49-BL48)))</f>
        <v>144.45000000000022</v>
      </c>
      <c r="BE49" s="13">
        <f>BD49*VLOOKUP('Données projet'!$B$11,Paramètres!$A$1:$I$89,3,0)*VLOOKUP('Données projet'!$B$11,Paramètres!$A$1:$I$89,5,0)</f>
        <v>130.69836000000018</v>
      </c>
      <c r="BF49" s="13">
        <f t="shared" si="37"/>
        <v>34.157679472020803</v>
      </c>
      <c r="BG49" s="20">
        <f t="shared" si="7"/>
        <v>287.12426874710326</v>
      </c>
      <c r="BH49" s="59">
        <f t="shared" si="8"/>
        <v>580.45760208043657</v>
      </c>
      <c r="BI49" s="59">
        <f ca="1">AVERAGE(OFFSET($BH$3,0,0,'Données projet'!$E$11+1,1))-AVERAGE(OFFSET($H$3,0,0,'Données projet'!$E$11+1,1))</f>
        <v>490.06222615476065</v>
      </c>
      <c r="BJ49" s="59">
        <f t="shared" si="38"/>
        <v>310.43914804089906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24.862482548257979</v>
      </c>
      <c r="BR49" s="21">
        <f>EXP(-LN(2)/2)*BR48+(1-EXP(-LN(2)/2))/(LN(2)/2)*BL49*BO49*VLOOKUP('Données projet'!$B$11,Paramètres!$A$1:$I$89,3,0)*0.475*44/12</f>
        <v>6.5461957721044381</v>
      </c>
      <c r="BS49" s="22">
        <f t="shared" si="9"/>
        <v>31.408678320362419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180.28296000000006</v>
      </c>
      <c r="CA49" s="13">
        <f t="shared" si="39"/>
        <v>45.385133797071397</v>
      </c>
      <c r="CB49" s="20">
        <f t="shared" si="10"/>
        <v>393.03859669656612</v>
      </c>
      <c r="CC49" s="59">
        <f t="shared" si="11"/>
        <v>686.37193002989943</v>
      </c>
      <c r="CD49" s="59">
        <f ca="1">AVERAGE(OFFSET($CC$3,0,0,'Données projet'!$E$12+1,1))-AVERAGE(OFFSET($H$3,0,0,'Données projet'!$E$12+1,1))</f>
        <v>353.37479213497227</v>
      </c>
      <c r="CE49" s="59">
        <f t="shared" si="40"/>
        <v>345.4750813433123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12.615158595531527</v>
      </c>
      <c r="CL49" s="21">
        <f>EXP(-LN(2)/25)*CL48+(1-EXP(-LN(2)/25))/(LN(2)/25)*Calculateur!CG49*Calculateur!CI49*VLOOKUP('Données projet'!$B$12,Paramètres!$A$1:$I$89,3,0)*0.475*44/12</f>
        <v>17.569503366402461</v>
      </c>
      <c r="CM49" s="21">
        <f>EXP(-LN(2)/2)*CM48+(1-EXP(-LN(2)/2))/(LN(2)/2)*CG49*CJ49*VLOOKUP('Données projet'!$B$12,Paramètres!$A$1:$I$89,3,0)*0.475*44/12</f>
        <v>4.182134884275734</v>
      </c>
      <c r="CN49" s="22">
        <f t="shared" si="12"/>
        <v>34.366796846209724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7.2494000000000005</v>
      </c>
      <c r="CT49" s="12">
        <f>IF('Données projet'!$A$140&gt;35,CT48+CS49-DB48,IF(A49&lt;'Données projet'!$A$140,$CQ$205^A49,IF(A49='Données projet'!$A$140,'Données projet'!$B$140,CT48+CS49-DB48)))</f>
        <v>333.47239999999988</v>
      </c>
      <c r="CU49" s="17">
        <f>CT49*VLOOKUP('Données projet'!$B$13,Paramètres!$A$1:$I$89,3,0)*VLOOKUP('Données projet'!$B$13,Paramètres!$A$1:$I$89,5,0)</f>
        <v>160.40022439999996</v>
      </c>
      <c r="CV49" s="13">
        <f t="shared" si="41"/>
        <v>40.932774007587348</v>
      </c>
      <c r="CW49" s="20">
        <f t="shared" si="13"/>
        <v>350.65497222654784</v>
      </c>
      <c r="CX49" s="59">
        <f t="shared" si="14"/>
        <v>643.98830555988116</v>
      </c>
      <c r="CY49" s="59">
        <f ca="1">AVERAGE(OFFSET($CX$3,0,0,'Données projet'!$E$13+1,1))-AVERAGE(OFFSET($H$3,0,0,'Données projet'!$E$13+1,1))</f>
        <v>314.18760071409162</v>
      </c>
      <c r="CZ49" s="59">
        <f t="shared" si="42"/>
        <v>267.72650645201787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166.15871999999996</v>
      </c>
      <c r="DQ49" s="13">
        <f t="shared" si="43"/>
        <v>42.228563636586387</v>
      </c>
      <c r="DR49" s="20">
        <f t="shared" si="16"/>
        <v>362.94118566705453</v>
      </c>
      <c r="DS49" s="59">
        <f t="shared" si="17"/>
        <v>656.27451900038784</v>
      </c>
      <c r="DT49" s="59">
        <f ca="1">AVERAGE(OFFSET($DS$3,0,0,'Données projet'!$E$14+1,1))-AVERAGE(OFFSET($H$3,0,0,'Données projet'!$E$14+1,1))</f>
        <v>324.86930206492627</v>
      </c>
      <c r="DU49" s="59">
        <f t="shared" si="44"/>
        <v>317.03005098025352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8.8229380323892066</v>
      </c>
      <c r="EB49" s="21">
        <f>EXP(-LN(2)/25)*EB48+(1-EXP(-LN(2)/25))/(LN(2)/25)*Calculateur!DW49*Calculateur!DY49*VLOOKUP('Données projet'!$B$14,Paramètres!$A$1:$I$89,3,0)*0.475*44/12</f>
        <v>15.208729237826724</v>
      </c>
      <c r="EC49" s="21">
        <f>EXP(-LN(2)/2)*EC48+(1-EXP(-LN(2)/2))/(LN(2)/2)*DW49*DZ49*VLOOKUP('Données projet'!$B$14,Paramètres!$A$1:$I$89,3,0)*0.475*44/12</f>
        <v>4.0816617665376462</v>
      </c>
      <c r="ED49" s="22">
        <f t="shared" si="18"/>
        <v>28.113329036753576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14.689999999999998</v>
      </c>
      <c r="N50" s="13">
        <f>IF('Données projet'!$A$36&gt;35,N49+M50-V49,IF(A50&lt;'Données projet'!$A$36,$K$205^A50,IF(A50='Données projet'!$A$36,'Données projet'!$B$36,N49+M50-V49)))</f>
        <v>334.56000000000006</v>
      </c>
      <c r="O50" s="13">
        <f>N50*VLOOKUP('Données projet'!$B$9,Paramètres!$A$1:$I$89,3,0)*VLOOKUP('Données projet'!$B$9,Paramètres!$A$1:$I$89,5,0)</f>
        <v>200.06688000000005</v>
      </c>
      <c r="P50" s="13">
        <f t="shared" si="33"/>
        <v>49.758865639104997</v>
      </c>
      <c r="Q50" s="20">
        <f t="shared" si="53"/>
        <v>435.11317365477458</v>
      </c>
      <c r="R50" s="59">
        <f t="shared" si="0"/>
        <v>728.4465069881079</v>
      </c>
      <c r="S50" s="59">
        <f ca="1">AVERAGE(OFFSET($R$3,0,0,'Données projet'!$E$9+1,1))-AVERAGE(OFFSET($H$3,0,0,'Données projet'!$E$9+1,1))</f>
        <v>302.00825291248458</v>
      </c>
      <c r="T50" s="59">
        <f t="shared" si="34"/>
        <v>307.35115839449355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40.452858897598645</v>
      </c>
      <c r="AA50" s="21">
        <f>EXP(-LN(2)/25)*AA49+(1-EXP(-LN(2)/25))/(LN(2)/25)*Calculateur!V50*Calculateur!X50*VLOOKUP('Données projet'!$B$9,Paramètres!$A$1:$I$89,3,0)*0.475*44/12</f>
        <v>18.638248999808777</v>
      </c>
      <c r="AB50" s="21">
        <f>EXP(-LN(2)/2)*AB49+(1-EXP(-LN(2)/2))/(LN(2)/2)*V50*Y50*VLOOKUP('Données projet'!$B$9,Paramètres!$A$1:$I$89,3,0)*0.475*44/12</f>
        <v>3.9934212076513149</v>
      </c>
      <c r="AC50" s="22">
        <f t="shared" si="3"/>
        <v>63.084529105058742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22.8</v>
      </c>
      <c r="AI50" s="13">
        <f>IF('Données projet'!$A$62&gt;35,AI49+AH50-AQ49,IF(A50&lt;'Données projet'!$A$62,$AF$205^A50,IF(A50='Données projet'!$A$62,'Données projet'!$B$62,AI49+AH50-AQ49)))</f>
        <v>480.59999999999985</v>
      </c>
      <c r="AJ50" s="13">
        <f>AI50*VLOOKUP('Données projet'!$B$10,Paramètres!$A$1:$I$89,3,0)*VLOOKUP('Données projet'!$B$10,Paramètres!$A$1:$I$89,5,0)</f>
        <v>212.42519999999996</v>
      </c>
      <c r="AK50" s="13">
        <f t="shared" si="35"/>
        <v>52.465198231787184</v>
      </c>
      <c r="AL50" s="20">
        <f t="shared" si="4"/>
        <v>461.35077692036253</v>
      </c>
      <c r="AM50" s="59">
        <f t="shared" si="5"/>
        <v>754.68411025369585</v>
      </c>
      <c r="AN50" s="59">
        <f ca="1">AVERAGE(OFFSET($AM$3,0,0,'Données projet'!$E$10+1,1))-AVERAGE(OFFSET($H$3,0,0,'Données projet'!$E$10+1,1))</f>
        <v>394.37446333077651</v>
      </c>
      <c r="AO50" s="59">
        <f t="shared" si="36"/>
        <v>335.44327961212963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27.291881371498096</v>
      </c>
      <c r="AV50" s="21">
        <f>EXP(-LN(2)/25)*AV49+(1-EXP(-LN(2)/25))/(LN(2)/25)*Calculateur!AQ50*Calculateur!AS50*VLOOKUP('Données projet'!$B$10,Paramètres!$A$1:$I$89,3,0)*0.475*44/12</f>
        <v>24.387283855911139</v>
      </c>
      <c r="AW50" s="21">
        <f>EXP(-LN(2)/2)*AW49+(1-EXP(-LN(2)/2))/(LN(2)/2)*AQ50*AT50*VLOOKUP('Données projet'!$B$10,Paramètres!$A$1:$I$89,3,0)*0.475*44/12</f>
        <v>4.4379904096509515</v>
      </c>
      <c r="AX50" s="21">
        <f t="shared" si="6"/>
        <v>56.117155637060186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9.6799999999999979</v>
      </c>
      <c r="BD50" s="12">
        <f>IF('Données projet'!$A$88&gt;35,BD49+BC50-BL49,IF(A50&lt;'Données projet'!$A$88,$BA$205^A50,IF(A50='Données projet'!$A$88,'Données projet'!$B$88,BD49+BC50-BL49)))</f>
        <v>154.13000000000022</v>
      </c>
      <c r="BE50" s="13">
        <f>BD50*VLOOKUP('Données projet'!$B$11,Paramètres!$A$1:$I$89,3,0)*VLOOKUP('Données projet'!$B$11,Paramètres!$A$1:$I$89,5,0)</f>
        <v>139.45682400000021</v>
      </c>
      <c r="BF50" s="13">
        <f t="shared" si="37"/>
        <v>36.172543362339141</v>
      </c>
      <c r="BG50" s="20">
        <f t="shared" si="7"/>
        <v>305.88781482274101</v>
      </c>
      <c r="BH50" s="59">
        <f t="shared" si="8"/>
        <v>599.22114815607438</v>
      </c>
      <c r="BI50" s="59">
        <f ca="1">AVERAGE(OFFSET($BH$3,0,0,'Données projet'!$E$11+1,1))-AVERAGE(OFFSET($H$3,0,0,'Données projet'!$E$11+1,1))</f>
        <v>490.06222615476065</v>
      </c>
      <c r="BJ50" s="59">
        <f t="shared" si="38"/>
        <v>310.43914804089906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24.182616655514732</v>
      </c>
      <c r="BR50" s="21">
        <f>EXP(-LN(2)/2)*BR49+(1-EXP(-LN(2)/2))/(LN(2)/2)*BL50*BO50*VLOOKUP('Données projet'!$B$11,Paramètres!$A$1:$I$89,3,0)*0.475*44/12</f>
        <v>4.6288594214297554</v>
      </c>
      <c r="BS50" s="22">
        <f t="shared" si="9"/>
        <v>28.811476076944487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187.12512000000004</v>
      </c>
      <c r="CA50" s="13">
        <f t="shared" si="39"/>
        <v>46.903794805770545</v>
      </c>
      <c r="CB50" s="20">
        <f t="shared" si="10"/>
        <v>407.60035995338376</v>
      </c>
      <c r="CC50" s="59">
        <f t="shared" si="11"/>
        <v>700.93369328671702</v>
      </c>
      <c r="CD50" s="59">
        <f ca="1">AVERAGE(OFFSET($CC$3,0,0,'Données projet'!$E$12+1,1))-AVERAGE(OFFSET($H$3,0,0,'Données projet'!$E$12+1,1))</f>
        <v>353.37479213497227</v>
      </c>
      <c r="CE50" s="59">
        <f t="shared" si="40"/>
        <v>345.4750813433123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12.36778302996013</v>
      </c>
      <c r="CL50" s="21">
        <f>EXP(-LN(2)/25)*CL49+(1-EXP(-LN(2)/25))/(LN(2)/25)*Calculateur!CG50*Calculateur!CI50*VLOOKUP('Données projet'!$B$12,Paramètres!$A$1:$I$89,3,0)*0.475*44/12</f>
        <v>17.089064372908158</v>
      </c>
      <c r="CM50" s="21">
        <f>EXP(-LN(2)/2)*CM49+(1-EXP(-LN(2)/2))/(LN(2)/2)*CG50*CJ50*VLOOKUP('Données projet'!$B$12,Paramètres!$A$1:$I$89,3,0)*0.475*44/12</f>
        <v>2.9572159365081889</v>
      </c>
      <c r="CN50" s="22">
        <f t="shared" si="12"/>
        <v>32.414063339376476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7.2494000000000005</v>
      </c>
      <c r="CT50" s="12">
        <f>IF('Données projet'!$A$140&gt;35,CT49+CS50-DB49,IF(A50&lt;'Données projet'!$A$140,$CQ$205^A50,IF(A50='Données projet'!$A$140,'Données projet'!$B$140,CT49+CS50-DB49)))</f>
        <v>340.72179999999986</v>
      </c>
      <c r="CU50" s="17">
        <f>CT50*VLOOKUP('Données projet'!$B$13,Paramètres!$A$1:$I$89,3,0)*VLOOKUP('Données projet'!$B$13,Paramètres!$A$1:$I$89,5,0)</f>
        <v>163.88718579999994</v>
      </c>
      <c r="CV50" s="13">
        <f t="shared" si="41"/>
        <v>41.71805236572331</v>
      </c>
      <c r="CW50" s="20">
        <f t="shared" si="13"/>
        <v>358.09578980530131</v>
      </c>
      <c r="CX50" s="59">
        <f t="shared" si="14"/>
        <v>651.42912313863462</v>
      </c>
      <c r="CY50" s="59">
        <f ca="1">AVERAGE(OFFSET($CX$3,0,0,'Données projet'!$E$13+1,1))-AVERAGE(OFFSET($H$3,0,0,'Données projet'!$E$13+1,1))</f>
        <v>314.18760071409162</v>
      </c>
      <c r="CZ50" s="59">
        <f t="shared" si="42"/>
        <v>267.72650645201787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172.44863999999995</v>
      </c>
      <c r="DQ50" s="13">
        <f t="shared" si="43"/>
        <v>43.637980200453676</v>
      </c>
      <c r="DR50" s="20">
        <f t="shared" si="16"/>
        <v>376.35086351579008</v>
      </c>
      <c r="DS50" s="59">
        <f t="shared" si="17"/>
        <v>669.6841968491234</v>
      </c>
      <c r="DT50" s="59">
        <f ca="1">AVERAGE(OFFSET($DS$3,0,0,'Données projet'!$E$14+1,1))-AVERAGE(OFFSET($H$3,0,0,'Données projet'!$E$14+1,1))</f>
        <v>324.86930206492627</v>
      </c>
      <c r="DU50" s="59">
        <f t="shared" si="44"/>
        <v>317.03005098025352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8.6499255990348782</v>
      </c>
      <c r="EB50" s="21">
        <f>EXP(-LN(2)/25)*EB49+(1-EXP(-LN(2)/25))/(LN(2)/25)*Calculateur!DW50*Calculateur!DY50*VLOOKUP('Données projet'!$B$14,Paramètres!$A$1:$I$89,3,0)*0.475*44/12</f>
        <v>14.792845737026042</v>
      </c>
      <c r="EC50" s="21">
        <f>EXP(-LN(2)/2)*EC49+(1-EXP(-LN(2)/2))/(LN(2)/2)*DW50*DZ50*VLOOKUP('Données projet'!$B$14,Paramètres!$A$1:$I$89,3,0)*0.475*44/12</f>
        <v>2.8861707136286325</v>
      </c>
      <c r="ED50" s="22">
        <f t="shared" si="18"/>
        <v>26.328942049689555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14.689999999999998</v>
      </c>
      <c r="N51" s="13">
        <f>IF('Données projet'!$A$36&gt;35,N50+M51-V50,IF(A51&lt;'Données projet'!$A$36,$K$205^A51,IF(A51='Données projet'!$A$36,'Données projet'!$B$36,N50+M51-V50)))</f>
        <v>349.25000000000006</v>
      </c>
      <c r="O51" s="13">
        <f>N51*VLOOKUP('Données projet'!$B$9,Paramètres!$A$1:$I$89,3,0)*VLOOKUP('Données projet'!$B$9,Paramètres!$A$1:$I$89,5,0)</f>
        <v>208.85150000000004</v>
      </c>
      <c r="P51" s="13">
        <f t="shared" si="33"/>
        <v>51.684529504057373</v>
      </c>
      <c r="Q51" s="20">
        <f t="shared" si="53"/>
        <v>453.76691805289994</v>
      </c>
      <c r="R51" s="59">
        <f t="shared" si="0"/>
        <v>747.10025138623325</v>
      </c>
      <c r="S51" s="59">
        <f ca="1">AVERAGE(OFFSET($R$3,0,0,'Données projet'!$E$9+1,1))-AVERAGE(OFFSET($H$3,0,0,'Données projet'!$E$9+1,1))</f>
        <v>302.00825291248458</v>
      </c>
      <c r="T51" s="59">
        <f t="shared" si="34"/>
        <v>307.35115839449355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39.659603008424327</v>
      </c>
      <c r="AA51" s="21">
        <f>EXP(-LN(2)/25)*AA50+(1-EXP(-LN(2)/25))/(LN(2)/25)*Calculateur!V51*Calculateur!X51*VLOOKUP('Données projet'!$B$9,Paramètres!$A$1:$I$89,3,0)*0.475*44/12</f>
        <v>18.128585100766088</v>
      </c>
      <c r="AB51" s="21">
        <f>EXP(-LN(2)/2)*AB50+(1-EXP(-LN(2)/2))/(LN(2)/2)*V51*Y51*VLOOKUP('Données projet'!$B$9,Paramètres!$A$1:$I$89,3,0)*0.475*44/12</f>
        <v>2.8237752160644169</v>
      </c>
      <c r="AC51" s="22">
        <f t="shared" si="3"/>
        <v>60.611963325254834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22.8</v>
      </c>
      <c r="AI51" s="13">
        <f>IF('Données projet'!$A$62&gt;35,AI50+AH51-AQ50,IF(A51&lt;'Données projet'!$A$62,$AF$205^A51,IF(A51='Données projet'!$A$62,'Données projet'!$B$62,AI50+AH51-AQ50)))</f>
        <v>503.39999999999986</v>
      </c>
      <c r="AJ51" s="13">
        <f>AI51*VLOOKUP('Données projet'!$B$10,Paramètres!$A$1:$I$89,3,0)*VLOOKUP('Données projet'!$B$10,Paramètres!$A$1:$I$89,5,0)</f>
        <v>222.50279999999998</v>
      </c>
      <c r="AK51" s="13">
        <f t="shared" si="35"/>
        <v>54.65849828468945</v>
      </c>
      <c r="AL51" s="20">
        <f t="shared" si="4"/>
        <v>482.72259451250079</v>
      </c>
      <c r="AM51" s="59">
        <f t="shared" si="5"/>
        <v>776.05592784583405</v>
      </c>
      <c r="AN51" s="59">
        <f ca="1">AVERAGE(OFFSET($AM$3,0,0,'Données projet'!$E$10+1,1))-AVERAGE(OFFSET($H$3,0,0,'Données projet'!$E$10+1,1))</f>
        <v>394.37446333077651</v>
      </c>
      <c r="AO51" s="59">
        <f t="shared" si="36"/>
        <v>335.44327961212963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26.75670422420696</v>
      </c>
      <c r="AV51" s="21">
        <f>EXP(-LN(2)/25)*AV50+(1-EXP(-LN(2)/25))/(LN(2)/25)*Calculateur!AQ51*Calculateur!AS51*VLOOKUP('Données projet'!$B$10,Paramètres!$A$1:$I$89,3,0)*0.475*44/12</f>
        <v>23.720412296399729</v>
      </c>
      <c r="AW51" s="21">
        <f>EXP(-LN(2)/2)*AW50+(1-EXP(-LN(2)/2))/(LN(2)/2)*AQ51*AT51*VLOOKUP('Données projet'!$B$10,Paramètres!$A$1:$I$89,3,0)*0.475*44/12</f>
        <v>3.1381331135050519</v>
      </c>
      <c r="AX51" s="21">
        <f t="shared" si="6"/>
        <v>53.615249634111734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9.6799999999999979</v>
      </c>
      <c r="BD51" s="12">
        <f>IF('Données projet'!$A$88&gt;35,BD50+BC51-BL50,IF(A51&lt;'Données projet'!$A$88,$BA$205^A51,IF(A51='Données projet'!$A$88,'Données projet'!$B$88,BD50+BC51-BL50)))</f>
        <v>163.81000000000023</v>
      </c>
      <c r="BE51" s="13">
        <f>BD51*VLOOKUP('Données projet'!$B$11,Paramètres!$A$1:$I$89,3,0)*VLOOKUP('Données projet'!$B$11,Paramètres!$A$1:$I$89,5,0)</f>
        <v>148.21528800000021</v>
      </c>
      <c r="BF51" s="13">
        <f t="shared" si="37"/>
        <v>38.172721310443634</v>
      </c>
      <c r="BG51" s="20">
        <f t="shared" si="7"/>
        <v>324.62578288235642</v>
      </c>
      <c r="BH51" s="59">
        <f t="shared" si="8"/>
        <v>617.95911621568973</v>
      </c>
      <c r="BI51" s="59">
        <f ca="1">AVERAGE(OFFSET($BH$3,0,0,'Données projet'!$E$11+1,1))-AVERAGE(OFFSET($H$3,0,0,'Données projet'!$E$11+1,1))</f>
        <v>490.06222615476065</v>
      </c>
      <c r="BJ51" s="59">
        <f t="shared" si="38"/>
        <v>310.43914804089906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23.52134173136114</v>
      </c>
      <c r="BR51" s="21">
        <f>EXP(-LN(2)/2)*BR50+(1-EXP(-LN(2)/2))/(LN(2)/2)*BL51*BO51*VLOOKUP('Données projet'!$B$11,Paramètres!$A$1:$I$89,3,0)*0.475*44/12</f>
        <v>3.2730978860522191</v>
      </c>
      <c r="BS51" s="22">
        <f t="shared" si="9"/>
        <v>26.79443961741336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193.96728000000004</v>
      </c>
      <c r="CA51" s="13">
        <f t="shared" si="39"/>
        <v>48.41600442423902</v>
      </c>
      <c r="CB51" s="20">
        <f t="shared" si="10"/>
        <v>422.15088703888301</v>
      </c>
      <c r="CC51" s="59">
        <f t="shared" si="11"/>
        <v>715.48422037221633</v>
      </c>
      <c r="CD51" s="59">
        <f ca="1">AVERAGE(OFFSET($CC$3,0,0,'Données projet'!$E$12+1,1))-AVERAGE(OFFSET($H$3,0,0,'Données projet'!$E$12+1,1))</f>
        <v>353.37479213497227</v>
      </c>
      <c r="CE51" s="59">
        <f t="shared" si="40"/>
        <v>345.4750813433123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12.12525834834539</v>
      </c>
      <c r="CL51" s="21">
        <f>EXP(-LN(2)/25)*CL50+(1-EXP(-LN(2)/25))/(LN(2)/25)*Calculateur!CG51*Calculateur!CI51*VLOOKUP('Données projet'!$B$12,Paramètres!$A$1:$I$89,3,0)*0.475*44/12</f>
        <v>16.621763008956147</v>
      </c>
      <c r="CM51" s="21">
        <f>EXP(-LN(2)/2)*CM50+(1-EXP(-LN(2)/2))/(LN(2)/2)*CG51*CJ51*VLOOKUP('Données projet'!$B$12,Paramètres!$A$1:$I$89,3,0)*0.475*44/12</f>
        <v>2.0910674421378674</v>
      </c>
      <c r="CN51" s="22">
        <f t="shared" si="12"/>
        <v>30.838088799439404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7.2494000000000005</v>
      </c>
      <c r="CT51" s="12">
        <f>IF('Données projet'!$A$140&gt;35,CT50+CS51-DB50,IF(A51&lt;'Données projet'!$A$140,$CQ$205^A51,IF(A51='Données projet'!$A$140,'Données projet'!$B$140,CT50+CS51-DB50)))</f>
        <v>347.97119999999984</v>
      </c>
      <c r="CU51" s="17">
        <f>CT51*VLOOKUP('Données projet'!$B$13,Paramètres!$A$1:$I$89,3,0)*VLOOKUP('Données projet'!$B$13,Paramètres!$A$1:$I$89,5,0)</f>
        <v>167.37414719999995</v>
      </c>
      <c r="CV51" s="13">
        <f t="shared" si="41"/>
        <v>42.50138815817548</v>
      </c>
      <c r="CW51" s="20">
        <f t="shared" si="13"/>
        <v>365.53322408215553</v>
      </c>
      <c r="CX51" s="59">
        <f t="shared" si="14"/>
        <v>658.86655741548884</v>
      </c>
      <c r="CY51" s="59">
        <f ca="1">AVERAGE(OFFSET($CX$3,0,0,'Données projet'!$E$13+1,1))-AVERAGE(OFFSET($H$3,0,0,'Données projet'!$E$13+1,1))</f>
        <v>314.18760071409162</v>
      </c>
      <c r="CZ51" s="59">
        <f t="shared" si="42"/>
        <v>267.72650645201787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178.73855999999995</v>
      </c>
      <c r="DQ51" s="13">
        <f t="shared" si="43"/>
        <v>45.041424241265332</v>
      </c>
      <c r="DR51" s="20">
        <f t="shared" si="16"/>
        <v>389.75013922020366</v>
      </c>
      <c r="DS51" s="59">
        <f t="shared" si="17"/>
        <v>683.08347255353692</v>
      </c>
      <c r="DT51" s="59">
        <f ca="1">AVERAGE(OFFSET($DS$3,0,0,'Données projet'!$E$14+1,1))-AVERAGE(OFFSET($H$3,0,0,'Données projet'!$E$14+1,1))</f>
        <v>324.86930206492627</v>
      </c>
      <c r="DU51" s="59">
        <f t="shared" si="44"/>
        <v>317.03005098025352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8.4803058339714639</v>
      </c>
      <c r="EB51" s="21">
        <f>EXP(-LN(2)/25)*EB50+(1-EXP(-LN(2)/25))/(LN(2)/25)*Calculateur!DW51*Calculateur!DY51*VLOOKUP('Données projet'!$B$14,Paramètres!$A$1:$I$89,3,0)*0.475*44/12</f>
        <v>14.388334592425117</v>
      </c>
      <c r="EC51" s="21">
        <f>EXP(-LN(2)/2)*EC50+(1-EXP(-LN(2)/2))/(LN(2)/2)*DW51*DZ51*VLOOKUP('Données projet'!$B$14,Paramètres!$A$1:$I$89,3,0)*0.475*44/12</f>
        <v>2.0408308832688231</v>
      </c>
      <c r="ED51" s="22">
        <f t="shared" si="18"/>
        <v>24.909471309665406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14.689999999999998</v>
      </c>
      <c r="N52" s="13">
        <f>IF('Données projet'!$A$36&gt;35,N51+M52-V51,IF(A52&lt;'Données projet'!$A$36,$K$205^A52,IF(A52='Données projet'!$A$36,'Données projet'!$B$36,N51+M52-V51)))</f>
        <v>363.94000000000005</v>
      </c>
      <c r="O52" s="13">
        <f>N52*VLOOKUP('Données projet'!$B$9,Paramètres!$A$1:$I$89,3,0)*VLOOKUP('Données projet'!$B$9,Paramètres!$A$1:$I$89,5,0)</f>
        <v>217.63612000000003</v>
      </c>
      <c r="P52" s="13">
        <f t="shared" si="33"/>
        <v>53.600785497261654</v>
      </c>
      <c r="Q52" s="20">
        <f t="shared" si="53"/>
        <v>472.40427707439738</v>
      </c>
      <c r="R52" s="59">
        <f t="shared" si="0"/>
        <v>765.7376104077307</v>
      </c>
      <c r="S52" s="59">
        <f ca="1">AVERAGE(OFFSET($R$3,0,0,'Données projet'!$E$9+1,1))-AVERAGE(OFFSET($H$3,0,0,'Données projet'!$E$9+1,1))</f>
        <v>302.00825291248458</v>
      </c>
      <c r="T52" s="59">
        <f t="shared" si="34"/>
        <v>307.35115839449355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38.881902383398398</v>
      </c>
      <c r="AA52" s="21">
        <f>EXP(-LN(2)/25)*AA51+(1-EXP(-LN(2)/25))/(LN(2)/25)*Calculateur!V52*Calculateur!X52*VLOOKUP('Données projet'!$B$9,Paramètres!$A$1:$I$89,3,0)*0.475*44/12</f>
        <v>17.632857987844783</v>
      </c>
      <c r="AB52" s="21">
        <f>EXP(-LN(2)/2)*AB51+(1-EXP(-LN(2)/2))/(LN(2)/2)*V52*Y52*VLOOKUP('Données projet'!$B$9,Paramètres!$A$1:$I$89,3,0)*0.475*44/12</f>
        <v>1.9967106038256577</v>
      </c>
      <c r="AC52" s="22">
        <f t="shared" si="3"/>
        <v>58.511470975068839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22.8</v>
      </c>
      <c r="AI52" s="13">
        <f>IF('Données projet'!$A$62&gt;35,AI51+AH52-AQ51,IF(A52&lt;'Données projet'!$A$62,$AF$205^A52,IF(A52='Données projet'!$A$62,'Données projet'!$B$62,AI51+AH52-AQ51)))</f>
        <v>526.19999999999982</v>
      </c>
      <c r="AJ52" s="13">
        <f>AI52*VLOOKUP('Données projet'!$B$10,Paramètres!$A$1:$I$89,3,0)*VLOOKUP('Données projet'!$B$10,Paramètres!$A$1:$I$89,5,0)</f>
        <v>232.58039999999994</v>
      </c>
      <c r="AK52" s="13">
        <f t="shared" si="35"/>
        <v>56.840261542288928</v>
      </c>
      <c r="AL52" s="20">
        <f t="shared" si="4"/>
        <v>504.07431885281977</v>
      </c>
      <c r="AM52" s="59">
        <f t="shared" si="5"/>
        <v>797.40765218615309</v>
      </c>
      <c r="AN52" s="59">
        <f ca="1">AVERAGE(OFFSET($AM$3,0,0,'Données projet'!$E$10+1,1))-AVERAGE(OFFSET($H$3,0,0,'Données projet'!$E$10+1,1))</f>
        <v>394.37446333077651</v>
      </c>
      <c r="AO52" s="59">
        <f t="shared" si="36"/>
        <v>335.44327961212963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26.232021574348373</v>
      </c>
      <c r="AV52" s="21">
        <f>EXP(-LN(2)/25)*AV51+(1-EXP(-LN(2)/25))/(LN(2)/25)*Calculateur!AQ52*Calculateur!AS52*VLOOKUP('Données projet'!$B$10,Paramètres!$A$1:$I$89,3,0)*0.475*44/12</f>
        <v>23.07177637475241</v>
      </c>
      <c r="AW52" s="21">
        <f>EXP(-LN(2)/2)*AW51+(1-EXP(-LN(2)/2))/(LN(2)/2)*AQ52*AT52*VLOOKUP('Données projet'!$B$10,Paramètres!$A$1:$I$89,3,0)*0.475*44/12</f>
        <v>2.2189952048254762</v>
      </c>
      <c r="AX52" s="21">
        <f t="shared" si="6"/>
        <v>51.522793153926258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9.6799999999999979</v>
      </c>
      <c r="BD52" s="12">
        <f>IF('Données projet'!$A$88&gt;35,BD51+BC52-BL51,IF(A52&lt;'Données projet'!$A$88,$BA$205^A52,IF(A52='Données projet'!$A$88,'Données projet'!$B$88,BD51+BC52-BL51)))</f>
        <v>173.49000000000024</v>
      </c>
      <c r="BE52" s="13">
        <f>BD52*VLOOKUP('Données projet'!$B$11,Paramètres!$A$1:$I$89,3,0)*VLOOKUP('Données projet'!$B$11,Paramètres!$A$1:$I$89,5,0)</f>
        <v>156.97375200000022</v>
      </c>
      <c r="BF52" s="13">
        <f t="shared" si="37"/>
        <v>40.159179999786943</v>
      </c>
      <c r="BG52" s="20">
        <f t="shared" si="7"/>
        <v>343.33985656629596</v>
      </c>
      <c r="BH52" s="59">
        <f t="shared" si="8"/>
        <v>636.67318989962928</v>
      </c>
      <c r="BI52" s="59">
        <f ca="1">AVERAGE(OFFSET($BH$3,0,0,'Données projet'!$E$11+1,1))-AVERAGE(OFFSET($H$3,0,0,'Données projet'!$E$11+1,1))</f>
        <v>490.06222615476065</v>
      </c>
      <c r="BJ52" s="59">
        <f t="shared" si="38"/>
        <v>310.43914804089906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22.878149404783468</v>
      </c>
      <c r="BR52" s="21">
        <f>EXP(-LN(2)/2)*BR51+(1-EXP(-LN(2)/2))/(LN(2)/2)*BL52*BO52*VLOOKUP('Données projet'!$B$11,Paramètres!$A$1:$I$89,3,0)*0.475*44/12</f>
        <v>2.3144297107148777</v>
      </c>
      <c r="BS52" s="22">
        <f t="shared" si="9"/>
        <v>25.192579115498347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200.80944000000002</v>
      </c>
      <c r="CA52" s="13">
        <f t="shared" si="39"/>
        <v>49.922016299484312</v>
      </c>
      <c r="CB52" s="20">
        <f t="shared" si="10"/>
        <v>436.69061972160188</v>
      </c>
      <c r="CC52" s="59">
        <f t="shared" si="11"/>
        <v>730.02395305493519</v>
      </c>
      <c r="CD52" s="59">
        <f ca="1">AVERAGE(OFFSET($CC$3,0,0,'Données projet'!$E$12+1,1))-AVERAGE(OFFSET($H$3,0,0,'Données projet'!$E$12+1,1))</f>
        <v>353.37479213497227</v>
      </c>
      <c r="CE52" s="59">
        <f t="shared" si="40"/>
        <v>345.4750813433123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11.887489427811667</v>
      </c>
      <c r="CL52" s="21">
        <f>EXP(-LN(2)/25)*CL51+(1-EXP(-LN(2)/25))/(LN(2)/25)*Calculateur!CG52*Calculateur!CI52*VLOOKUP('Données projet'!$B$12,Paramètres!$A$1:$I$89,3,0)*0.475*44/12</f>
        <v>16.167240025375715</v>
      </c>
      <c r="CM52" s="21">
        <f>EXP(-LN(2)/2)*CM51+(1-EXP(-LN(2)/2))/(LN(2)/2)*CG52*CJ52*VLOOKUP('Données projet'!$B$12,Paramètres!$A$1:$I$89,3,0)*0.475*44/12</f>
        <v>1.4786079682540947</v>
      </c>
      <c r="CN52" s="22">
        <f t="shared" si="12"/>
        <v>29.53333742144148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7.2494000000000005</v>
      </c>
      <c r="CT52" s="12">
        <f>IF('Données projet'!$A$140&gt;35,CT51+CS52-DB51,IF(A52&lt;'Données projet'!$A$140,$CQ$205^A52,IF(A52='Données projet'!$A$140,'Données projet'!$B$140,CT51+CS52-DB51)))</f>
        <v>355.22059999999982</v>
      </c>
      <c r="CU52" s="17">
        <f>CT52*VLOOKUP('Données projet'!$B$13,Paramètres!$A$1:$I$89,3,0)*VLOOKUP('Données projet'!$B$13,Paramètres!$A$1:$I$89,5,0)</f>
        <v>170.86110859999991</v>
      </c>
      <c r="CV52" s="13">
        <f t="shared" si="41"/>
        <v>43.282826517638355</v>
      </c>
      <c r="CW52" s="20">
        <f t="shared" si="13"/>
        <v>372.96735366321997</v>
      </c>
      <c r="CX52" s="59">
        <f t="shared" si="14"/>
        <v>666.30068699655328</v>
      </c>
      <c r="CY52" s="59">
        <f ca="1">AVERAGE(OFFSET($CX$3,0,0,'Données projet'!$E$13+1,1))-AVERAGE(OFFSET($H$3,0,0,'Données projet'!$E$13+1,1))</f>
        <v>314.18760071409162</v>
      </c>
      <c r="CZ52" s="59">
        <f t="shared" si="42"/>
        <v>267.72650645201787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185.02847999999992</v>
      </c>
      <c r="DQ52" s="13">
        <f t="shared" si="43"/>
        <v>46.439130018745807</v>
      </c>
      <c r="DR52" s="20">
        <f t="shared" si="16"/>
        <v>403.13942078264876</v>
      </c>
      <c r="DS52" s="59">
        <f t="shared" si="17"/>
        <v>696.47275411598207</v>
      </c>
      <c r="DT52" s="59">
        <f ca="1">AVERAGE(OFFSET($DS$3,0,0,'Données projet'!$E$14+1,1))-AVERAGE(OFFSET($H$3,0,0,'Données projet'!$E$14+1,1))</f>
        <v>324.86930206492627</v>
      </c>
      <c r="DU52" s="59">
        <f t="shared" si="44"/>
        <v>317.03005098025352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8.3140122090431028</v>
      </c>
      <c r="EB52" s="21">
        <f>EXP(-LN(2)/25)*EB51+(1-EXP(-LN(2)/25))/(LN(2)/25)*Calculateur!DW52*Calculateur!DY52*VLOOKUP('Données projet'!$B$14,Paramètres!$A$1:$I$89,3,0)*0.475*44/12</f>
        <v>13.994884826345622</v>
      </c>
      <c r="EC52" s="21">
        <f>EXP(-LN(2)/2)*EC51+(1-EXP(-LN(2)/2))/(LN(2)/2)*DW52*DZ52*VLOOKUP('Données projet'!$B$14,Paramètres!$A$1:$I$89,3,0)*0.475*44/12</f>
        <v>1.4430853568143163</v>
      </c>
      <c r="ED52" s="22">
        <f t="shared" si="18"/>
        <v>23.75198239220304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14.689999999999998</v>
      </c>
      <c r="N53" s="13">
        <f>IF('Données projet'!$A$36&gt;35,N52+M53-V52,IF(A53&lt;'Données projet'!$A$36,$K$205^A53,IF(A53='Données projet'!$A$36,'Données projet'!$B$36,N52+M53-V52)))</f>
        <v>378.63000000000005</v>
      </c>
      <c r="O53" s="13">
        <f>N53*VLOOKUP('Données projet'!$B$9,Paramètres!$A$1:$I$89,3,0)*VLOOKUP('Données projet'!$B$9,Paramètres!$A$1:$I$89,5,0)</f>
        <v>226.42074000000005</v>
      </c>
      <c r="P53" s="13">
        <f t="shared" si="33"/>
        <v>55.508056797434847</v>
      </c>
      <c r="Q53" s="20">
        <f t="shared" si="53"/>
        <v>491.0259877555323</v>
      </c>
      <c r="R53" s="59">
        <f t="shared" si="0"/>
        <v>784.35932108886561</v>
      </c>
      <c r="S53" s="59">
        <f ca="1">AVERAGE(OFFSET($R$3,0,0,'Données projet'!$E$9+1,1))-AVERAGE(OFFSET($H$3,0,0,'Données projet'!$E$9+1,1))</f>
        <v>302.00825291248458</v>
      </c>
      <c r="T53" s="59">
        <f t="shared" si="34"/>
        <v>307.35115839449355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38.119451993278687</v>
      </c>
      <c r="AA53" s="21">
        <f>EXP(-LN(2)/25)*AA52+(1-EXP(-LN(2)/25))/(LN(2)/25)*Calculateur!V53*Calculateur!X53*VLOOKUP('Données projet'!$B$9,Paramètres!$A$1:$I$89,3,0)*0.475*44/12</f>
        <v>17.150686558895465</v>
      </c>
      <c r="AB53" s="21">
        <f>EXP(-LN(2)/2)*AB52+(1-EXP(-LN(2)/2))/(LN(2)/2)*V53*Y53*VLOOKUP('Données projet'!$B$9,Paramètres!$A$1:$I$89,3,0)*0.475*44/12</f>
        <v>1.4118876080322087</v>
      </c>
      <c r="AC53" s="22">
        <f t="shared" si="3"/>
        <v>56.682026160206362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549</v>
      </c>
      <c r="AG53" s="12">
        <f>VLOOKUP(A53,'Données projet'!$A$61:$I$81,9,0)</f>
        <v>22.8</v>
      </c>
      <c r="AH53" s="12">
        <f t="array" ref="AH53">INDEX(AG:AG,MIN(IF(ISNUMBER(AG53:AG249),ROW(AG53:AG249),"")))</f>
        <v>22.8</v>
      </c>
      <c r="AI53" s="13">
        <f>IF('Données projet'!$A$62&gt;35,AI52+AH53-AQ52,IF(A53&lt;'Données projet'!$A$62,$AF$205^A53,IF(A53='Données projet'!$A$62,'Données projet'!$B$62,AI52+AH53-AQ52)))</f>
        <v>548.99999999999977</v>
      </c>
      <c r="AJ53" s="13">
        <f>AI53*VLOOKUP('Données projet'!$B$10,Paramètres!$A$1:$I$89,3,0)*VLOOKUP('Données projet'!$B$10,Paramètres!$A$1:$I$89,5,0)</f>
        <v>242.65799999999993</v>
      </c>
      <c r="AK53" s="13">
        <f t="shared" si="35"/>
        <v>59.011045025839607</v>
      </c>
      <c r="AL53" s="20">
        <f t="shared" si="4"/>
        <v>525.40692008667054</v>
      </c>
      <c r="AM53" s="59">
        <f t="shared" si="5"/>
        <v>818.74025342000391</v>
      </c>
      <c r="AN53" s="59">
        <f ca="1">AVERAGE(OFFSET($AM$3,0,0,'Données projet'!$E$10+1,1))-AVERAGE(OFFSET($H$3,0,0,'Données projet'!$E$10+1,1))</f>
        <v>394.37446333077651</v>
      </c>
      <c r="AO53" s="59">
        <f t="shared" si="36"/>
        <v>335.44327961212963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63</v>
      </c>
      <c r="AR53" s="16">
        <f>IF(ISNA(VLOOKUP(A53,'Données projet'!$A$61:$I$81,5,0)),0%,VLOOKUP(A53,'Données projet'!$A$61:$I$81,5,0)*VLOOKUP('Données projet'!$B$10,Paramètres!$A$1:$I$89,7,0))</f>
        <v>0.33</v>
      </c>
      <c r="AS53" s="16">
        <f>IF(ISNA(VLOOKUP(A53,'Données projet'!$A$61:$I$81,6,0)),0%,VLOOKUP(A53,'Données projet'!$A$61:$I$81,6,0)*VLOOKUP('Données projet'!$B$10,Paramètres!$A$1:$I$89,7,0))</f>
        <v>0.11000000000000001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37.907667193864611</v>
      </c>
      <c r="AV53" s="21">
        <f>EXP(-LN(2)/25)*AV52+(1-EXP(-LN(2)/25))/(LN(2)/25)*Calculateur!AQ53*Calculateur!AS53*VLOOKUP('Données projet'!$B$10,Paramètres!$A$1:$I$89,3,0)*0.475*44/12</f>
        <v>26.488225013862348</v>
      </c>
      <c r="AW53" s="21">
        <f>EXP(-LN(2)/2)*AW52+(1-EXP(-LN(2)/2))/(LN(2)/2)*AQ53*AT53*VLOOKUP('Données projet'!$B$10,Paramètres!$A$1:$I$89,3,0)*0.475*44/12</f>
        <v>7.8746946681369208</v>
      </c>
      <c r="AX53" s="21">
        <f t="shared" si="6"/>
        <v>72.270586875863884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9.6799999999999979</v>
      </c>
      <c r="BD53" s="12">
        <f>IF('Données projet'!$A$88&gt;35,BD52+BC53-BL52,IF(A53&lt;'Données projet'!$A$88,$BA$205^A53,IF(A53='Données projet'!$A$88,'Données projet'!$B$88,BD52+BC53-BL52)))</f>
        <v>183.17000000000024</v>
      </c>
      <c r="BE53" s="13">
        <f>BD53*VLOOKUP('Données projet'!$B$11,Paramètres!$A$1:$I$89,3,0)*VLOOKUP('Données projet'!$B$11,Paramètres!$A$1:$I$89,5,0)</f>
        <v>165.73221600000022</v>
      </c>
      <c r="BF53" s="13">
        <f t="shared" si="37"/>
        <v>42.132772147585847</v>
      </c>
      <c r="BG53" s="20">
        <f t="shared" si="7"/>
        <v>362.0315210237124</v>
      </c>
      <c r="BH53" s="59">
        <f t="shared" si="8"/>
        <v>655.36485435704572</v>
      </c>
      <c r="BI53" s="59">
        <f ca="1">AVERAGE(OFFSET($BH$3,0,0,'Données projet'!$E$11+1,1))-AVERAGE(OFFSET($H$3,0,0,'Données projet'!$E$11+1,1))</f>
        <v>490.06222615476065</v>
      </c>
      <c r="BJ53" s="59">
        <f t="shared" si="38"/>
        <v>310.43914804089906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22.252545206200075</v>
      </c>
      <c r="BR53" s="21">
        <f>EXP(-LN(2)/2)*BR52+(1-EXP(-LN(2)/2))/(LN(2)/2)*BL53*BO53*VLOOKUP('Données projet'!$B$11,Paramètres!$A$1:$I$89,3,0)*0.475*44/12</f>
        <v>1.6365489430261095</v>
      </c>
      <c r="BS53" s="22">
        <f t="shared" si="9"/>
        <v>23.889094149226185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207.65160000000006</v>
      </c>
      <c r="CA53" s="13">
        <f t="shared" si="39"/>
        <v>51.422065813018108</v>
      </c>
      <c r="CB53" s="20">
        <f t="shared" si="10"/>
        <v>451.2199679576733</v>
      </c>
      <c r="CC53" s="59">
        <f t="shared" si="11"/>
        <v>744.55330129100662</v>
      </c>
      <c r="CD53" s="59">
        <f ca="1">AVERAGE(OFFSET($CC$3,0,0,'Données projet'!$E$12+1,1))-AVERAGE(OFFSET($H$3,0,0,'Données projet'!$E$12+1,1))</f>
        <v>353.37479213497227</v>
      </c>
      <c r="CE53" s="59">
        <f t="shared" si="40"/>
        <v>345.4750813433123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0.13250000000000001</v>
      </c>
      <c r="CI53" s="16">
        <f>IF(ISNA(VLOOKUP(A53,'Données projet'!$A$113:$I$133,6,0)),0%,VLOOKUP(A53,'Données projet'!$A$113:$I$133,6,0)*VLOOKUP('Données projet'!$B$12,Paramètres!$A$1:$I$89,7,0))</f>
        <v>0.13250000000000001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13.868555059770163</v>
      </c>
      <c r="CL53" s="21">
        <f>EXP(-LN(2)/25)*CL52+(1-EXP(-LN(2)/25))/(LN(2)/25)*Calculateur!CG53*Calculateur!CI53*VLOOKUP('Données projet'!$B$12,Paramètres!$A$1:$I$89,3,0)*0.475*44/12</f>
        <v>17.93060000664634</v>
      </c>
      <c r="CM53" s="21">
        <f>EXP(-LN(2)/2)*CM52+(1-EXP(-LN(2)/2))/(LN(2)/2)*CG53*CJ53*VLOOKUP('Données projet'!$B$12,Paramètres!$A$1:$I$89,3,0)*0.475*44/12</f>
        <v>4.6112162840541568</v>
      </c>
      <c r="CN53" s="22">
        <f t="shared" si="12"/>
        <v>36.410371350470662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362.47</v>
      </c>
      <c r="CR53" s="12">
        <f>VLOOKUP(A53,'Données projet'!$A$139:$I$159,9,0)</f>
        <v>7.2494000000000005</v>
      </c>
      <c r="CS53" s="12">
        <f t="array" ref="CS53">INDEX(CR:CR,MIN(IF(ISNUMBER(CR53:CR249),ROW(CR53:CR249),"")))</f>
        <v>7.2494000000000005</v>
      </c>
      <c r="CT53" s="12">
        <f>IF('Données projet'!$A$140&gt;35,CT52+CS53-DB52,IF(A53&lt;'Données projet'!$A$140,$CQ$205^A53,IF(A53='Données projet'!$A$140,'Données projet'!$B$140,CT52+CS53-DB52)))</f>
        <v>362.4699999999998</v>
      </c>
      <c r="CU53" s="17">
        <f>CT53*VLOOKUP('Données projet'!$B$13,Paramètres!$A$1:$I$89,3,0)*VLOOKUP('Données projet'!$B$13,Paramètres!$A$1:$I$89,5,0)</f>
        <v>174.34806999999989</v>
      </c>
      <c r="CV53" s="13">
        <f t="shared" si="41"/>
        <v>44.062410629350225</v>
      </c>
      <c r="CW53" s="20">
        <f t="shared" si="13"/>
        <v>380.39825376278469</v>
      </c>
      <c r="CX53" s="59">
        <f t="shared" si="14"/>
        <v>673.73158709611801</v>
      </c>
      <c r="CY53" s="59">
        <f ca="1">AVERAGE(OFFSET($CX$3,0,0,'Données projet'!$E$13+1,1))-AVERAGE(OFFSET($H$3,0,0,'Données projet'!$E$13+1,1))</f>
        <v>314.18760071409162</v>
      </c>
      <c r="CZ53" s="59">
        <f t="shared" si="42"/>
        <v>267.72650645201787</v>
      </c>
      <c r="DA53" s="15">
        <f>IF(ISNA(VLOOKUP(A53,'Données projet'!$A$139:$I$159,3,0)),0,VLOOKUP(A53,'Données projet'!$A$139:$I$159,3,0))</f>
        <v>1</v>
      </c>
      <c r="DB53" s="15">
        <f>IF(ISNA(VLOOKUP(A53,'Données projet'!$A$139:$I$159,4,0)),0,VLOOKUP(A53,'Données projet'!$A$139:$I$159,4,0))</f>
        <v>103.56</v>
      </c>
      <c r="DC53" s="16">
        <f>IF(ISNA(VLOOKUP(A53,'Données projet'!$A$139:$I$159,5,0)),0%,VLOOKUP(A53,'Données projet'!$A$139:$I$159,5,0)*VLOOKUP('Données projet'!$B$13,Paramètres!$A$1:$I$89,7,0))</f>
        <v>2.7500000000000004E-2</v>
      </c>
      <c r="DD53" s="16">
        <f>IF(ISNA(VLOOKUP(A53,'Données projet'!$A$139:$I$159,6,0)),0%,VLOOKUP(A53,'Données projet'!$A$139:$I$159,6,0)*VLOOKUP('Données projet'!$B$13,Paramètres!$A$1:$I$89,7,0))</f>
        <v>0.24750000000000003</v>
      </c>
      <c r="DE53" s="16">
        <f>IF(ISNA(VLOOKUP(A53,'Données projet'!$A$139:$I$159,7,0)),0%,VLOOKUP(A53,'Données projet'!$A$139:$I$159,7,0))</f>
        <v>0.45</v>
      </c>
      <c r="DF53" s="21">
        <f>EXP(-LN(2)/35)*DF52+(1-EXP(-LN(2)/35))/(LN(2)/35)*DB53*DC53*VLOOKUP('Données projet'!$B$13,Paramètres!$A$1:$I$89,3,0)*0.475*44/12</f>
        <v>1.817180920982854</v>
      </c>
      <c r="DG53" s="21">
        <f>EXP(-LN(2)/25)*DG52+(1-EXP(-LN(2)/25))/(LN(2)/25)*Calculateur!DB53*Calculateur!DD53*VLOOKUP('Données projet'!$B$13,Paramètres!$A$1:$I$89,3,0)*0.475*44/12</f>
        <v>16.290233885670578</v>
      </c>
      <c r="DH53" s="21">
        <f>EXP(-LN(2)/2)*DH52+(1-EXP(-LN(2)/2))/(LN(2)/2)*DB53*DE53*VLOOKUP('Données projet'!$B$13,Paramètres!$A$1:$I$89,3,0)*0.475*44/12</f>
        <v>25.379623263606941</v>
      </c>
      <c r="DI53" s="22">
        <f t="shared" si="15"/>
        <v>43.487038070260368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191.31839999999991</v>
      </c>
      <c r="DQ53" s="13">
        <f t="shared" si="43"/>
        <v>47.831314962098354</v>
      </c>
      <c r="DR53" s="20">
        <f t="shared" si="16"/>
        <v>416.51908689232118</v>
      </c>
      <c r="DS53" s="59">
        <f t="shared" si="17"/>
        <v>709.85242022565444</v>
      </c>
      <c r="DT53" s="59">
        <f ca="1">AVERAGE(OFFSET($DS$3,0,0,'Données projet'!$E$14+1,1))-AVERAGE(OFFSET($H$3,0,0,'Données projet'!$E$14+1,1))</f>
        <v>324.86930206492627</v>
      </c>
      <c r="DU53" s="59">
        <f t="shared" si="44"/>
        <v>317.03005098025352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0.13250000000000001</v>
      </c>
      <c r="DY53" s="16">
        <f>IF(ISNA(VLOOKUP(A53,'Données projet'!$A$165:$I$185,6,0)),0%,VLOOKUP(A53,'Données projet'!$A$165:$I$185,6,0)*VLOOKUP('Données projet'!$B$14,Paramètres!$A$1:$I$89,7,0))</f>
        <v>0.13250000000000001</v>
      </c>
      <c r="DZ53" s="16">
        <f>IF(ISNA(VLOOKUP(A53,'Données projet'!$A$165:$I$185,7,0)),0%,VLOOKUP(A53,'Données projet'!$A$165:$I$185,7,0))</f>
        <v>0.25</v>
      </c>
      <c r="EA53" s="21">
        <f>EXP(-LN(2)/35)*EA52+(1-EXP(-LN(2)/35))/(LN(2)/35)*DW53*DX53*VLOOKUP('Données projet'!$B$14,Paramètres!$A$1:$I$89,3,0)*0.475*44/12</f>
        <v>10.326306425989358</v>
      </c>
      <c r="EB53" s="21">
        <f>EXP(-LN(2)/25)*EB52+(1-EXP(-LN(2)/25))/(LN(2)/25)*Calculateur!DW53*Calculateur!DY53*VLOOKUP('Données projet'!$B$14,Paramètres!$A$1:$I$89,3,0)*0.475*44/12</f>
        <v>15.77895579915954</v>
      </c>
      <c r="EC53" s="21">
        <f>EXP(-LN(2)/2)*EC52+(1-EXP(-LN(2)/2))/(LN(2)/2)*DW53*DZ53*VLOOKUP('Données projet'!$B$14,Paramètres!$A$1:$I$89,3,0)*0.475*44/12</f>
        <v>4.5235421701812975</v>
      </c>
      <c r="ED53" s="22">
        <f t="shared" si="18"/>
        <v>30.628804395330196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14.689999999999998</v>
      </c>
      <c r="N54" s="13">
        <f>IF('Données projet'!$A$36&gt;35,N53+M54-V53,IF(A54&lt;'Données projet'!$A$36,$K$205^A54,IF(A54='Données projet'!$A$36,'Données projet'!$B$36,N53+M54-V53)))</f>
        <v>393.32000000000005</v>
      </c>
      <c r="O54" s="13">
        <f>N54*VLOOKUP('Données projet'!$B$9,Paramètres!$A$1:$I$89,3,0)*VLOOKUP('Données projet'!$B$9,Paramètres!$A$1:$I$89,5,0)</f>
        <v>235.20536000000004</v>
      </c>
      <c r="P54" s="13">
        <f t="shared" si="33"/>
        <v>57.406731887132807</v>
      </c>
      <c r="Q54" s="20">
        <f t="shared" si="53"/>
        <v>509.63272670342303</v>
      </c>
      <c r="R54" s="59">
        <f t="shared" si="0"/>
        <v>802.96606003675629</v>
      </c>
      <c r="S54" s="59">
        <f ca="1">AVERAGE(OFFSET($R$3,0,0,'Données projet'!$E$9+1,1))-AVERAGE(OFFSET($H$3,0,0,'Données projet'!$E$9+1,1))</f>
        <v>302.00825291248458</v>
      </c>
      <c r="T54" s="59">
        <f t="shared" si="34"/>
        <v>307.35115839449355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37.371952790260409</v>
      </c>
      <c r="AA54" s="21">
        <f>EXP(-LN(2)/25)*AA53+(1-EXP(-LN(2)/25))/(LN(2)/25)*Calculateur!V54*Calculateur!X54*VLOOKUP('Données projet'!$B$9,Paramètres!$A$1:$I$89,3,0)*0.475*44/12</f>
        <v>16.681700133027061</v>
      </c>
      <c r="AB54" s="21">
        <f>EXP(-LN(2)/2)*AB53+(1-EXP(-LN(2)/2))/(LN(2)/2)*V54*Y54*VLOOKUP('Données projet'!$B$9,Paramètres!$A$1:$I$89,3,0)*0.475*44/12</f>
        <v>0.99835530191282906</v>
      </c>
      <c r="AC54" s="22">
        <f t="shared" si="3"/>
        <v>55.052008225200304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21.6</v>
      </c>
      <c r="AI54" s="13">
        <f>IF('Données projet'!$A$62&gt;35,AI53+AH54-AQ53,IF(A54&lt;'Données projet'!$A$62,$AF$205^A54,IF(A54='Données projet'!$A$62,'Données projet'!$B$62,AI53+AH54-AQ53)))</f>
        <v>507.5999999999998</v>
      </c>
      <c r="AJ54" s="13">
        <f>AI54*VLOOKUP('Données projet'!$B$10,Paramètres!$A$1:$I$89,3,0)*VLOOKUP('Données projet'!$B$10,Paramètres!$A$1:$I$89,5,0)</f>
        <v>224.35919999999993</v>
      </c>
      <c r="AK54" s="13">
        <f t="shared" si="35"/>
        <v>55.061251669487255</v>
      </c>
      <c r="AL54" s="20">
        <f t="shared" si="4"/>
        <v>486.65728665769012</v>
      </c>
      <c r="AM54" s="59">
        <f t="shared" si="5"/>
        <v>779.99061999102344</v>
      </c>
      <c r="AN54" s="59">
        <f ca="1">AVERAGE(OFFSET($AM$3,0,0,'Données projet'!$E$10+1,1))-AVERAGE(OFFSET($H$3,0,0,'Données projet'!$E$10+1,1))</f>
        <v>394.37446333077651</v>
      </c>
      <c r="AO54" s="59">
        <f t="shared" si="36"/>
        <v>335.44327961212963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37.164320961586867</v>
      </c>
      <c r="AV54" s="21">
        <f>EXP(-LN(2)/25)*AV53+(1-EXP(-LN(2)/25))/(LN(2)/25)*Calculateur!AQ54*Calculateur!AS54*VLOOKUP('Données projet'!$B$10,Paramètres!$A$1:$I$89,3,0)*0.475*44/12</f>
        <v>25.763903107903069</v>
      </c>
      <c r="AW54" s="21">
        <f>EXP(-LN(2)/2)*AW53+(1-EXP(-LN(2)/2))/(LN(2)/2)*AQ54*AT54*VLOOKUP('Données projet'!$B$10,Paramètres!$A$1:$I$89,3,0)*0.475*44/12</f>
        <v>5.5682499996131662</v>
      </c>
      <c r="AX54" s="21">
        <f t="shared" si="6"/>
        <v>68.496474069103101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9.6799999999999979</v>
      </c>
      <c r="BC54" s="12">
        <f t="array" ref="BC54">INDEX(BB:BB,MIN(IF(ISNUMBER(BB54:BB250),ROW(BB54:BB250),"")))</f>
        <v>9.6799999999999979</v>
      </c>
      <c r="BD54" s="12">
        <f>IF('Données projet'!$A$88&gt;35,BD53+BC54-BL53,IF(A54&lt;'Données projet'!$A$88,$BA$205^A54,IF(A54='Données projet'!$A$88,'Données projet'!$B$88,BD53+BC54-BL53)))</f>
        <v>192.85000000000025</v>
      </c>
      <c r="BE54" s="13">
        <f>BD54*VLOOKUP('Données projet'!$B$11,Paramètres!$A$1:$I$89,3,0)*VLOOKUP('Données projet'!$B$11,Paramètres!$A$1:$I$89,5,0)</f>
        <v>174.49068000000022</v>
      </c>
      <c r="BF54" s="13">
        <f t="shared" si="37"/>
        <v>44.094255253499121</v>
      </c>
      <c r="BG54" s="20">
        <f t="shared" si="7"/>
        <v>380.70209556651133</v>
      </c>
      <c r="BH54" s="59">
        <f t="shared" si="8"/>
        <v>674.03542889984465</v>
      </c>
      <c r="BI54" s="59">
        <f ca="1">AVERAGE(OFFSET($BH$3,0,0,'Données projet'!$E$11+1,1))-AVERAGE(OFFSET($H$3,0,0,'Données projet'!$E$11+1,1))</f>
        <v>490.06222615476065</v>
      </c>
      <c r="BJ54" s="59">
        <f t="shared" si="38"/>
        <v>310.43914804089906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48.769999999999982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0.34400000000000003</v>
      </c>
      <c r="BO54" s="16">
        <f>IF(ISNA(VLOOKUP(A54,'Données projet'!$A$87:$I$107,7,0)),0%,VLOOKUP(A54,'Données projet'!$A$87:$I$107,7,0))</f>
        <v>0.2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38.358708013238626</v>
      </c>
      <c r="BR54" s="21">
        <f>EXP(-LN(2)/2)*BR53+(1-EXP(-LN(2)/2))/(LN(2)/2)*BL54*BO54*VLOOKUP('Données projet'!$B$11,Paramètres!$A$1:$I$89,3,0)*0.475*44/12</f>
        <v>9.4842354032325886</v>
      </c>
      <c r="BS54" s="22">
        <f t="shared" si="9"/>
        <v>47.842943416471215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198.42264000000003</v>
      </c>
      <c r="CA54" s="13">
        <f t="shared" si="39"/>
        <v>49.397352151183256</v>
      </c>
      <c r="CB54" s="20">
        <f t="shared" si="10"/>
        <v>431.61981966331086</v>
      </c>
      <c r="CC54" s="59">
        <f t="shared" si="11"/>
        <v>724.95315299664412</v>
      </c>
      <c r="CD54" s="59">
        <f ca="1">AVERAGE(OFFSET($CC$3,0,0,'Données projet'!$E$12+1,1))-AVERAGE(OFFSET($H$3,0,0,'Données projet'!$E$12+1,1))</f>
        <v>353.37479213497227</v>
      </c>
      <c r="CE54" s="59">
        <f t="shared" si="40"/>
        <v>345.4750813433123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13.596601154031401</v>
      </c>
      <c r="CL54" s="21">
        <f>EXP(-LN(2)/25)*CL53+(1-EXP(-LN(2)/25))/(LN(2)/25)*Calculateur!CG54*Calculateur!CI54*VLOOKUP('Données projet'!$B$12,Paramètres!$A$1:$I$89,3,0)*0.475*44/12</f>
        <v>17.440286806535322</v>
      </c>
      <c r="CM54" s="21">
        <f>EXP(-LN(2)/2)*CM53+(1-EXP(-LN(2)/2))/(LN(2)/2)*CG54*CJ54*VLOOKUP('Données projet'!$B$12,Paramètres!$A$1:$I$89,3,0)*0.475*44/12</f>
        <v>3.2606223039725277</v>
      </c>
      <c r="CN54" s="22">
        <f t="shared" si="12"/>
        <v>34.297510264539248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17.608999999999998</v>
      </c>
      <c r="CT54" s="12">
        <f>IF('Données projet'!$A$140&gt;35,CT53+CS54-DB53,IF(A54&lt;'Données projet'!$A$140,$CQ$205^A54,IF(A54='Données projet'!$A$140,'Données projet'!$B$140,CT53+CS54-DB53)))</f>
        <v>276.51899999999978</v>
      </c>
      <c r="CU54" s="17">
        <f>CT54*VLOOKUP('Données projet'!$B$13,Paramètres!$A$1:$I$89,3,0)*VLOOKUP('Données projet'!$B$13,Paramètres!$A$1:$I$89,5,0)</f>
        <v>133.00563899999992</v>
      </c>
      <c r="CV54" s="13">
        <f t="shared" si="41"/>
        <v>34.689947660884116</v>
      </c>
      <c r="CW54" s="20">
        <f t="shared" si="13"/>
        <v>292.06981343437297</v>
      </c>
      <c r="CX54" s="59">
        <f t="shared" si="14"/>
        <v>585.40314676770629</v>
      </c>
      <c r="CY54" s="59">
        <f ca="1">AVERAGE(OFFSET($CX$3,0,0,'Données projet'!$E$13+1,1))-AVERAGE(OFFSET($H$3,0,0,'Données projet'!$E$13+1,1))</f>
        <v>314.18760071409162</v>
      </c>
      <c r="CZ54" s="59">
        <f t="shared" si="42"/>
        <v>267.72650645201787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1.7815471114932995</v>
      </c>
      <c r="DG54" s="21">
        <f>EXP(-LN(2)/25)*DG53+(1-EXP(-LN(2)/25))/(LN(2)/25)*Calculateur!DB54*Calculateur!DD54*VLOOKUP('Données projet'!$B$13,Paramètres!$A$1:$I$89,3,0)*0.475*44/12</f>
        <v>15.844776583400748</v>
      </c>
      <c r="DH54" s="21">
        <f>EXP(-LN(2)/2)*DH53+(1-EXP(-LN(2)/2))/(LN(2)/2)*DB54*DE54*VLOOKUP('Données projet'!$B$13,Paramètres!$A$1:$I$89,3,0)*0.475*44/12</f>
        <v>17.946103713656324</v>
      </c>
      <c r="DI54" s="22">
        <f t="shared" si="15"/>
        <v>35.572427408550368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181.70879999999991</v>
      </c>
      <c r="DQ54" s="13">
        <f t="shared" si="43"/>
        <v>45.702153370067769</v>
      </c>
      <c r="DR54" s="20">
        <f t="shared" si="16"/>
        <v>396.07407711953448</v>
      </c>
      <c r="DS54" s="59">
        <f t="shared" si="17"/>
        <v>689.40741045286779</v>
      </c>
      <c r="DT54" s="59">
        <f ca="1">AVERAGE(OFFSET($DS$3,0,0,'Données projet'!$E$14+1,1))-AVERAGE(OFFSET($H$3,0,0,'Données projet'!$E$14+1,1))</f>
        <v>324.86930206492627</v>
      </c>
      <c r="DU54" s="59">
        <f t="shared" si="44"/>
        <v>317.03005098025352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10.123813855400709</v>
      </c>
      <c r="EB54" s="21">
        <f>EXP(-LN(2)/25)*EB53+(1-EXP(-LN(2)/25))/(LN(2)/25)*Calculateur!DW54*Calculateur!DY54*VLOOKUP('Données projet'!$B$14,Paramètres!$A$1:$I$89,3,0)*0.475*44/12</f>
        <v>15.347479423052301</v>
      </c>
      <c r="EC54" s="21">
        <f>EXP(-LN(2)/2)*EC53+(1-EXP(-LN(2)/2))/(LN(2)/2)*DW54*DZ54*VLOOKUP('Données projet'!$B$14,Paramètres!$A$1:$I$89,3,0)*0.475*44/12</f>
        <v>3.1986273435185071</v>
      </c>
      <c r="ED54" s="22">
        <f t="shared" si="18"/>
        <v>28.669920621971517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408.01</v>
      </c>
      <c r="L55" s="12">
        <f>VLOOKUP(A55,'Données projet'!$A$35:$I$55,9,0)</f>
        <v>14.689999999999998</v>
      </c>
      <c r="M55" s="12">
        <f t="array" ref="M55">INDEX(L:L,MIN(IF(ISNUMBER(L55:L251),ROW(L55:L251),"")))</f>
        <v>14.689999999999998</v>
      </c>
      <c r="N55" s="13">
        <f>IF('Données projet'!$A$36&gt;35,N54+M55-V54,IF(A55&lt;'Données projet'!$A$36,$K$205^A55,IF(A55='Données projet'!$A$36,'Données projet'!$B$36,N54+M55-V54)))</f>
        <v>408.01000000000005</v>
      </c>
      <c r="O55" s="13">
        <f>N55*VLOOKUP('Données projet'!$B$9,Paramètres!$A$1:$I$89,3,0)*VLOOKUP('Données projet'!$B$9,Paramètres!$A$1:$I$89,5,0)</f>
        <v>243.98998000000003</v>
      </c>
      <c r="P55" s="13">
        <f t="shared" si="33"/>
        <v>59.297168586253541</v>
      </c>
      <c r="Q55" s="20">
        <f t="shared" si="53"/>
        <v>528.22511712105825</v>
      </c>
      <c r="R55" s="59">
        <f t="shared" si="0"/>
        <v>821.5584504543915</v>
      </c>
      <c r="S55" s="59">
        <f ca="1">AVERAGE(OFFSET($R$3,0,0,'Données projet'!$E$9+1,1))-AVERAGE(OFFSET($H$3,0,0,'Données projet'!$E$9+1,1))</f>
        <v>302.00825291248458</v>
      </c>
      <c r="T55" s="59">
        <f t="shared" si="34"/>
        <v>307.35115839449355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75.70999999999998</v>
      </c>
      <c r="W55" s="16">
        <f>IF(ISNA(VLOOKUP(A55,'Données projet'!$A$35:$I$55,5,0)),0%,VLOOKUP(A55,'Données projet'!$A$35:$I$55,5,0)*VLOOKUP('Données projet'!$B$9,Paramètres!$A$1:$I$89,7,0))</f>
        <v>0.27</v>
      </c>
      <c r="X55" s="16">
        <f>IF(ISNA(VLOOKUP(A55,'Données projet'!$A$35:$I$55,6,0)),0%,VLOOKUP(A55,'Données projet'!$A$35:$I$55,6,0)*VLOOKUP('Données projet'!$B$9,Paramètres!$A$1:$I$89,7,0))</f>
        <v>9.0000000000000011E-2</v>
      </c>
      <c r="Y55" s="16">
        <f>IF(ISNA(VLOOKUP(A55,'Données projet'!$A$35:$I$55,7,0)),0%,VLOOKUP(A55,'Données projet'!$A$35:$I$55,7,0))</f>
        <v>0.2</v>
      </c>
      <c r="Z55" s="21">
        <f>EXP(-LN(2)/35)*Z54+(1-EXP(-LN(2)/35))/(LN(2)/35)*V55*W55*VLOOKUP('Données projet'!$B$9,Paramètres!$A$1:$I$89,3,0)*0.475*44/12</f>
        <v>52.855216702681361</v>
      </c>
      <c r="AA55" s="21">
        <f>EXP(-LN(2)/25)*AA54+(1-EXP(-LN(2)/25))/(LN(2)/25)*Calculateur!V55*Calculateur!X55*VLOOKUP('Données projet'!$B$9,Paramètres!$A$1:$I$89,3,0)*0.475*44/12</f>
        <v>21.609623541420671</v>
      </c>
      <c r="AB55" s="21">
        <f>EXP(-LN(2)/2)*AB54+(1-EXP(-LN(2)/2))/(LN(2)/2)*V55*Y55*VLOOKUP('Données projet'!$B$9,Paramètres!$A$1:$I$89,3,0)*0.475*44/12</f>
        <v>10.958212150605259</v>
      </c>
      <c r="AC55" s="22">
        <f t="shared" si="3"/>
        <v>85.423052394707298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21.6</v>
      </c>
      <c r="AI55" s="13">
        <f>IF('Données projet'!$A$62&gt;35,AI54+AH55-AQ54,IF(A55&lt;'Données projet'!$A$62,$AF$205^A55,IF(A55='Données projet'!$A$62,'Données projet'!$B$62,AI54+AH55-AQ54)))</f>
        <v>529.19999999999982</v>
      </c>
      <c r="AJ55" s="13">
        <f>AI55*VLOOKUP('Données projet'!$B$10,Paramètres!$A$1:$I$89,3,0)*VLOOKUP('Données projet'!$B$10,Paramètres!$A$1:$I$89,5,0)</f>
        <v>233.90639999999993</v>
      </c>
      <c r="AK55" s="13">
        <f t="shared" si="35"/>
        <v>57.126506840778347</v>
      </c>
      <c r="AL55" s="20">
        <f t="shared" si="4"/>
        <v>506.8823127476889</v>
      </c>
      <c r="AM55" s="59">
        <f t="shared" si="5"/>
        <v>800.21564608102221</v>
      </c>
      <c r="AN55" s="59">
        <f ca="1">AVERAGE(OFFSET($AM$3,0,0,'Données projet'!$E$10+1,1))-AVERAGE(OFFSET($H$3,0,0,'Données projet'!$E$10+1,1))</f>
        <v>394.37446333077651</v>
      </c>
      <c r="AO55" s="59">
        <f t="shared" si="36"/>
        <v>335.44327961212963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36.435551295527659</v>
      </c>
      <c r="AV55" s="21">
        <f>EXP(-LN(2)/25)*AV54+(1-EXP(-LN(2)/25))/(LN(2)/25)*Calculateur!AQ55*Calculateur!AS55*VLOOKUP('Données projet'!$B$10,Paramètres!$A$1:$I$89,3,0)*0.475*44/12</f>
        <v>25.059387822552679</v>
      </c>
      <c r="AW55" s="21">
        <f>EXP(-LN(2)/2)*AW54+(1-EXP(-LN(2)/2))/(LN(2)/2)*AQ55*AT55*VLOOKUP('Données projet'!$B$10,Paramètres!$A$1:$I$89,3,0)*0.475*44/12</f>
        <v>3.9373473340684608</v>
      </c>
      <c r="AX55" s="21">
        <f t="shared" si="6"/>
        <v>65.432286452148801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9.1524999999999999</v>
      </c>
      <c r="BD55" s="12">
        <f>IF('Données projet'!$A$88&gt;35,BD54+BC55-BL54,IF(A55&lt;'Données projet'!$A$88,$BA$205^A55,IF(A55='Données projet'!$A$88,'Données projet'!$B$88,BD54+BC55-BL54)))</f>
        <v>153.23250000000027</v>
      </c>
      <c r="BE55" s="13">
        <f>BD55*VLOOKUP('Données projet'!$B$11,Paramètres!$A$1:$I$89,3,0)*VLOOKUP('Données projet'!$B$11,Paramètres!$A$1:$I$89,5,0)</f>
        <v>138.64476600000023</v>
      </c>
      <c r="BF55" s="13">
        <f t="shared" si="37"/>
        <v>35.986364870124042</v>
      </c>
      <c r="BG55" s="20">
        <f t="shared" si="7"/>
        <v>304.14921959879979</v>
      </c>
      <c r="BH55" s="59">
        <f t="shared" si="8"/>
        <v>597.4825529321331</v>
      </c>
      <c r="BI55" s="59">
        <f ca="1">AVERAGE(OFFSET($BH$3,0,0,'Données projet'!$E$11+1,1))-AVERAGE(OFFSET($H$3,0,0,'Données projet'!$E$11+1,1))</f>
        <v>490.06222615476065</v>
      </c>
      <c r="BJ55" s="59">
        <f t="shared" si="38"/>
        <v>310.43914804089906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37.309787125419831</v>
      </c>
      <c r="BR55" s="21">
        <f>EXP(-LN(2)/2)*BR54+(1-EXP(-LN(2)/2))/(LN(2)/2)*BL55*BO55*VLOOKUP('Données projet'!$B$11,Paramètres!$A$1:$I$89,3,0)*0.475*44/12</f>
        <v>6.7063671679952934</v>
      </c>
      <c r="BS55" s="22">
        <f t="shared" si="9"/>
        <v>44.016154293415127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204.31008000000003</v>
      </c>
      <c r="CA55" s="13">
        <f t="shared" si="39"/>
        <v>50.690214235398379</v>
      </c>
      <c r="CB55" s="20">
        <f t="shared" si="10"/>
        <v>444.12551245998549</v>
      </c>
      <c r="CC55" s="59">
        <f t="shared" si="11"/>
        <v>737.4588457933188</v>
      </c>
      <c r="CD55" s="59">
        <f ca="1">AVERAGE(OFFSET($CC$3,0,0,'Données projet'!$E$12+1,1))-AVERAGE(OFFSET($H$3,0,0,'Données projet'!$E$12+1,1))</f>
        <v>353.37479213497227</v>
      </c>
      <c r="CE55" s="59">
        <f t="shared" si="40"/>
        <v>345.4750813433123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13.329980098508672</v>
      </c>
      <c r="CL55" s="21">
        <f>EXP(-LN(2)/25)*CL54+(1-EXP(-LN(2)/25))/(LN(2)/25)*Calculateur!CG55*Calculateur!CI55*VLOOKUP('Données projet'!$B$12,Paramètres!$A$1:$I$89,3,0)*0.475*44/12</f>
        <v>16.96338124666579</v>
      </c>
      <c r="CM55" s="21">
        <f>EXP(-LN(2)/2)*CM54+(1-EXP(-LN(2)/2))/(LN(2)/2)*CG55*CJ55*VLOOKUP('Données projet'!$B$12,Paramètres!$A$1:$I$89,3,0)*0.475*44/12</f>
        <v>2.3056081420270789</v>
      </c>
      <c r="CN55" s="22">
        <f t="shared" si="12"/>
        <v>32.598969487201536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17.608999999999998</v>
      </c>
      <c r="CT55" s="12">
        <f>IF('Données projet'!$A$140&gt;35,CT54+CS55-DB54,IF(A55&lt;'Données projet'!$A$140,$CQ$205^A55,IF(A55='Données projet'!$A$140,'Données projet'!$B$140,CT54+CS55-DB54)))</f>
        <v>294.12799999999976</v>
      </c>
      <c r="CU55" s="17">
        <f>CT55*VLOOKUP('Données projet'!$B$13,Paramètres!$A$1:$I$89,3,0)*VLOOKUP('Données projet'!$B$13,Paramètres!$A$1:$I$89,5,0)</f>
        <v>141.4755679999999</v>
      </c>
      <c r="CV55" s="13">
        <f t="shared" si="41"/>
        <v>36.63483085823767</v>
      </c>
      <c r="CW55" s="20">
        <f t="shared" si="13"/>
        <v>310.20894467809711</v>
      </c>
      <c r="CX55" s="59">
        <f t="shared" si="14"/>
        <v>603.54227801143043</v>
      </c>
      <c r="CY55" s="59">
        <f ca="1">AVERAGE(OFFSET($CX$3,0,0,'Données projet'!$E$13+1,1))-AVERAGE(OFFSET($H$3,0,0,'Données projet'!$E$13+1,1))</f>
        <v>314.18760071409162</v>
      </c>
      <c r="CZ55" s="59">
        <f t="shared" si="42"/>
        <v>267.72650645201787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1.7466120592733574</v>
      </c>
      <c r="DG55" s="21">
        <f>EXP(-LN(2)/25)*DG54+(1-EXP(-LN(2)/25))/(LN(2)/25)*Calculateur!DB55*Calculateur!DD55*VLOOKUP('Données projet'!$B$13,Paramètres!$A$1:$I$89,3,0)*0.475*44/12</f>
        <v>15.411500334487068</v>
      </c>
      <c r="DH55" s="21">
        <f>EXP(-LN(2)/2)*DH54+(1-EXP(-LN(2)/2))/(LN(2)/2)*DB55*DE55*VLOOKUP('Données projet'!$B$13,Paramètres!$A$1:$I$89,3,0)*0.475*44/12</f>
        <v>12.689811631803471</v>
      </c>
      <c r="DI55" s="22">
        <f t="shared" si="15"/>
        <v>29.847924025563898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186.95039999999992</v>
      </c>
      <c r="DQ55" s="13">
        <f t="shared" si="43"/>
        <v>46.86509597661761</v>
      </c>
      <c r="DR55" s="20">
        <f t="shared" si="16"/>
        <v>407.22865549260882</v>
      </c>
      <c r="DS55" s="59">
        <f t="shared" si="17"/>
        <v>700.56198882594208</v>
      </c>
      <c r="DT55" s="59">
        <f ca="1">AVERAGE(OFFSET($DS$3,0,0,'Données projet'!$E$14+1,1))-AVERAGE(OFFSET($H$3,0,0,'Données projet'!$E$14+1,1))</f>
        <v>324.86930206492627</v>
      </c>
      <c r="DU55" s="59">
        <f t="shared" si="44"/>
        <v>317.03005098025352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9.9252920406130301</v>
      </c>
      <c r="EB55" s="21">
        <f>EXP(-LN(2)/25)*EB54+(1-EXP(-LN(2)/25))/(LN(2)/25)*Calculateur!DW55*Calculateur!DY55*VLOOKUP('Données projet'!$B$14,Paramètres!$A$1:$I$89,3,0)*0.475*44/12</f>
        <v>14.92780179114007</v>
      </c>
      <c r="EC55" s="21">
        <f>EXP(-LN(2)/2)*EC54+(1-EXP(-LN(2)/2))/(LN(2)/2)*DW55*DZ55*VLOOKUP('Données projet'!$B$14,Paramètres!$A$1:$I$89,3,0)*0.475*44/12</f>
        <v>2.2617710850906487</v>
      </c>
      <c r="ED55" s="22">
        <f t="shared" si="18"/>
        <v>27.11486491684375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13.18</v>
      </c>
      <c r="N56" s="13">
        <f>IF('Données projet'!$A$36&gt;35,N55+M56-V55,IF(A56&lt;'Données projet'!$A$36,$K$205^A56,IF(A56='Données projet'!$A$36,'Données projet'!$B$36,N55+M56-V55)))</f>
        <v>345.48000000000008</v>
      </c>
      <c r="O56" s="13">
        <f>N56*VLOOKUP('Données projet'!$B$9,Paramètres!$A$1:$I$89,3,0)*VLOOKUP('Données projet'!$B$9,Paramètres!$A$1:$I$89,5,0)</f>
        <v>206.59704000000005</v>
      </c>
      <c r="P56" s="13">
        <f t="shared" si="33"/>
        <v>51.191247731076885</v>
      </c>
      <c r="Q56" s="20">
        <f t="shared" si="53"/>
        <v>448.98126779829232</v>
      </c>
      <c r="R56" s="59">
        <f t="shared" si="0"/>
        <v>742.31460113162564</v>
      </c>
      <c r="S56" s="59">
        <f ca="1">AVERAGE(OFFSET($R$3,0,0,'Données projet'!$E$9+1,1))-AVERAGE(OFFSET($H$3,0,0,'Données projet'!$E$9+1,1))</f>
        <v>302.00825291248458</v>
      </c>
      <c r="T56" s="59">
        <f t="shared" si="34"/>
        <v>307.35115839449355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51.818758141640679</v>
      </c>
      <c r="AA56" s="21">
        <f>EXP(-LN(2)/25)*AA55+(1-EXP(-LN(2)/25))/(LN(2)/25)*Calculateur!V56*Calculateur!X56*VLOOKUP('Données projet'!$B$9,Paramètres!$A$1:$I$89,3,0)*0.475*44/12</f>
        <v>21.01870724927981</v>
      </c>
      <c r="AB56" s="21">
        <f>EXP(-LN(2)/2)*AB55+(1-EXP(-LN(2)/2))/(LN(2)/2)*V56*Y56*VLOOKUP('Données projet'!$B$9,Paramètres!$A$1:$I$89,3,0)*0.475*44/12</f>
        <v>7.7486261213737997</v>
      </c>
      <c r="AC56" s="22">
        <f t="shared" si="3"/>
        <v>80.586091512294288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21.6</v>
      </c>
      <c r="AI56" s="13">
        <f>IF('Données projet'!$A$62&gt;35,AI55+AH56-AQ55,IF(A56&lt;'Données projet'!$A$62,$AF$205^A56,IF(A56='Données projet'!$A$62,'Données projet'!$B$62,AI55+AH56-AQ55)))</f>
        <v>550.79999999999984</v>
      </c>
      <c r="AJ56" s="13">
        <f>AI56*VLOOKUP('Données projet'!$B$10,Paramètres!$A$1:$I$89,3,0)*VLOOKUP('Données projet'!$B$10,Paramètres!$A$1:$I$89,5,0)</f>
        <v>243.45359999999997</v>
      </c>
      <c r="AK56" s="13">
        <f t="shared" si="35"/>
        <v>59.181970343065267</v>
      </c>
      <c r="AL56" s="20">
        <f t="shared" si="4"/>
        <v>527.09028501417185</v>
      </c>
      <c r="AM56" s="59">
        <f t="shared" si="5"/>
        <v>820.42361834750523</v>
      </c>
      <c r="AN56" s="59">
        <f ca="1">AVERAGE(OFFSET($AM$3,0,0,'Données projet'!$E$10+1,1))-AVERAGE(OFFSET($H$3,0,0,'Données projet'!$E$10+1,1))</f>
        <v>394.37446333077651</v>
      </c>
      <c r="AO56" s="59">
        <f t="shared" si="36"/>
        <v>335.44327961212963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35.721072358114263</v>
      </c>
      <c r="AV56" s="21">
        <f>EXP(-LN(2)/25)*AV55+(1-EXP(-LN(2)/25))/(LN(2)/25)*Calculateur!AQ56*Calculateur!AS56*VLOOKUP('Données projet'!$B$10,Paramètres!$A$1:$I$89,3,0)*0.475*44/12</f>
        <v>24.374137544729045</v>
      </c>
      <c r="AW56" s="21">
        <f>EXP(-LN(2)/2)*AW55+(1-EXP(-LN(2)/2))/(LN(2)/2)*AQ56*AT56*VLOOKUP('Données projet'!$B$10,Paramètres!$A$1:$I$89,3,0)*0.475*44/12</f>
        <v>2.7841249998065836</v>
      </c>
      <c r="AX56" s="21">
        <f t="shared" si="6"/>
        <v>62.879334902649894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9.1524999999999999</v>
      </c>
      <c r="BD56" s="12">
        <f>IF('Données projet'!$A$88&gt;35,BD55+BC56-BL55,IF(A56&lt;'Données projet'!$A$88,$BA$205^A56,IF(A56='Données projet'!$A$88,'Données projet'!$B$88,BD55+BC56-BL55)))</f>
        <v>162.38500000000028</v>
      </c>
      <c r="BE56" s="13">
        <f>BD56*VLOOKUP('Données projet'!$B$11,Paramètres!$A$1:$I$89,3,0)*VLOOKUP('Données projet'!$B$11,Paramètres!$A$1:$I$89,5,0)</f>
        <v>146.92594800000026</v>
      </c>
      <c r="BF56" s="13">
        <f t="shared" si="37"/>
        <v>37.879156618717644</v>
      </c>
      <c r="BG56" s="20">
        <f t="shared" si="7"/>
        <v>321.868890544267</v>
      </c>
      <c r="BH56" s="59">
        <f t="shared" si="8"/>
        <v>615.20222387760032</v>
      </c>
      <c r="BI56" s="59">
        <f ca="1">AVERAGE(OFFSET($BH$3,0,0,'Données projet'!$E$11+1,1))-AVERAGE(OFFSET($H$3,0,0,'Données projet'!$E$11+1,1))</f>
        <v>490.06222615476065</v>
      </c>
      <c r="BJ56" s="59">
        <f t="shared" si="38"/>
        <v>310.43914804089906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36.289549034438792</v>
      </c>
      <c r="BR56" s="21">
        <f>EXP(-LN(2)/2)*BR55+(1-EXP(-LN(2)/2))/(LN(2)/2)*BL56*BO56*VLOOKUP('Données projet'!$B$11,Paramètres!$A$1:$I$89,3,0)*0.475*44/12</f>
        <v>4.7421177016162943</v>
      </c>
      <c r="BS56" s="22">
        <f t="shared" si="9"/>
        <v>41.031666736055087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210.19752</v>
      </c>
      <c r="CA56" s="13">
        <f t="shared" si="39"/>
        <v>51.978746425856599</v>
      </c>
      <c r="CB56" s="20">
        <f t="shared" si="10"/>
        <v>456.62366402503358</v>
      </c>
      <c r="CC56" s="59">
        <f t="shared" si="11"/>
        <v>749.95699735836683</v>
      </c>
      <c r="CD56" s="59">
        <f ca="1">AVERAGE(OFFSET($CC$3,0,0,'Données projet'!$E$12+1,1))-AVERAGE(OFFSET($H$3,0,0,'Données projet'!$E$12+1,1))</f>
        <v>353.37479213497227</v>
      </c>
      <c r="CE56" s="59">
        <f t="shared" si="40"/>
        <v>345.4750813433123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13.068587319261958</v>
      </c>
      <c r="CL56" s="21">
        <f>EXP(-LN(2)/25)*CL55+(1-EXP(-LN(2)/25))/(LN(2)/25)*Calculateur!CG56*Calculateur!CI56*VLOOKUP('Données projet'!$B$12,Paramètres!$A$1:$I$89,3,0)*0.475*44/12</f>
        <v>16.499516694410264</v>
      </c>
      <c r="CM56" s="21">
        <f>EXP(-LN(2)/2)*CM55+(1-EXP(-LN(2)/2))/(LN(2)/2)*CG56*CJ56*VLOOKUP('Données projet'!$B$12,Paramètres!$A$1:$I$89,3,0)*0.475*44/12</f>
        <v>1.6303111519862641</v>
      </c>
      <c r="CN56" s="22">
        <f t="shared" si="12"/>
        <v>31.198415165658485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17.608999999999998</v>
      </c>
      <c r="CT56" s="12">
        <f>IF('Données projet'!$A$140&gt;35,CT55+CS56-DB55,IF(A56&lt;'Données projet'!$A$140,$CQ$205^A56,IF(A56='Données projet'!$A$140,'Données projet'!$B$140,CT55+CS56-DB55)))</f>
        <v>311.73699999999974</v>
      </c>
      <c r="CU56" s="17">
        <f>CT56*VLOOKUP('Données projet'!$B$13,Paramètres!$A$1:$I$89,3,0)*VLOOKUP('Données projet'!$B$13,Paramètres!$A$1:$I$89,5,0)</f>
        <v>149.94549699999988</v>
      </c>
      <c r="CV56" s="13">
        <f t="shared" si="41"/>
        <v>38.566199356562798</v>
      </c>
      <c r="CW56" s="20">
        <f t="shared" si="13"/>
        <v>328.32453782101334</v>
      </c>
      <c r="CX56" s="59">
        <f t="shared" si="14"/>
        <v>621.65787115434659</v>
      </c>
      <c r="CY56" s="59">
        <f ca="1">AVERAGE(OFFSET($CX$3,0,0,'Données projet'!$E$13+1,1))-AVERAGE(OFFSET($H$3,0,0,'Données projet'!$E$13+1,1))</f>
        <v>314.18760071409162</v>
      </c>
      <c r="CZ56" s="59">
        <f t="shared" si="42"/>
        <v>267.72650645201787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1.7123620621191706</v>
      </c>
      <c r="DG56" s="21">
        <f>EXP(-LN(2)/25)*DG55+(1-EXP(-LN(2)/25))/(LN(2)/25)*Calculateur!DB56*Calculateur!DD56*VLOOKUP('Données projet'!$B$13,Paramètres!$A$1:$I$89,3,0)*0.475*44/12</f>
        <v>14.99007204738494</v>
      </c>
      <c r="DH56" s="21">
        <f>EXP(-LN(2)/2)*DH55+(1-EXP(-LN(2)/2))/(LN(2)/2)*DB56*DE56*VLOOKUP('Données projet'!$B$13,Paramètres!$A$1:$I$89,3,0)*0.475*44/12</f>
        <v>8.9730518568281621</v>
      </c>
      <c r="DI56" s="22">
        <f t="shared" si="15"/>
        <v>25.675485966332275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192.19199999999992</v>
      </c>
      <c r="DQ56" s="13">
        <f t="shared" si="43"/>
        <v>48.02424892193244</v>
      </c>
      <c r="DR56" s="20">
        <f t="shared" si="16"/>
        <v>418.37663353903218</v>
      </c>
      <c r="DS56" s="59">
        <f t="shared" si="17"/>
        <v>711.7099668723655</v>
      </c>
      <c r="DT56" s="59">
        <f ca="1">AVERAGE(OFFSET($DS$3,0,0,'Données projet'!$E$14+1,1))-AVERAGE(OFFSET($H$3,0,0,'Données projet'!$E$14+1,1))</f>
        <v>324.86930206492627</v>
      </c>
      <c r="DU56" s="59">
        <f t="shared" si="44"/>
        <v>317.03005098025352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9.7306631175269871</v>
      </c>
      <c r="EB56" s="21">
        <f>EXP(-LN(2)/25)*EB55+(1-EXP(-LN(2)/25))/(LN(2)/25)*Calculateur!DW56*Calculateur!DY56*VLOOKUP('Données projet'!$B$14,Paramètres!$A$1:$I$89,3,0)*0.475*44/12</f>
        <v>14.519600266142366</v>
      </c>
      <c r="EC56" s="21">
        <f>EXP(-LN(2)/2)*EC55+(1-EXP(-LN(2)/2))/(LN(2)/2)*DW56*DZ56*VLOOKUP('Données projet'!$B$14,Paramètres!$A$1:$I$89,3,0)*0.475*44/12</f>
        <v>1.5993136717592535</v>
      </c>
      <c r="ED56" s="22">
        <f t="shared" si="18"/>
        <v>25.849577055428608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13.18</v>
      </c>
      <c r="N57" s="13">
        <f>IF('Données projet'!$A$36&gt;35,N56+M57-V56,IF(A57&lt;'Données projet'!$A$36,$K$205^A57,IF(A57='Données projet'!$A$36,'Données projet'!$B$36,N56+M57-V56)))</f>
        <v>358.66000000000008</v>
      </c>
      <c r="O57" s="13">
        <f>N57*VLOOKUP('Données projet'!$B$9,Paramètres!$A$1:$I$89,3,0)*VLOOKUP('Données projet'!$B$9,Paramètres!$A$1:$I$89,5,0)</f>
        <v>214.47868000000008</v>
      </c>
      <c r="P57" s="13">
        <f t="shared" si="33"/>
        <v>52.913084692982125</v>
      </c>
      <c r="Q57" s="20">
        <f t="shared" si="53"/>
        <v>465.70732350694396</v>
      </c>
      <c r="R57" s="59">
        <f t="shared" si="0"/>
        <v>759.04065684027728</v>
      </c>
      <c r="S57" s="59">
        <f ca="1">AVERAGE(OFFSET($R$3,0,0,'Données projet'!$E$9+1,1))-AVERAGE(OFFSET($H$3,0,0,'Données projet'!$E$9+1,1))</f>
        <v>302.00825291248458</v>
      </c>
      <c r="T57" s="59">
        <f t="shared" si="34"/>
        <v>307.35115839449355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50.802623900804704</v>
      </c>
      <c r="AA57" s="21">
        <f>EXP(-LN(2)/25)*AA56+(1-EXP(-LN(2)/25))/(LN(2)/25)*Calculateur!V57*Calculateur!X57*VLOOKUP('Données projet'!$B$9,Paramètres!$A$1:$I$89,3,0)*0.475*44/12</f>
        <v>20.443949594222477</v>
      </c>
      <c r="AB57" s="21">
        <f>EXP(-LN(2)/2)*AB56+(1-EXP(-LN(2)/2))/(LN(2)/2)*V57*Y57*VLOOKUP('Données projet'!$B$9,Paramètres!$A$1:$I$89,3,0)*0.475*44/12</f>
        <v>5.4791060753026306</v>
      </c>
      <c r="AC57" s="22">
        <f t="shared" si="3"/>
        <v>76.725679570329802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21.6</v>
      </c>
      <c r="AI57" s="13">
        <f>IF('Données projet'!$A$62&gt;35,AI56+AH57-AQ56,IF(A57&lt;'Données projet'!$A$62,$AF$205^A57,IF(A57='Données projet'!$A$62,'Données projet'!$B$62,AI56+AH57-AQ56)))</f>
        <v>572.39999999999986</v>
      </c>
      <c r="AJ57" s="13">
        <f>AI57*VLOOKUP('Données projet'!$B$10,Paramètres!$A$1:$I$89,3,0)*VLOOKUP('Données projet'!$B$10,Paramètres!$A$1:$I$89,5,0)</f>
        <v>253.00079999999994</v>
      </c>
      <c r="AK57" s="13">
        <f t="shared" si="35"/>
        <v>61.228070105968683</v>
      </c>
      <c r="AL57" s="20">
        <f t="shared" si="4"/>
        <v>547.2819487678953</v>
      </c>
      <c r="AM57" s="59">
        <f t="shared" si="5"/>
        <v>840.61528210122856</v>
      </c>
      <c r="AN57" s="59">
        <f ca="1">AVERAGE(OFFSET($AM$3,0,0,'Données projet'!$E$10+1,1))-AVERAGE(OFFSET($H$3,0,0,'Données projet'!$E$10+1,1))</f>
        <v>394.37446333077651</v>
      </c>
      <c r="AO57" s="59">
        <f t="shared" si="36"/>
        <v>335.44327961212963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35.020603916874421</v>
      </c>
      <c r="AV57" s="21">
        <f>EXP(-LN(2)/25)*AV56+(1-EXP(-LN(2)/25))/(LN(2)/25)*Calculateur!AQ57*Calculateur!AS57*VLOOKUP('Données projet'!$B$10,Paramètres!$A$1:$I$89,3,0)*0.475*44/12</f>
        <v>23.707625471788244</v>
      </c>
      <c r="AW57" s="21">
        <f>EXP(-LN(2)/2)*AW56+(1-EXP(-LN(2)/2))/(LN(2)/2)*AQ57*AT57*VLOOKUP('Données projet'!$B$10,Paramètres!$A$1:$I$89,3,0)*0.475*44/12</f>
        <v>1.9686736670342306</v>
      </c>
      <c r="AX57" s="21">
        <f t="shared" si="6"/>
        <v>60.6969030556969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9.1524999999999999</v>
      </c>
      <c r="BD57" s="12">
        <f>IF('Données projet'!$A$88&gt;35,BD56+BC57-BL56,IF(A57&lt;'Données projet'!$A$88,$BA$205^A57,IF(A57='Données projet'!$A$88,'Données projet'!$B$88,BD56+BC57-BL56)))</f>
        <v>171.53750000000028</v>
      </c>
      <c r="BE57" s="13">
        <f>BD57*VLOOKUP('Données projet'!$B$11,Paramètres!$A$1:$I$89,3,0)*VLOOKUP('Données projet'!$B$11,Paramètres!$A$1:$I$89,5,0)</f>
        <v>155.20713000000023</v>
      </c>
      <c r="BF57" s="13">
        <f t="shared" si="37"/>
        <v>39.759564149610455</v>
      </c>
      <c r="BG57" s="20">
        <f t="shared" si="7"/>
        <v>339.56699231057195</v>
      </c>
      <c r="BH57" s="59">
        <f t="shared" si="8"/>
        <v>632.90032564390526</v>
      </c>
      <c r="BI57" s="59">
        <f ca="1">AVERAGE(OFFSET($BH$3,0,0,'Données projet'!$E$11+1,1))-AVERAGE(OFFSET($H$3,0,0,'Données projet'!$E$11+1,1))</f>
        <v>490.06222615476065</v>
      </c>
      <c r="BJ57" s="59">
        <f t="shared" si="38"/>
        <v>310.43914804089906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35.297209407707619</v>
      </c>
      <c r="BR57" s="21">
        <f>EXP(-LN(2)/2)*BR56+(1-EXP(-LN(2)/2))/(LN(2)/2)*BL57*BO57*VLOOKUP('Données projet'!$B$11,Paramètres!$A$1:$I$89,3,0)*0.475*44/12</f>
        <v>3.3531835839976467</v>
      </c>
      <c r="BS57" s="22">
        <f t="shared" si="9"/>
        <v>38.650392991705267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216.08496</v>
      </c>
      <c r="CA57" s="13">
        <f t="shared" si="39"/>
        <v>53.26308393083157</v>
      </c>
      <c r="CB57" s="20">
        <f t="shared" si="10"/>
        <v>469.11450984619825</v>
      </c>
      <c r="CC57" s="59">
        <f t="shared" si="11"/>
        <v>762.44784317953156</v>
      </c>
      <c r="CD57" s="59">
        <f ca="1">AVERAGE(OFFSET($CC$3,0,0,'Données projet'!$E$12+1,1))-AVERAGE(OFFSET($H$3,0,0,'Données projet'!$E$12+1,1))</f>
        <v>353.37479213497227</v>
      </c>
      <c r="CE57" s="59">
        <f t="shared" si="40"/>
        <v>345.4750813433123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12.81232029298242</v>
      </c>
      <c r="CL57" s="21">
        <f>EXP(-LN(2)/25)*CL56+(1-EXP(-LN(2)/25))/(LN(2)/25)*Calculateur!CG57*Calculateur!CI57*VLOOKUP('Données projet'!$B$12,Paramètres!$A$1:$I$89,3,0)*0.475*44/12</f>
        <v>16.048336542729743</v>
      </c>
      <c r="CM57" s="21">
        <f>EXP(-LN(2)/2)*CM56+(1-EXP(-LN(2)/2))/(LN(2)/2)*CG57*CJ57*VLOOKUP('Données projet'!$B$12,Paramètres!$A$1:$I$89,3,0)*0.475*44/12</f>
        <v>1.1528040710135394</v>
      </c>
      <c r="CN57" s="22">
        <f t="shared" si="12"/>
        <v>30.013460906725701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17.608999999999998</v>
      </c>
      <c r="CT57" s="12">
        <f>IF('Données projet'!$A$140&gt;35,CT56+CS57-DB56,IF(A57&lt;'Données projet'!$A$140,$CQ$205^A57,IF(A57='Données projet'!$A$140,'Données projet'!$B$140,CT56+CS57-DB56)))</f>
        <v>329.34599999999972</v>
      </c>
      <c r="CU57" s="17">
        <f>CT57*VLOOKUP('Données projet'!$B$13,Paramètres!$A$1:$I$89,3,0)*VLOOKUP('Données projet'!$B$13,Paramètres!$A$1:$I$89,5,0)</f>
        <v>158.41542599999988</v>
      </c>
      <c r="CV57" s="13">
        <f t="shared" si="41"/>
        <v>40.484903550411246</v>
      </c>
      <c r="CW57" s="20">
        <f t="shared" si="13"/>
        <v>346.41807396696601</v>
      </c>
      <c r="CX57" s="59">
        <f t="shared" si="14"/>
        <v>639.75140730029932</v>
      </c>
      <c r="CY57" s="59">
        <f ca="1">AVERAGE(OFFSET($CX$3,0,0,'Données projet'!$E$13+1,1))-AVERAGE(OFFSET($H$3,0,0,'Données projet'!$E$13+1,1))</f>
        <v>314.18760071409162</v>
      </c>
      <c r="CZ57" s="59">
        <f t="shared" si="42"/>
        <v>267.72650645201787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1.678783686518742</v>
      </c>
      <c r="DG57" s="21">
        <f>EXP(-LN(2)/25)*DG56+(1-EXP(-LN(2)/25))/(LN(2)/25)*Calculateur!DB57*Calculateur!DD57*VLOOKUP('Données projet'!$B$13,Paramètres!$A$1:$I$89,3,0)*0.475*44/12</f>
        <v>14.58016773895557</v>
      </c>
      <c r="DH57" s="21">
        <f>EXP(-LN(2)/2)*DH56+(1-EXP(-LN(2)/2))/(LN(2)/2)*DB57*DE57*VLOOKUP('Données projet'!$B$13,Paramètres!$A$1:$I$89,3,0)*0.475*44/12</f>
        <v>6.3449058159017353</v>
      </c>
      <c r="DI57" s="22">
        <f t="shared" si="15"/>
        <v>22.603857241376048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197.43359999999993</v>
      </c>
      <c r="DQ57" s="13">
        <f t="shared" si="43"/>
        <v>49.179727436837609</v>
      </c>
      <c r="DR57" s="20">
        <f t="shared" si="16"/>
        <v>429.51821195249204</v>
      </c>
      <c r="DS57" s="59">
        <f t="shared" si="17"/>
        <v>722.8515452858253</v>
      </c>
      <c r="DT57" s="59">
        <f ca="1">AVERAGE(OFFSET($DS$3,0,0,'Données projet'!$E$14+1,1))-AVERAGE(OFFSET($H$3,0,0,'Données projet'!$E$14+1,1))</f>
        <v>324.86930206492627</v>
      </c>
      <c r="DU57" s="59">
        <f t="shared" si="44"/>
        <v>317.03005098025352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9.5398507489107409</v>
      </c>
      <c r="EB57" s="21">
        <f>EXP(-LN(2)/25)*EB56+(1-EXP(-LN(2)/25))/(LN(2)/25)*Calculateur!DW57*Calculateur!DY57*VLOOKUP('Données projet'!$B$14,Paramètres!$A$1:$I$89,3,0)*0.475*44/12</f>
        <v>14.12256103331211</v>
      </c>
      <c r="EC57" s="21">
        <f>EXP(-LN(2)/2)*EC56+(1-EXP(-LN(2)/2))/(LN(2)/2)*DW57*DZ57*VLOOKUP('Données projet'!$B$14,Paramètres!$A$1:$I$89,3,0)*0.475*44/12</f>
        <v>1.1308855425453244</v>
      </c>
      <c r="ED57" s="22">
        <f t="shared" si="18"/>
        <v>24.793297324768176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13.18</v>
      </c>
      <c r="N58" s="13">
        <f>IF('Données projet'!$A$36&gt;35,N57+M58-V57,IF(A58&lt;'Données projet'!$A$36,$K$205^A58,IF(A58='Données projet'!$A$36,'Données projet'!$B$36,N57+M58-V57)))</f>
        <v>371.84000000000009</v>
      </c>
      <c r="O58" s="13">
        <f>N58*VLOOKUP('Données projet'!$B$9,Paramètres!$A$1:$I$89,3,0)*VLOOKUP('Données projet'!$B$9,Paramètres!$A$1:$I$89,5,0)</f>
        <v>222.36032000000009</v>
      </c>
      <c r="P58" s="13">
        <f t="shared" si="33"/>
        <v>54.627570556659869</v>
      </c>
      <c r="Q58" s="20">
        <f t="shared" si="53"/>
        <v>482.42057605284941</v>
      </c>
      <c r="R58" s="59">
        <f t="shared" si="0"/>
        <v>775.75390938618273</v>
      </c>
      <c r="S58" s="59">
        <f ca="1">AVERAGE(OFFSET($R$3,0,0,'Données projet'!$E$9+1,1))-AVERAGE(OFFSET($H$3,0,0,'Données projet'!$E$9+1,1))</f>
        <v>302.00825291248458</v>
      </c>
      <c r="T58" s="59">
        <f t="shared" si="34"/>
        <v>307.35115839449355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49.806415432650837</v>
      </c>
      <c r="AA58" s="21">
        <f>EXP(-LN(2)/25)*AA57+(1-EXP(-LN(2)/25))/(LN(2)/25)*Calculateur!V58*Calculateur!X58*VLOOKUP('Données projet'!$B$9,Paramètres!$A$1:$I$89,3,0)*0.475*44/12</f>
        <v>19.88490871746788</v>
      </c>
      <c r="AB58" s="21">
        <f>EXP(-LN(2)/2)*AB57+(1-EXP(-LN(2)/2))/(LN(2)/2)*V58*Y58*VLOOKUP('Données projet'!$B$9,Paramètres!$A$1:$I$89,3,0)*0.475*44/12</f>
        <v>3.8743130606869007</v>
      </c>
      <c r="AC58" s="22">
        <f t="shared" si="3"/>
        <v>73.565637210805619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594</v>
      </c>
      <c r="AG58" s="12">
        <f>VLOOKUP(A58,'Données projet'!$A$61:$I$81,9,0)</f>
        <v>21.6</v>
      </c>
      <c r="AH58" s="12">
        <f t="array" ref="AH58">INDEX(AG:AG,MIN(IF(ISNUMBER(AG58:AG254),ROW(AG58:AG254),"")))</f>
        <v>21.6</v>
      </c>
      <c r="AI58" s="13">
        <f>IF('Données projet'!$A$62&gt;35,AI57+AH58-AQ57,IF(A58&lt;'Données projet'!$A$62,$AF$205^A58,IF(A58='Données projet'!$A$62,'Données projet'!$B$62,AI57+AH58-AQ57)))</f>
        <v>593.99999999999989</v>
      </c>
      <c r="AJ58" s="13">
        <f>AI58*VLOOKUP('Données projet'!$B$10,Paramètres!$A$1:$I$89,3,0)*VLOOKUP('Données projet'!$B$10,Paramètres!$A$1:$I$89,5,0)</f>
        <v>262.548</v>
      </c>
      <c r="AK58" s="13">
        <f t="shared" si="35"/>
        <v>63.265199933079444</v>
      </c>
      <c r="AL58" s="20">
        <f t="shared" si="4"/>
        <v>567.45798988344666</v>
      </c>
      <c r="AM58" s="59">
        <f t="shared" si="5"/>
        <v>860.79132321678003</v>
      </c>
      <c r="AN58" s="59">
        <f ca="1">AVERAGE(OFFSET($AM$3,0,0,'Données projet'!$E$10+1,1))-AVERAGE(OFFSET($H$3,0,0,'Données projet'!$E$10+1,1))</f>
        <v>394.37446333077651</v>
      </c>
      <c r="AO58" s="59">
        <f t="shared" si="36"/>
        <v>335.44327961212963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60</v>
      </c>
      <c r="AR58" s="16">
        <f>IF(ISNA(VLOOKUP(A58,'Données projet'!$A$61:$I$81,5,0)),0%,VLOOKUP(A58,'Données projet'!$A$61:$I$81,5,0)*VLOOKUP('Données projet'!$B$10,Paramètres!$A$1:$I$89,7,0))</f>
        <v>0.33</v>
      </c>
      <c r="AS58" s="16">
        <f>IF(ISNA(VLOOKUP(A58,'Données projet'!$A$61:$I$81,6,0)),0%,VLOOKUP(A58,'Données projet'!$A$61:$I$81,6,0)*VLOOKUP('Données projet'!$B$10,Paramètres!$A$1:$I$89,7,0))</f>
        <v>0.11000000000000001</v>
      </c>
      <c r="AT58" s="16">
        <f>IF(ISNA(VLOOKUP(A58,'Données projet'!$A$61:$I$81,7,0)),0%,VLOOKUP(A58,'Données projet'!$A$61:$I$81,7,0))</f>
        <v>0.2</v>
      </c>
      <c r="AU58" s="21">
        <f>EXP(-LN(2)/35)*AU57+(1-EXP(-LN(2)/35))/(LN(2)/35)*AQ58*AR58*VLOOKUP('Données projet'!$B$10,Paramètres!$A$1:$I$89,3,0)*0.475*44/12</f>
        <v>45.943432722748419</v>
      </c>
      <c r="AV58" s="21">
        <f>EXP(-LN(2)/25)*AV57+(1-EXP(-LN(2)/25))/(LN(2)/25)*Calculateur!AQ58*Calculateur!AS58*VLOOKUP('Données projet'!$B$10,Paramètres!$A$1:$I$89,3,0)*0.475*44/12</f>
        <v>26.913955946884293</v>
      </c>
      <c r="AW58" s="21">
        <f>EXP(-LN(2)/2)*AW57+(1-EXP(-LN(2)/2))/(LN(2)/2)*AQ58*AT58*VLOOKUP('Données projet'!$B$10,Paramètres!$A$1:$I$89,3,0)*0.475*44/12</f>
        <v>7.3974226059836692</v>
      </c>
      <c r="AX58" s="21">
        <f t="shared" si="6"/>
        <v>80.254811275616376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9.1524999999999999</v>
      </c>
      <c r="BD58" s="12">
        <f>IF('Données projet'!$A$88&gt;35,BD57+BC58-BL57,IF(A58&lt;'Données projet'!$A$88,$BA$205^A58,IF(A58='Données projet'!$A$88,'Données projet'!$B$88,BD57+BC58-BL57)))</f>
        <v>180.69000000000028</v>
      </c>
      <c r="BE58" s="13">
        <f>BD58*VLOOKUP('Données projet'!$B$11,Paramètres!$A$1:$I$89,3,0)*VLOOKUP('Données projet'!$B$11,Paramètres!$A$1:$I$89,5,0)</f>
        <v>163.48831200000026</v>
      </c>
      <c r="BF58" s="13">
        <f t="shared" si="37"/>
        <v>41.62832357521188</v>
      </c>
      <c r="BG58" s="20">
        <f t="shared" si="7"/>
        <v>357.24480696016116</v>
      </c>
      <c r="BH58" s="59">
        <f t="shared" si="8"/>
        <v>650.57814029349447</v>
      </c>
      <c r="BI58" s="59">
        <f ca="1">AVERAGE(OFFSET($BH$3,0,0,'Données projet'!$E$11+1,1))-AVERAGE(OFFSET($H$3,0,0,'Données projet'!$E$11+1,1))</f>
        <v>490.06222615476065</v>
      </c>
      <c r="BJ58" s="59">
        <f t="shared" si="38"/>
        <v>310.43914804089906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34.332005360254286</v>
      </c>
      <c r="BR58" s="21">
        <f>EXP(-LN(2)/2)*BR57+(1-EXP(-LN(2)/2))/(LN(2)/2)*BL58*BO58*VLOOKUP('Données projet'!$B$11,Paramètres!$A$1:$I$89,3,0)*0.475*44/12</f>
        <v>2.3710588508081472</v>
      </c>
      <c r="BS58" s="22">
        <f t="shared" si="9"/>
        <v>36.703064211062433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221.97239999999996</v>
      </c>
      <c r="CA58" s="13">
        <f t="shared" si="39"/>
        <v>54.543354171476821</v>
      </c>
      <c r="CB58" s="20">
        <f t="shared" si="10"/>
        <v>481.59827184865543</v>
      </c>
      <c r="CC58" s="59">
        <f t="shared" si="11"/>
        <v>774.93160518198874</v>
      </c>
      <c r="CD58" s="59">
        <f ca="1">AVERAGE(OFFSET($CC$3,0,0,'Données projet'!$E$12+1,1))-AVERAGE(OFFSET($H$3,0,0,'Données projet'!$E$12+1,1))</f>
        <v>353.37479213497227</v>
      </c>
      <c r="CE58" s="59">
        <f t="shared" si="40"/>
        <v>345.4750813433123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0.13250000000000001</v>
      </c>
      <c r="CI58" s="16">
        <f>IF(ISNA(VLOOKUP(A58,'Données projet'!$A$113:$I$133,6,0)),0%,VLOOKUP(A58,'Données projet'!$A$113:$I$133,6,0)*VLOOKUP('Données projet'!$B$12,Paramètres!$A$1:$I$89,7,0))</f>
        <v>0.13250000000000001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14.425644442768373</v>
      </c>
      <c r="CL58" s="21">
        <f>EXP(-LN(2)/25)*CL57+(1-EXP(-LN(2)/25))/(LN(2)/25)*Calculateur!CG58*Calculateur!CI58*VLOOKUP('Données projet'!$B$12,Paramètres!$A$1:$I$89,3,0)*0.475*44/12</f>
        <v>17.466718365465756</v>
      </c>
      <c r="CM58" s="21">
        <f>EXP(-LN(2)/2)*CM57+(1-EXP(-LN(2)/2))/(LN(2)/2)*CG58*CJ58*VLOOKUP('Données projet'!$B$12,Paramètres!$A$1:$I$89,3,0)*0.475*44/12</f>
        <v>3.8178356290333193</v>
      </c>
      <c r="CN58" s="22">
        <f t="shared" si="12"/>
        <v>35.710198437267451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17.608999999999998</v>
      </c>
      <c r="CT58" s="12">
        <f>IF('Données projet'!$A$140&gt;35,CT57+CS58-DB57,IF(A58&lt;'Données projet'!$A$140,$CQ$205^A58,IF(A58='Données projet'!$A$140,'Données projet'!$B$140,CT57+CS58-DB57)))</f>
        <v>346.9549999999997</v>
      </c>
      <c r="CU58" s="17">
        <f>CT58*VLOOKUP('Données projet'!$B$13,Paramètres!$A$1:$I$89,3,0)*VLOOKUP('Données projet'!$B$13,Paramètres!$A$1:$I$89,5,0)</f>
        <v>166.88535499999983</v>
      </c>
      <c r="CV58" s="13">
        <f t="shared" si="41"/>
        <v>42.391697763094179</v>
      </c>
      <c r="CW58" s="20">
        <f t="shared" si="13"/>
        <v>364.49086689572204</v>
      </c>
      <c r="CX58" s="59">
        <f t="shared" si="14"/>
        <v>657.82420022905535</v>
      </c>
      <c r="CY58" s="59">
        <f ca="1">AVERAGE(OFFSET($CX$3,0,0,'Données projet'!$E$13+1,1))-AVERAGE(OFFSET($H$3,0,0,'Données projet'!$E$13+1,1))</f>
        <v>314.18760071409162</v>
      </c>
      <c r="CZ58" s="59">
        <f t="shared" si="42"/>
        <v>267.72650645201787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1.645863762383051</v>
      </c>
      <c r="DG58" s="21">
        <f>EXP(-LN(2)/25)*DG57+(1-EXP(-LN(2)/25))/(LN(2)/25)*Calculateur!DB58*Calculateur!DD58*VLOOKUP('Données projet'!$B$13,Paramètres!$A$1:$I$89,3,0)*0.475*44/12</f>
        <v>14.181472285396133</v>
      </c>
      <c r="DH58" s="21">
        <f>EXP(-LN(2)/2)*DH57+(1-EXP(-LN(2)/2))/(LN(2)/2)*DB58*DE58*VLOOKUP('Données projet'!$B$13,Paramètres!$A$1:$I$89,3,0)*0.475*44/12</f>
        <v>4.486525928414081</v>
      </c>
      <c r="DI58" s="22">
        <f t="shared" si="15"/>
        <v>20.313861976193266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202.67519999999993</v>
      </c>
      <c r="DQ58" s="13">
        <f t="shared" si="43"/>
        <v>50.33164028531364</v>
      </c>
      <c r="DR58" s="20">
        <f t="shared" si="16"/>
        <v>440.65358016358778</v>
      </c>
      <c r="DS58" s="59">
        <f t="shared" si="17"/>
        <v>733.98691349692103</v>
      </c>
      <c r="DT58" s="59">
        <f ca="1">AVERAGE(OFFSET($DS$3,0,0,'Données projet'!$E$14+1,1))-AVERAGE(OFFSET($H$3,0,0,'Données projet'!$E$14+1,1))</f>
        <v>324.86930206492627</v>
      </c>
      <c r="DU58" s="59">
        <f t="shared" si="44"/>
        <v>317.03005098025352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0.13250000000000001</v>
      </c>
      <c r="DY58" s="16">
        <f>IF(ISNA(VLOOKUP(A58,'Données projet'!$A$165:$I$185,6,0)),0%,VLOOKUP(A58,'Données projet'!$A$165:$I$185,6,0)*VLOOKUP('Données projet'!$B$14,Paramètres!$A$1:$I$89,7,0))</f>
        <v>0.13250000000000001</v>
      </c>
      <c r="DZ58" s="16">
        <f>IF(ISNA(VLOOKUP(A58,'Données projet'!$A$165:$I$185,7,0)),0%,VLOOKUP(A58,'Données projet'!$A$165:$I$185,7,0))</f>
        <v>0.25</v>
      </c>
      <c r="EA58" s="21">
        <f>EXP(-LN(2)/35)*EA57+(1-EXP(-LN(2)/35))/(LN(2)/35)*DW58*DX58*VLOOKUP('Données projet'!$B$14,Paramètres!$A$1:$I$89,3,0)*0.475*44/12</f>
        <v>11.01626539029108</v>
      </c>
      <c r="EB58" s="21">
        <f>EXP(-LN(2)/25)*EB57+(1-EXP(-LN(2)/25))/(LN(2)/25)*Calculateur!DW58*Calculateur!DY58*VLOOKUP('Données projet'!$B$14,Paramètres!$A$1:$I$89,3,0)*0.475*44/12</f>
        <v>15.393314379567776</v>
      </c>
      <c r="EC58" s="21">
        <f>EXP(-LN(2)/2)*EC57+(1-EXP(-LN(2)/2))/(LN(2)/2)*DW58*DZ58*VLOOKUP('Données projet'!$B$14,Paramètres!$A$1:$I$89,3,0)*0.475*44/12</f>
        <v>3.4785184518272452</v>
      </c>
      <c r="ED58" s="22">
        <f t="shared" si="18"/>
        <v>29.888098221686104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13.18</v>
      </c>
      <c r="N59" s="13">
        <f>IF('Données projet'!$A$36&gt;35,N58+M59-V58,IF(A59&lt;'Données projet'!$A$36,$K$205^A59,IF(A59='Données projet'!$A$36,'Données projet'!$B$36,N58+M59-V58)))</f>
        <v>385.0200000000001</v>
      </c>
      <c r="O59" s="13">
        <f>N59*VLOOKUP('Données projet'!$B$9,Paramètres!$A$1:$I$89,3,0)*VLOOKUP('Données projet'!$B$9,Paramètres!$A$1:$I$89,5,0)</f>
        <v>230.24196000000006</v>
      </c>
      <c r="P59" s="13">
        <f t="shared" si="33"/>
        <v>56.334995738213507</v>
      </c>
      <c r="Q59" s="20">
        <f t="shared" si="53"/>
        <v>499.12153124405523</v>
      </c>
      <c r="R59" s="59">
        <f t="shared" si="0"/>
        <v>792.45486457738855</v>
      </c>
      <c r="S59" s="59">
        <f ca="1">AVERAGE(OFFSET($R$3,0,0,'Données projet'!$E$9+1,1))-AVERAGE(OFFSET($H$3,0,0,'Données projet'!$E$9+1,1))</f>
        <v>302.00825291248458</v>
      </c>
      <c r="T59" s="59">
        <f t="shared" si="34"/>
        <v>307.35115839449355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48.829742004930303</v>
      </c>
      <c r="AA59" s="21">
        <f>EXP(-LN(2)/25)*AA58+(1-EXP(-LN(2)/25))/(LN(2)/25)*Calculateur!V59*Calculateur!X59*VLOOKUP('Données projet'!$B$9,Paramètres!$A$1:$I$89,3,0)*0.475*44/12</f>
        <v>19.341154842886819</v>
      </c>
      <c r="AB59" s="21">
        <f>EXP(-LN(2)/2)*AB58+(1-EXP(-LN(2)/2))/(LN(2)/2)*V59*Y59*VLOOKUP('Données projet'!$B$9,Paramètres!$A$1:$I$89,3,0)*0.475*44/12</f>
        <v>2.7395530376513157</v>
      </c>
      <c r="AC59" s="22">
        <f t="shared" si="3"/>
        <v>70.910449885468438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20</v>
      </c>
      <c r="AI59" s="13">
        <f>IF('Données projet'!$A$62&gt;35,AI58+AH59-AQ58,IF(A59&lt;'Données projet'!$A$62,$AF$205^A59,IF(A59='Données projet'!$A$62,'Données projet'!$B$62,AI58+AH59-AQ58)))</f>
        <v>553.99999999999989</v>
      </c>
      <c r="AJ59" s="13">
        <f>AI59*VLOOKUP('Données projet'!$B$10,Paramètres!$A$1:$I$89,3,0)*VLOOKUP('Données projet'!$B$10,Paramètres!$A$1:$I$89,5,0)</f>
        <v>244.86799999999999</v>
      </c>
      <c r="AK59" s="13">
        <f t="shared" si="35"/>
        <v>59.485677215396862</v>
      </c>
      <c r="AL59" s="20">
        <f t="shared" si="4"/>
        <v>530.08265448348277</v>
      </c>
      <c r="AM59" s="59">
        <f t="shared" si="5"/>
        <v>823.41598781681614</v>
      </c>
      <c r="AN59" s="59">
        <f ca="1">AVERAGE(OFFSET($AM$3,0,0,'Données projet'!$E$10+1,1))-AVERAGE(OFFSET($H$3,0,0,'Données projet'!$E$10+1,1))</f>
        <v>394.37446333077651</v>
      </c>
      <c r="AO59" s="59">
        <f t="shared" si="36"/>
        <v>335.44327961212963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45.042510029782271</v>
      </c>
      <c r="AV59" s="21">
        <f>EXP(-LN(2)/25)*AV58+(1-EXP(-LN(2)/25))/(LN(2)/25)*Calculateur!AQ59*Calculateur!AS59*VLOOKUP('Données projet'!$B$10,Paramètres!$A$1:$I$89,3,0)*0.475*44/12</f>
        <v>26.177992406173313</v>
      </c>
      <c r="AW59" s="21">
        <f>EXP(-LN(2)/2)*AW58+(1-EXP(-LN(2)/2))/(LN(2)/2)*AQ59*AT59*VLOOKUP('Données projet'!$B$10,Paramètres!$A$1:$I$89,3,0)*0.475*44/12</f>
        <v>5.2307676879937146</v>
      </c>
      <c r="AX59" s="21">
        <f t="shared" si="6"/>
        <v>76.4512701239493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9.1524999999999999</v>
      </c>
      <c r="BD59" s="12">
        <f>IF('Données projet'!$A$88&gt;35,BD58+BC59-BL58,IF(A59&lt;'Données projet'!$A$88,$BA$205^A59,IF(A59='Données projet'!$A$88,'Données projet'!$B$88,BD58+BC59-BL58)))</f>
        <v>189.84250000000029</v>
      </c>
      <c r="BE59" s="13">
        <f>BD59*VLOOKUP('Données projet'!$B$11,Paramètres!$A$1:$I$89,3,0)*VLOOKUP('Données projet'!$B$11,Paramètres!$A$1:$I$89,5,0)</f>
        <v>171.76949400000024</v>
      </c>
      <c r="BF59" s="13">
        <f t="shared" si="37"/>
        <v>43.486092222917399</v>
      </c>
      <c r="BG59" s="20">
        <f t="shared" si="7"/>
        <v>374.90347933824819</v>
      </c>
      <c r="BH59" s="59">
        <f t="shared" si="8"/>
        <v>668.23681267158145</v>
      </c>
      <c r="BI59" s="59">
        <f ca="1">AVERAGE(OFFSET($BH$3,0,0,'Données projet'!$E$11+1,1))-AVERAGE(OFFSET($H$3,0,0,'Données projet'!$E$11+1,1))</f>
        <v>490.06222615476065</v>
      </c>
      <c r="BJ59" s="59">
        <f t="shared" si="38"/>
        <v>310.43914804089906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33.393194868236435</v>
      </c>
      <c r="BR59" s="21">
        <f>EXP(-LN(2)/2)*BR58+(1-EXP(-LN(2)/2))/(LN(2)/2)*BL59*BO59*VLOOKUP('Données projet'!$B$11,Paramètres!$A$1:$I$89,3,0)*0.475*44/12</f>
        <v>1.6765917919988234</v>
      </c>
      <c r="BS59" s="22">
        <f t="shared" si="9"/>
        <v>35.069786660235259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214.17551999999998</v>
      </c>
      <c r="CA59" s="13">
        <f t="shared" si="39"/>
        <v>52.846993696165399</v>
      </c>
      <c r="CB59" s="20">
        <f t="shared" si="10"/>
        <v>465.06421135415468</v>
      </c>
      <c r="CC59" s="59">
        <f t="shared" si="11"/>
        <v>758.39754468748799</v>
      </c>
      <c r="CD59" s="59">
        <f ca="1">AVERAGE(OFFSET($CC$3,0,0,'Données projet'!$E$12+1,1))-AVERAGE(OFFSET($H$3,0,0,'Données projet'!$E$12+1,1))</f>
        <v>353.37479213497227</v>
      </c>
      <c r="CE59" s="59">
        <f t="shared" si="40"/>
        <v>345.4750813433123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14.142766354019988</v>
      </c>
      <c r="CL59" s="21">
        <f>EXP(-LN(2)/25)*CL58+(1-EXP(-LN(2)/25))/(LN(2)/25)*Calculateur!CG59*Calculateur!CI59*VLOOKUP('Données projet'!$B$12,Paramètres!$A$1:$I$89,3,0)*0.475*44/12</f>
        <v>16.989090033227296</v>
      </c>
      <c r="CM59" s="21">
        <f>EXP(-LN(2)/2)*CM58+(1-EXP(-LN(2)/2))/(LN(2)/2)*CG59*CJ59*VLOOKUP('Données projet'!$B$12,Paramètres!$A$1:$I$89,3,0)*0.475*44/12</f>
        <v>2.6996174627450684</v>
      </c>
      <c r="CN59" s="22">
        <f t="shared" si="12"/>
        <v>33.831473849992349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17.608999999999998</v>
      </c>
      <c r="CT59" s="12">
        <f>IF('Données projet'!$A$140&gt;35,CT58+CS59-DB58,IF(A59&lt;'Données projet'!$A$140,$CQ$205^A59,IF(A59='Données projet'!$A$140,'Données projet'!$B$140,CT58+CS59-DB58)))</f>
        <v>364.56399999999968</v>
      </c>
      <c r="CU59" s="17">
        <f>CT59*VLOOKUP('Données projet'!$B$13,Paramètres!$A$1:$I$89,3,0)*VLOOKUP('Données projet'!$B$13,Paramètres!$A$1:$I$89,5,0)</f>
        <v>175.35528399999984</v>
      </c>
      <c r="CV59" s="13">
        <f t="shared" si="41"/>
        <v>44.287255424586917</v>
      </c>
      <c r="CW59" s="20">
        <f t="shared" si="13"/>
        <v>382.54408949782191</v>
      </c>
      <c r="CX59" s="59">
        <f t="shared" si="14"/>
        <v>675.87742283115517</v>
      </c>
      <c r="CY59" s="59">
        <f ca="1">AVERAGE(OFFSET($CX$3,0,0,'Données projet'!$E$13+1,1))-AVERAGE(OFFSET($H$3,0,0,'Données projet'!$E$13+1,1))</f>
        <v>314.18760071409162</v>
      </c>
      <c r="CZ59" s="59">
        <f t="shared" si="42"/>
        <v>267.72650645201787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1.6135893778804897</v>
      </c>
      <c r="DG59" s="21">
        <f>EXP(-LN(2)/25)*DG58+(1-EXP(-LN(2)/25))/(LN(2)/25)*Calculateur!DB59*Calculateur!DD59*VLOOKUP('Données projet'!$B$13,Paramètres!$A$1:$I$89,3,0)*0.475*44/12</f>
        <v>13.79367917998076</v>
      </c>
      <c r="DH59" s="21">
        <f>EXP(-LN(2)/2)*DH58+(1-EXP(-LN(2)/2))/(LN(2)/2)*DB59*DE59*VLOOKUP('Données projet'!$B$13,Paramètres!$A$1:$I$89,3,0)*0.475*44/12</f>
        <v>3.1724529079508677</v>
      </c>
      <c r="DI59" s="22">
        <f t="shared" si="15"/>
        <v>18.579721465812117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195.86111999999991</v>
      </c>
      <c r="DQ59" s="13">
        <f t="shared" si="43"/>
        <v>48.833463106716422</v>
      </c>
      <c r="DR59" s="20">
        <f t="shared" si="16"/>
        <v>426.17639891086424</v>
      </c>
      <c r="DS59" s="59">
        <f t="shared" si="17"/>
        <v>719.50973224419749</v>
      </c>
      <c r="DT59" s="59">
        <f ca="1">AVERAGE(OFFSET($DS$3,0,0,'Données projet'!$E$14+1,1))-AVERAGE(OFFSET($H$3,0,0,'Données projet'!$E$14+1,1))</f>
        <v>324.86930206492627</v>
      </c>
      <c r="DU59" s="59">
        <f t="shared" si="44"/>
        <v>317.03005098025352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10.800243145245888</v>
      </c>
      <c r="EB59" s="21">
        <f>EXP(-LN(2)/25)*EB58+(1-EXP(-LN(2)/25))/(LN(2)/25)*Calculateur!DW59*Calculateur!DY59*VLOOKUP('Données projet'!$B$14,Paramètres!$A$1:$I$89,3,0)*0.475*44/12</f>
        <v>14.972383388359274</v>
      </c>
      <c r="EC59" s="21">
        <f>EXP(-LN(2)/2)*EC58+(1-EXP(-LN(2)/2))/(LN(2)/2)*DW59*DZ59*VLOOKUP('Données projet'!$B$14,Paramètres!$A$1:$I$89,3,0)*0.475*44/12</f>
        <v>2.4596839857695763</v>
      </c>
      <c r="ED59" s="22">
        <f t="shared" si="18"/>
        <v>28.232310519374739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13.18</v>
      </c>
      <c r="N60" s="13">
        <f>IF('Données projet'!$A$36&gt;35,N59+M60-V59,IF(A60&lt;'Données projet'!$A$36,$K$205^A60,IF(A60='Données projet'!$A$36,'Données projet'!$B$36,N59+M60-V59)))</f>
        <v>398.2000000000001</v>
      </c>
      <c r="O60" s="13">
        <f>N60*VLOOKUP('Données projet'!$B$9,Paramètres!$A$1:$I$89,3,0)*VLOOKUP('Données projet'!$B$9,Paramètres!$A$1:$I$89,5,0)</f>
        <v>238.12360000000007</v>
      </c>
      <c r="P60" s="13">
        <f t="shared" si="33"/>
        <v>58.035629642885198</v>
      </c>
      <c r="Q60" s="20">
        <f t="shared" si="53"/>
        <v>515.81065829469196</v>
      </c>
      <c r="R60" s="59">
        <f t="shared" si="0"/>
        <v>809.14399162802533</v>
      </c>
      <c r="S60" s="59">
        <f ca="1">AVERAGE(OFFSET($R$3,0,0,'Données projet'!$E$9+1,1))-AVERAGE(OFFSET($H$3,0,0,'Données projet'!$E$9+1,1))</f>
        <v>302.00825291248458</v>
      </c>
      <c r="T60" s="59">
        <f t="shared" si="34"/>
        <v>307.35115839449355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47.872220547415395</v>
      </c>
      <c r="AA60" s="21">
        <f>EXP(-LN(2)/25)*AA59+(1-EXP(-LN(2)/25))/(LN(2)/25)*Calculateur!V60*Calculateur!X60*VLOOKUP('Données projet'!$B$9,Paramètres!$A$1:$I$89,3,0)*0.475*44/12</f>
        <v>18.812269946600949</v>
      </c>
      <c r="AB60" s="21">
        <f>EXP(-LN(2)/2)*AB59+(1-EXP(-LN(2)/2))/(LN(2)/2)*V60*Y60*VLOOKUP('Données projet'!$B$9,Paramètres!$A$1:$I$89,3,0)*0.475*44/12</f>
        <v>1.9371565303434506</v>
      </c>
      <c r="AC60" s="22">
        <f t="shared" si="3"/>
        <v>68.621647024359788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20</v>
      </c>
      <c r="AI60" s="13">
        <f>IF('Données projet'!$A$62&gt;35,AI59+AH60-AQ59,IF(A60&lt;'Données projet'!$A$62,$AF$205^A60,IF(A60='Données projet'!$A$62,'Données projet'!$B$62,AI59+AH60-AQ59)))</f>
        <v>573.99999999999989</v>
      </c>
      <c r="AJ60" s="13">
        <f>AI60*VLOOKUP('Données projet'!$B$10,Paramètres!$A$1:$I$89,3,0)*VLOOKUP('Données projet'!$B$10,Paramètres!$A$1:$I$89,5,0)</f>
        <v>253.70799999999997</v>
      </c>
      <c r="AK60" s="13">
        <f t="shared" si="35"/>
        <v>61.379271588933562</v>
      </c>
      <c r="AL60" s="20">
        <f t="shared" si="4"/>
        <v>548.77699801739243</v>
      </c>
      <c r="AM60" s="59">
        <f t="shared" si="5"/>
        <v>842.1103313507258</v>
      </c>
      <c r="AN60" s="59">
        <f ca="1">AVERAGE(OFFSET($AM$3,0,0,'Données projet'!$E$10+1,1))-AVERAGE(OFFSET($H$3,0,0,'Données projet'!$E$10+1,1))</f>
        <v>394.37446333077651</v>
      </c>
      <c r="AO60" s="59">
        <f t="shared" si="36"/>
        <v>335.44327961212963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44.159253881316602</v>
      </c>
      <c r="AV60" s="21">
        <f>EXP(-LN(2)/25)*AV59+(1-EXP(-LN(2)/25))/(LN(2)/25)*Calculateur!AQ60*Calculateur!AS60*VLOOKUP('Données projet'!$B$10,Paramètres!$A$1:$I$89,3,0)*0.475*44/12</f>
        <v>25.462153827185713</v>
      </c>
      <c r="AW60" s="21">
        <f>EXP(-LN(2)/2)*AW59+(1-EXP(-LN(2)/2))/(LN(2)/2)*AQ60*AT60*VLOOKUP('Données projet'!$B$10,Paramètres!$A$1:$I$89,3,0)*0.475*44/12</f>
        <v>3.698711302991835</v>
      </c>
      <c r="AX60" s="21">
        <f t="shared" si="6"/>
        <v>73.320119011494157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9.1524999999999999</v>
      </c>
      <c r="BD60" s="12">
        <f>IF('Données projet'!$A$88&gt;35,BD59+BC60-BL59,IF(A60&lt;'Données projet'!$A$88,$BA$205^A60,IF(A60='Données projet'!$A$88,'Données projet'!$B$88,BD59+BC60-BL59)))</f>
        <v>198.99500000000029</v>
      </c>
      <c r="BE60" s="13">
        <f>BD60*VLOOKUP('Données projet'!$B$11,Paramètres!$A$1:$I$89,3,0)*VLOOKUP('Données projet'!$B$11,Paramètres!$A$1:$I$89,5,0)</f>
        <v>180.05067600000027</v>
      </c>
      <c r="BF60" s="13">
        <f t="shared" si="37"/>
        <v>45.333460458198495</v>
      </c>
      <c r="BG60" s="20">
        <f t="shared" si="7"/>
        <v>392.54403766469613</v>
      </c>
      <c r="BH60" s="59">
        <f t="shared" si="8"/>
        <v>685.87737099802939</v>
      </c>
      <c r="BI60" s="59">
        <f ca="1">AVERAGE(OFFSET($BH$3,0,0,'Données projet'!$E$11+1,1))-AVERAGE(OFFSET($H$3,0,0,'Données projet'!$E$11+1,1))</f>
        <v>490.06222615476065</v>
      </c>
      <c r="BJ60" s="59">
        <f t="shared" si="38"/>
        <v>310.43914804089906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32.480056198492711</v>
      </c>
      <c r="BR60" s="21">
        <f>EXP(-LN(2)/2)*BR59+(1-EXP(-LN(2)/2))/(LN(2)/2)*BL60*BO60*VLOOKUP('Données projet'!$B$11,Paramètres!$A$1:$I$89,3,0)*0.475*44/12</f>
        <v>1.1855294254040736</v>
      </c>
      <c r="BS60" s="22">
        <f t="shared" si="9"/>
        <v>33.665585623896789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219.10823999999994</v>
      </c>
      <c r="CA60" s="13">
        <f t="shared" si="39"/>
        <v>53.921020297295854</v>
      </c>
      <c r="CB60" s="20">
        <f t="shared" si="10"/>
        <v>475.52596168445672</v>
      </c>
      <c r="CC60" s="59">
        <f t="shared" si="11"/>
        <v>768.85929501779003</v>
      </c>
      <c r="CD60" s="59">
        <f ca="1">AVERAGE(OFFSET($CC$3,0,0,'Données projet'!$E$12+1,1))-AVERAGE(OFFSET($H$3,0,0,'Données projet'!$E$12+1,1))</f>
        <v>353.37479213497227</v>
      </c>
      <c r="CE60" s="59">
        <f t="shared" si="40"/>
        <v>345.4750813433123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13.865435332053362</v>
      </c>
      <c r="CL60" s="21">
        <f>EXP(-LN(2)/25)*CL59+(1-EXP(-LN(2)/25))/(LN(2)/25)*Calculateur!CG60*Calculateur!CI60*VLOOKUP('Données projet'!$B$12,Paramètres!$A$1:$I$89,3,0)*0.475*44/12</f>
        <v>16.524522472851281</v>
      </c>
      <c r="CM60" s="21">
        <f>EXP(-LN(2)/2)*CM59+(1-EXP(-LN(2)/2))/(LN(2)/2)*CG60*CJ60*VLOOKUP('Données projet'!$B$12,Paramètres!$A$1:$I$89,3,0)*0.475*44/12</f>
        <v>1.9089178145166599</v>
      </c>
      <c r="CN60" s="22">
        <f t="shared" si="12"/>
        <v>32.298875619421302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17.608999999999998</v>
      </c>
      <c r="CT60" s="12">
        <f>IF('Données projet'!$A$140&gt;35,CT59+CS60-DB59,IF(A60&lt;'Données projet'!$A$140,$CQ$205^A60,IF(A60='Données projet'!$A$140,'Données projet'!$B$140,CT59+CS60-DB59)))</f>
        <v>382.17299999999966</v>
      </c>
      <c r="CU60" s="17">
        <f>CT60*VLOOKUP('Données projet'!$B$13,Paramètres!$A$1:$I$89,3,0)*VLOOKUP('Données projet'!$B$13,Paramètres!$A$1:$I$89,5,0)</f>
        <v>183.82521299999985</v>
      </c>
      <c r="CV60" s="13">
        <f t="shared" si="41"/>
        <v>46.172181233815095</v>
      </c>
      <c r="CW60" s="20">
        <f t="shared" si="13"/>
        <v>400.57879495722767</v>
      </c>
      <c r="CX60" s="59">
        <f t="shared" si="14"/>
        <v>693.91212829056099</v>
      </c>
      <c r="CY60" s="59">
        <f ca="1">AVERAGE(OFFSET($CX$3,0,0,'Données projet'!$E$13+1,1))-AVERAGE(OFFSET($H$3,0,0,'Données projet'!$E$13+1,1))</f>
        <v>314.18760071409162</v>
      </c>
      <c r="CZ60" s="59">
        <f t="shared" si="42"/>
        <v>267.72650645201787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1.581947874372593</v>
      </c>
      <c r="DG60" s="21">
        <f>EXP(-LN(2)/25)*DG59+(1-EXP(-LN(2)/25))/(LN(2)/25)*Calculateur!DB60*Calculateur!DD60*VLOOKUP('Données projet'!$B$13,Paramètres!$A$1:$I$89,3,0)*0.475*44/12</f>
        <v>13.416490297426124</v>
      </c>
      <c r="DH60" s="21">
        <f>EXP(-LN(2)/2)*DH59+(1-EXP(-LN(2)/2))/(LN(2)/2)*DB60*DE60*VLOOKUP('Données projet'!$B$13,Paramètres!$A$1:$I$89,3,0)*0.475*44/12</f>
        <v>2.2432629642070405</v>
      </c>
      <c r="DI60" s="22">
        <f t="shared" si="15"/>
        <v>17.241701136005759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200.40383999999992</v>
      </c>
      <c r="DQ60" s="13">
        <f t="shared" si="43"/>
        <v>49.832909112305636</v>
      </c>
      <c r="DR60" s="20">
        <f t="shared" si="16"/>
        <v>435.82900470393218</v>
      </c>
      <c r="DS60" s="59">
        <f t="shared" si="17"/>
        <v>729.1623380372655</v>
      </c>
      <c r="DT60" s="59">
        <f ca="1">AVERAGE(OFFSET($DS$3,0,0,'Données projet'!$E$14+1,1))-AVERAGE(OFFSET($H$3,0,0,'Données projet'!$E$14+1,1))</f>
        <v>324.86930206492627</v>
      </c>
      <c r="DU60" s="59">
        <f t="shared" si="44"/>
        <v>317.03005098025352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10.588456964665474</v>
      </c>
      <c r="EB60" s="21">
        <f>EXP(-LN(2)/25)*EB59+(1-EXP(-LN(2)/25))/(LN(2)/25)*Calculateur!DW60*Calculateur!DY60*VLOOKUP('Données projet'!$B$14,Paramètres!$A$1:$I$89,3,0)*0.475*44/12</f>
        <v>14.562962777241168</v>
      </c>
      <c r="EC60" s="21">
        <f>EXP(-LN(2)/2)*EC59+(1-EXP(-LN(2)/2))/(LN(2)/2)*DW60*DZ60*VLOOKUP('Données projet'!$B$14,Paramètres!$A$1:$I$89,3,0)*0.475*44/12</f>
        <v>1.739259225913623</v>
      </c>
      <c r="ED60" s="22">
        <f t="shared" si="18"/>
        <v>26.890678967820268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13.18</v>
      </c>
      <c r="N61" s="13">
        <f>IF('Données projet'!$A$36&gt;35,N60+M61-V60,IF(A61&lt;'Données projet'!$A$36,$K$205^A61,IF(A61='Données projet'!$A$36,'Données projet'!$B$36,N60+M61-V60)))</f>
        <v>411.38000000000011</v>
      </c>
      <c r="O61" s="13">
        <f>N61*VLOOKUP('Données projet'!$B$9,Paramètres!$A$1:$I$89,3,0)*VLOOKUP('Données projet'!$B$9,Paramètres!$A$1:$I$89,5,0)</f>
        <v>246.0052400000001</v>
      </c>
      <c r="P61" s="13">
        <f t="shared" si="33"/>
        <v>59.729722829762714</v>
      </c>
      <c r="Q61" s="20">
        <f t="shared" si="53"/>
        <v>532.48839359517024</v>
      </c>
      <c r="R61" s="59">
        <f t="shared" si="0"/>
        <v>825.82172692850349</v>
      </c>
      <c r="S61" s="59">
        <f ca="1">AVERAGE(OFFSET($R$3,0,0,'Données projet'!$E$9+1,1))-AVERAGE(OFFSET($H$3,0,0,'Données projet'!$E$9+1,1))</f>
        <v>302.00825291248458</v>
      </c>
      <c r="T61" s="59">
        <f t="shared" si="34"/>
        <v>307.35115839449355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46.933475501651934</v>
      </c>
      <c r="AA61" s="21">
        <f>EXP(-LN(2)/25)*AA60+(1-EXP(-LN(2)/25))/(LN(2)/25)*Calculateur!V61*Calculateur!X61*VLOOKUP('Données projet'!$B$9,Paramètres!$A$1:$I$89,3,0)*0.475*44/12</f>
        <v>18.297847435616866</v>
      </c>
      <c r="AB61" s="21">
        <f>EXP(-LN(2)/2)*AB60+(1-EXP(-LN(2)/2))/(LN(2)/2)*V61*Y61*VLOOKUP('Données projet'!$B$9,Paramètres!$A$1:$I$89,3,0)*0.475*44/12</f>
        <v>1.3697765188256581</v>
      </c>
      <c r="AC61" s="22">
        <f t="shared" si="3"/>
        <v>66.60109945609446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20</v>
      </c>
      <c r="AI61" s="13">
        <f>IF('Données projet'!$A$62&gt;35,AI60+AH61-AQ60,IF(A61&lt;'Données projet'!$A$62,$AF$205^A61,IF(A61='Données projet'!$A$62,'Données projet'!$B$62,AI60+AH61-AQ60)))</f>
        <v>593.99999999999989</v>
      </c>
      <c r="AJ61" s="13">
        <f>AI61*VLOOKUP('Données projet'!$B$10,Paramètres!$A$1:$I$89,3,0)*VLOOKUP('Données projet'!$B$10,Paramètres!$A$1:$I$89,5,0)</f>
        <v>262.548</v>
      </c>
      <c r="AK61" s="13">
        <f t="shared" si="35"/>
        <v>63.265199933079444</v>
      </c>
      <c r="AL61" s="20">
        <f t="shared" si="4"/>
        <v>567.45798988344666</v>
      </c>
      <c r="AM61" s="59">
        <f t="shared" si="5"/>
        <v>860.79132321678003</v>
      </c>
      <c r="AN61" s="59">
        <f ca="1">AVERAGE(OFFSET($AM$3,0,0,'Données projet'!$E$10+1,1))-AVERAGE(OFFSET($H$3,0,0,'Données projet'!$E$10+1,1))</f>
        <v>394.37446333077651</v>
      </c>
      <c r="AO61" s="59">
        <f t="shared" si="36"/>
        <v>335.44327961212963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43.293317847189293</v>
      </c>
      <c r="AV61" s="21">
        <f>EXP(-LN(2)/25)*AV60+(1-EXP(-LN(2)/25))/(LN(2)/25)*Calculateur!AQ61*Calculateur!AS61*VLOOKUP('Données projet'!$B$10,Paramètres!$A$1:$I$89,3,0)*0.475*44/12</f>
        <v>24.765889891784845</v>
      </c>
      <c r="AW61" s="21">
        <f>EXP(-LN(2)/2)*AW60+(1-EXP(-LN(2)/2))/(LN(2)/2)*AQ61*AT61*VLOOKUP('Données projet'!$B$10,Paramètres!$A$1:$I$89,3,0)*0.475*44/12</f>
        <v>2.6153838439968577</v>
      </c>
      <c r="AX61" s="21">
        <f t="shared" si="6"/>
        <v>70.67459158297099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9.1524999999999999</v>
      </c>
      <c r="BD61" s="12">
        <f>IF('Données projet'!$A$88&gt;35,BD60+BC61-BL60,IF(A61&lt;'Données projet'!$A$88,$BA$205^A61,IF(A61='Données projet'!$A$88,'Données projet'!$B$88,BD60+BC61-BL60)))</f>
        <v>208.14750000000029</v>
      </c>
      <c r="BE61" s="13">
        <f>BD61*VLOOKUP('Données projet'!$B$11,Paramètres!$A$1:$I$89,3,0)*VLOOKUP('Données projet'!$B$11,Paramètres!$A$1:$I$89,5,0)</f>
        <v>188.33185800000024</v>
      </c>
      <c r="BF61" s="13">
        <f t="shared" si="37"/>
        <v>47.170961271026052</v>
      </c>
      <c r="BG61" s="20">
        <f t="shared" si="7"/>
        <v>410.16741023037071</v>
      </c>
      <c r="BH61" s="59">
        <f t="shared" si="8"/>
        <v>703.50074356370396</v>
      </c>
      <c r="BI61" s="59">
        <f ca="1">AVERAGE(OFFSET($BH$3,0,0,'Données projet'!$E$11+1,1))-AVERAGE(OFFSET($H$3,0,0,'Données projet'!$E$11+1,1))</f>
        <v>490.06222615476065</v>
      </c>
      <c r="BJ61" s="59">
        <f t="shared" si="38"/>
        <v>310.43914804089906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31.591887353693007</v>
      </c>
      <c r="BR61" s="21">
        <f>EXP(-LN(2)/2)*BR60+(1-EXP(-LN(2)/2))/(LN(2)/2)*BL61*BO61*VLOOKUP('Données projet'!$B$11,Paramètres!$A$1:$I$89,3,0)*0.475*44/12</f>
        <v>0.83829589599941168</v>
      </c>
      <c r="BS61" s="22">
        <f t="shared" si="9"/>
        <v>32.430183249692419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224.04095999999993</v>
      </c>
      <c r="CA61" s="13">
        <f t="shared" si="39"/>
        <v>54.992235867381233</v>
      </c>
      <c r="CB61" s="20">
        <f t="shared" si="10"/>
        <v>485.98281613568884</v>
      </c>
      <c r="CC61" s="59">
        <f t="shared" si="11"/>
        <v>779.31614946902209</v>
      </c>
      <c r="CD61" s="59">
        <f ca="1">AVERAGE(OFFSET($CC$3,0,0,'Données projet'!$E$12+1,1))-AVERAGE(OFFSET($H$3,0,0,'Données projet'!$E$12+1,1))</f>
        <v>353.37479213497227</v>
      </c>
      <c r="CE61" s="59">
        <f t="shared" si="40"/>
        <v>345.4750813433123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13.593542602272281</v>
      </c>
      <c r="CL61" s="21">
        <f>EXP(-LN(2)/25)*CL60+(1-EXP(-LN(2)/25))/(LN(2)/25)*Calculateur!CG61*Calculateur!CI61*VLOOKUP('Données projet'!$B$12,Paramètres!$A$1:$I$89,3,0)*0.475*44/12</f>
        <v>16.072658536844294</v>
      </c>
      <c r="CM61" s="21">
        <f>EXP(-LN(2)/2)*CM60+(1-EXP(-LN(2)/2))/(LN(2)/2)*CG61*CJ61*VLOOKUP('Données projet'!$B$12,Paramètres!$A$1:$I$89,3,0)*0.475*44/12</f>
        <v>1.3498087313725344</v>
      </c>
      <c r="CN61" s="22">
        <f t="shared" si="12"/>
        <v>31.016009870489107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17.608999999999998</v>
      </c>
      <c r="CT61" s="12">
        <f>IF('Données projet'!$A$140&gt;35,CT60+CS61-DB60,IF(A61&lt;'Données projet'!$A$140,$CQ$205^A61,IF(A61='Données projet'!$A$140,'Données projet'!$B$140,CT60+CS61-DB60)))</f>
        <v>399.78199999999964</v>
      </c>
      <c r="CU61" s="17">
        <f>CT61*VLOOKUP('Données projet'!$B$13,Paramètres!$A$1:$I$89,3,0)*VLOOKUP('Données projet'!$B$13,Paramètres!$A$1:$I$89,5,0)</f>
        <v>192.29514199999983</v>
      </c>
      <c r="CV61" s="13">
        <f t="shared" si="41"/>
        <v>48.047021015979816</v>
      </c>
      <c r="CW61" s="20">
        <f t="shared" si="13"/>
        <v>418.59593391949784</v>
      </c>
      <c r="CX61" s="59">
        <f t="shared" si="14"/>
        <v>711.9292672528311</v>
      </c>
      <c r="CY61" s="59">
        <f ca="1">AVERAGE(OFFSET($CX$3,0,0,'Données projet'!$E$13+1,1))-AVERAGE(OFFSET($H$3,0,0,'Données projet'!$E$13+1,1))</f>
        <v>314.18760071409162</v>
      </c>
      <c r="CZ61" s="59">
        <f t="shared" si="42"/>
        <v>267.72650645201787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1.5509268414490744</v>
      </c>
      <c r="DG61" s="21">
        <f>EXP(-LN(2)/25)*DG60+(1-EXP(-LN(2)/25))/(LN(2)/25)*Calculateur!DB61*Calculateur!DD61*VLOOKUP('Données projet'!$B$13,Paramètres!$A$1:$I$89,3,0)*0.475*44/12</f>
        <v>13.049615664700445</v>
      </c>
      <c r="DH61" s="21">
        <f>EXP(-LN(2)/2)*DH60+(1-EXP(-LN(2)/2))/(LN(2)/2)*DB61*DE61*VLOOKUP('Données projet'!$B$13,Paramètres!$A$1:$I$89,3,0)*0.475*44/12</f>
        <v>1.5862264539754338</v>
      </c>
      <c r="DI61" s="22">
        <f t="shared" si="15"/>
        <v>16.186768960124954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204.94655999999989</v>
      </c>
      <c r="DQ61" s="13">
        <f t="shared" si="43"/>
        <v>50.829721281867236</v>
      </c>
      <c r="DR61" s="20">
        <f t="shared" si="16"/>
        <v>445.47702323258522</v>
      </c>
      <c r="DS61" s="59">
        <f t="shared" si="17"/>
        <v>738.81035656591848</v>
      </c>
      <c r="DT61" s="59">
        <f ca="1">AVERAGE(OFFSET($DS$3,0,0,'Données projet'!$E$14+1,1))-AVERAGE(OFFSET($H$3,0,0,'Données projet'!$E$14+1,1))</f>
        <v>324.86930206492627</v>
      </c>
      <c r="DU61" s="59">
        <f t="shared" si="44"/>
        <v>317.03005098025352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10.380823781909426</v>
      </c>
      <c r="EB61" s="21">
        <f>EXP(-LN(2)/25)*EB60+(1-EXP(-LN(2)/25))/(LN(2)/25)*Calculateur!DW61*Calculateur!DY61*VLOOKUP('Données projet'!$B$14,Paramètres!$A$1:$I$89,3,0)*0.475*44/12</f>
        <v>14.16473779426458</v>
      </c>
      <c r="EC61" s="21">
        <f>EXP(-LN(2)/2)*EC60+(1-EXP(-LN(2)/2))/(LN(2)/2)*DW61*DZ61*VLOOKUP('Données projet'!$B$14,Paramètres!$A$1:$I$89,3,0)*0.475*44/12</f>
        <v>1.2298419928847883</v>
      </c>
      <c r="ED61" s="22">
        <f t="shared" si="18"/>
        <v>25.775403569058795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13.18</v>
      </c>
      <c r="N62" s="13">
        <f>IF('Données projet'!$A$36&gt;35,N61+M62-V61,IF(A62&lt;'Données projet'!$A$36,$K$205^A62,IF(A62='Données projet'!$A$36,'Données projet'!$B$36,N61+M62-V61)))</f>
        <v>424.56000000000012</v>
      </c>
      <c r="O62" s="13">
        <f>N62*VLOOKUP('Données projet'!$B$9,Paramètres!$A$1:$I$89,3,0)*VLOOKUP('Données projet'!$B$9,Paramètres!$A$1:$I$89,5,0)</f>
        <v>253.8868800000001</v>
      </c>
      <c r="P62" s="13">
        <f t="shared" si="33"/>
        <v>61.417508891277024</v>
      </c>
      <c r="Q62" s="20">
        <f t="shared" si="53"/>
        <v>549.15514398564108</v>
      </c>
      <c r="R62" s="59">
        <f t="shared" si="0"/>
        <v>842.48847731897445</v>
      </c>
      <c r="S62" s="59">
        <f ca="1">AVERAGE(OFFSET($R$3,0,0,'Données projet'!$E$9+1,1))-AVERAGE(OFFSET($H$3,0,0,'Données projet'!$E$9+1,1))</f>
        <v>302.00825291248458</v>
      </c>
      <c r="T62" s="59">
        <f t="shared" si="34"/>
        <v>307.35115839449355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46.013138673657956</v>
      </c>
      <c r="AA62" s="21">
        <f>EXP(-LN(2)/25)*AA61+(1-EXP(-LN(2)/25))/(LN(2)/25)*Calculateur!V62*Calculateur!X62*VLOOKUP('Données projet'!$B$9,Paramètres!$A$1:$I$89,3,0)*0.475*44/12</f>
        <v>17.797491835247946</v>
      </c>
      <c r="AB62" s="21">
        <f>EXP(-LN(2)/2)*AB61+(1-EXP(-LN(2)/2))/(LN(2)/2)*V62*Y62*VLOOKUP('Données projet'!$B$9,Paramètres!$A$1:$I$89,3,0)*0.475*44/12</f>
        <v>0.96857826517172552</v>
      </c>
      <c r="AC62" s="22">
        <f t="shared" si="3"/>
        <v>64.779208774077631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20</v>
      </c>
      <c r="AI62" s="13">
        <f>IF('Données projet'!$A$62&gt;35,AI61+AH62-AQ61,IF(A62&lt;'Données projet'!$A$62,$AF$205^A62,IF(A62='Données projet'!$A$62,'Données projet'!$B$62,AI61+AH62-AQ61)))</f>
        <v>613.99999999999989</v>
      </c>
      <c r="AJ62" s="13">
        <f>AI62*VLOOKUP('Données projet'!$B$10,Paramètres!$A$1:$I$89,3,0)*VLOOKUP('Données projet'!$B$10,Paramètres!$A$1:$I$89,5,0)</f>
        <v>271.38799999999998</v>
      </c>
      <c r="AK62" s="13">
        <f t="shared" si="35"/>
        <v>65.143749954435705</v>
      </c>
      <c r="AL62" s="20">
        <f t="shared" si="4"/>
        <v>586.12613117064211</v>
      </c>
      <c r="AM62" s="59">
        <f t="shared" si="5"/>
        <v>879.45946450397537</v>
      </c>
      <c r="AN62" s="59">
        <f ca="1">AVERAGE(OFFSET($AM$3,0,0,'Données projet'!$E$10+1,1))-AVERAGE(OFFSET($H$3,0,0,'Données projet'!$E$10+1,1))</f>
        <v>394.37446333077651</v>
      </c>
      <c r="AO62" s="59">
        <f t="shared" si="36"/>
        <v>335.44327961212963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42.444362290522392</v>
      </c>
      <c r="AV62" s="21">
        <f>EXP(-LN(2)/25)*AV61+(1-EXP(-LN(2)/25))/(LN(2)/25)*Calculateur!AQ62*Calculateur!AS62*VLOOKUP('Données projet'!$B$10,Paramètres!$A$1:$I$89,3,0)*0.475*44/12</f>
        <v>24.088665330312441</v>
      </c>
      <c r="AW62" s="21">
        <f>EXP(-LN(2)/2)*AW61+(1-EXP(-LN(2)/2))/(LN(2)/2)*AQ62*AT62*VLOOKUP('Données projet'!$B$10,Paramètres!$A$1:$I$89,3,0)*0.475*44/12</f>
        <v>1.8493556514959177</v>
      </c>
      <c r="AX62" s="21">
        <f t="shared" si="6"/>
        <v>68.382383272330742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9.1524999999999999</v>
      </c>
      <c r="BC62" s="12">
        <f t="array" ref="BC62">INDEX(BB:BB,MIN(IF(ISNUMBER(BB62:BB258),ROW(BB62:BB258),"")))</f>
        <v>9.1524999999999999</v>
      </c>
      <c r="BD62" s="12">
        <f>IF('Données projet'!$A$88&gt;35,BD61+BC62-BL61,IF(A62&lt;'Données projet'!$A$88,$BA$205^A62,IF(A62='Données projet'!$A$88,'Données projet'!$B$88,BD61+BC62-BL61)))</f>
        <v>217.3000000000003</v>
      </c>
      <c r="BE62" s="13">
        <f>BD62*VLOOKUP('Données projet'!$B$11,Paramètres!$A$1:$I$89,3,0)*VLOOKUP('Données projet'!$B$11,Paramètres!$A$1:$I$89,5,0)</f>
        <v>196.61304000000027</v>
      </c>
      <c r="BF62" s="13">
        <f t="shared" si="37"/>
        <v>48.999078128589694</v>
      </c>
      <c r="BG62" s="20">
        <f t="shared" si="7"/>
        <v>427.77443907396082</v>
      </c>
      <c r="BH62" s="59">
        <f t="shared" si="8"/>
        <v>721.10777240729408</v>
      </c>
      <c r="BI62" s="59">
        <f ca="1">AVERAGE(OFFSET($BH$3,0,0,'Données projet'!$E$11+1,1))-AVERAGE(OFFSET($H$3,0,0,'Données projet'!$E$11+1,1))</f>
        <v>490.06222615476065</v>
      </c>
      <c r="BJ62" s="59">
        <f t="shared" si="38"/>
        <v>310.43914804089906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52.75</v>
      </c>
      <c r="BM62" s="16">
        <f>IF(ISNA(VLOOKUP(A62,'Données projet'!$A$87:$I$107,5,0)),0%,VLOOKUP(A62,'Données projet'!$A$87:$I$107,5,0)*VLOOKUP('Données projet'!$B$11,Paramètres!$A$1:$I$89,7,0))</f>
        <v>0.15049999999999999</v>
      </c>
      <c r="BN62" s="16">
        <f>IF(ISNA(VLOOKUP(A62,'Données projet'!$A$87:$I$107,6,0)),0%,VLOOKUP(A62,'Données projet'!$A$87:$I$107,6,0)*VLOOKUP('Données projet'!$B$11,Paramètres!$A$1:$I$89,7,0))</f>
        <v>8.6000000000000007E-2</v>
      </c>
      <c r="BO62" s="16">
        <f>IF(ISNA(VLOOKUP(A62,'Données projet'!$A$87:$I$107,7,0)),0%,VLOOKUP(A62,'Données projet'!$A$87:$I$107,7,0))</f>
        <v>0.1</v>
      </c>
      <c r="BP62" s="21">
        <f>EXP(-LN(2)/35)*BP61+(1-EXP(-LN(2)/35))/(LN(2)/35)*BL62*BM62*VLOOKUP('Données projet'!$B$11,Paramètres!$A$1:$I$89,3,0)*0.475*44/12</f>
        <v>7.9406977609478941</v>
      </c>
      <c r="BQ62" s="21">
        <f>EXP(-LN(2)/25)*BQ61+(1-EXP(-LN(2)/25))/(LN(2)/25)*Calculateur!BL62*Calculateur!BN62*VLOOKUP('Données projet'!$B$11,Paramètres!$A$1:$I$89,3,0)*0.475*44/12</f>
        <v>35.247681080215401</v>
      </c>
      <c r="BR62" s="21">
        <f>EXP(-LN(2)/2)*BR61+(1-EXP(-LN(2)/2))/(LN(2)/2)*BL62*BO62*VLOOKUP('Données projet'!$B$11,Paramètres!$A$1:$I$89,3,0)*0.475*44/12</f>
        <v>5.0960488412689262</v>
      </c>
      <c r="BS62" s="22">
        <f t="shared" si="9"/>
        <v>48.284427682432216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228.97367999999994</v>
      </c>
      <c r="CA62" s="13">
        <f t="shared" si="39"/>
        <v>56.060709423888284</v>
      </c>
      <c r="CB62" s="20">
        <f t="shared" si="10"/>
        <v>496.43489491327199</v>
      </c>
      <c r="CC62" s="59">
        <f t="shared" si="11"/>
        <v>789.7682282466053</v>
      </c>
      <c r="CD62" s="59">
        <f ca="1">AVERAGE(OFFSET($CC$3,0,0,'Données projet'!$E$12+1,1))-AVERAGE(OFFSET($H$3,0,0,'Données projet'!$E$12+1,1))</f>
        <v>353.37479213497227</v>
      </c>
      <c r="CE62" s="59">
        <f t="shared" si="40"/>
        <v>345.4750813433123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13.326981523084017</v>
      </c>
      <c r="CL62" s="21">
        <f>EXP(-LN(2)/25)*CL61+(1-EXP(-LN(2)/25))/(LN(2)/25)*Calculateur!CG62*Calculateur!CI62*VLOOKUP('Données projet'!$B$12,Paramètres!$A$1:$I$89,3,0)*0.475*44/12</f>
        <v>15.63315084392991</v>
      </c>
      <c r="CM62" s="21">
        <f>EXP(-LN(2)/2)*CM61+(1-EXP(-LN(2)/2))/(LN(2)/2)*CG62*CJ62*VLOOKUP('Données projet'!$B$12,Paramètres!$A$1:$I$89,3,0)*0.475*44/12</f>
        <v>0.95445890725833005</v>
      </c>
      <c r="CN62" s="22">
        <f t="shared" si="12"/>
        <v>29.914591274272258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17.608999999999998</v>
      </c>
      <c r="CT62" s="12">
        <f>IF('Données projet'!$A$140&gt;35,CT61+CS62-DB61,IF(A62&lt;'Données projet'!$A$140,$CQ$205^A62,IF(A62='Données projet'!$A$140,'Données projet'!$B$140,CT61+CS62-DB61)))</f>
        <v>417.39099999999962</v>
      </c>
      <c r="CU62" s="17">
        <f>CT62*VLOOKUP('Données projet'!$B$13,Paramètres!$A$1:$I$89,3,0)*VLOOKUP('Données projet'!$B$13,Paramètres!$A$1:$I$89,5,0)</f>
        <v>200.76507099999984</v>
      </c>
      <c r="CV62" s="13">
        <f t="shared" si="41"/>
        <v>49.912269794130985</v>
      </c>
      <c r="CW62" s="20">
        <f t="shared" si="13"/>
        <v>436.59636854977776</v>
      </c>
      <c r="CX62" s="59">
        <f t="shared" si="14"/>
        <v>729.92970188311108</v>
      </c>
      <c r="CY62" s="59">
        <f ca="1">AVERAGE(OFFSET($CX$3,0,0,'Données projet'!$E$13+1,1))-AVERAGE(OFFSET($H$3,0,0,'Données projet'!$E$13+1,1))</f>
        <v>314.18760071409162</v>
      </c>
      <c r="CZ62" s="59">
        <f t="shared" si="42"/>
        <v>267.72650645201787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1.5205141120602244</v>
      </c>
      <c r="DG62" s="21">
        <f>EXP(-LN(2)/25)*DG61+(1-EXP(-LN(2)/25))/(LN(2)/25)*Calculateur!DB62*Calculateur!DD62*VLOOKUP('Données projet'!$B$13,Paramètres!$A$1:$I$89,3,0)*0.475*44/12</f>
        <v>12.692773238099749</v>
      </c>
      <c r="DH62" s="21">
        <f>EXP(-LN(2)/2)*DH61+(1-EXP(-LN(2)/2))/(LN(2)/2)*DB62*DE62*VLOOKUP('Données projet'!$B$13,Paramètres!$A$1:$I$89,3,0)*0.475*44/12</f>
        <v>1.1216314821035203</v>
      </c>
      <c r="DI62" s="22">
        <f t="shared" si="15"/>
        <v>15.334918832263494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209.48927999999989</v>
      </c>
      <c r="DQ62" s="13">
        <f t="shared" si="43"/>
        <v>51.823964717594365</v>
      </c>
      <c r="DR62" s="20">
        <f t="shared" si="16"/>
        <v>455.12056788314334</v>
      </c>
      <c r="DS62" s="59">
        <f t="shared" si="17"/>
        <v>748.45390121647665</v>
      </c>
      <c r="DT62" s="59">
        <f ca="1">AVERAGE(OFFSET($DS$3,0,0,'Données projet'!$E$14+1,1))-AVERAGE(OFFSET($H$3,0,0,'Données projet'!$E$14+1,1))</f>
        <v>324.86930206492627</v>
      </c>
      <c r="DU62" s="59">
        <f t="shared" si="44"/>
        <v>317.03005098025352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10.177262159223487</v>
      </c>
      <c r="EB62" s="21">
        <f>EXP(-LN(2)/25)*EB61+(1-EXP(-LN(2)/25))/(LN(2)/25)*Calculateur!DW62*Calculateur!DY62*VLOOKUP('Données projet'!$B$14,Paramètres!$A$1:$I$89,3,0)*0.475*44/12</f>
        <v>13.777402294389228</v>
      </c>
      <c r="EC62" s="21">
        <f>EXP(-LN(2)/2)*EC61+(1-EXP(-LN(2)/2))/(LN(2)/2)*DW62*DZ62*VLOOKUP('Données projet'!$B$14,Paramètres!$A$1:$I$89,3,0)*0.475*44/12</f>
        <v>0.86962961295681163</v>
      </c>
      <c r="ED62" s="22">
        <f t="shared" si="18"/>
        <v>24.824294066569525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437.74</v>
      </c>
      <c r="L63" s="12">
        <f>VLOOKUP(A63,'Données projet'!$A$35:$I$55,9,0)</f>
        <v>13.18</v>
      </c>
      <c r="M63" s="12">
        <f t="array" ref="M63">INDEX(L:L,MIN(IF(ISNUMBER(L63:L259),ROW(L63:L259),"")))</f>
        <v>13.18</v>
      </c>
      <c r="N63" s="13">
        <f>IF('Données projet'!$A$36&gt;35,N62+M63-V62,IF(A63&lt;'Données projet'!$A$36,$K$205^A63,IF(A63='Données projet'!$A$36,'Données projet'!$B$36,N62+M63-V62)))</f>
        <v>437.74000000000012</v>
      </c>
      <c r="O63" s="13">
        <f>N63*VLOOKUP('Données projet'!$B$9,Paramètres!$A$1:$I$89,3,0)*VLOOKUP('Données projet'!$B$9,Paramètres!$A$1:$I$89,5,0)</f>
        <v>261.76852000000008</v>
      </c>
      <c r="P63" s="13">
        <f t="shared" si="33"/>
        <v>63.099206092755566</v>
      </c>
      <c r="Q63" s="20">
        <f t="shared" si="53"/>
        <v>565.81128961154946</v>
      </c>
      <c r="R63" s="59">
        <f t="shared" si="0"/>
        <v>859.14462294488271</v>
      </c>
      <c r="S63" s="59">
        <f ca="1">AVERAGE(OFFSET($R$3,0,0,'Données projet'!$E$9+1,1))-AVERAGE(OFFSET($H$3,0,0,'Données projet'!$E$9+1,1))</f>
        <v>302.00825291248458</v>
      </c>
      <c r="T63" s="59">
        <f t="shared" si="34"/>
        <v>307.35115839449355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437.74</v>
      </c>
      <c r="W63" s="16">
        <f>IF(ISNA(VLOOKUP(A63,'Données projet'!$A$35:$I$55,5,0)),0%,VLOOKUP(A63,'Données projet'!$A$35:$I$55,5,0)*VLOOKUP('Données projet'!$B$9,Paramètres!$A$1:$I$89,7,0))</f>
        <v>0.27</v>
      </c>
      <c r="X63" s="16">
        <f>IF(ISNA(VLOOKUP(A63,'Données projet'!$A$35:$I$55,6,0)),0%,VLOOKUP(A63,'Données projet'!$A$35:$I$55,6,0)*VLOOKUP('Données projet'!$B$9,Paramètres!$A$1:$I$89,7,0))</f>
        <v>9.0000000000000011E-2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138.86910891946479</v>
      </c>
      <c r="AA63" s="21">
        <f>EXP(-LN(2)/25)*AA62+(1-EXP(-LN(2)/25))/(LN(2)/25)*Calculateur!V63*Calculateur!X63*VLOOKUP('Données projet'!$B$9,Paramètres!$A$1:$I$89,3,0)*0.475*44/12</f>
        <v>48.440517763852199</v>
      </c>
      <c r="AB63" s="21">
        <f>EXP(-LN(2)/2)*AB62+(1-EXP(-LN(2)/2))/(LN(2)/2)*V63*Y63*VLOOKUP('Données projet'!$B$9,Paramètres!$A$1:$I$89,3,0)*0.475*44/12</f>
        <v>59.961442823353359</v>
      </c>
      <c r="AC63" s="22">
        <f t="shared" si="3"/>
        <v>247.27106950667036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634</v>
      </c>
      <c r="AG63" s="12">
        <f>VLOOKUP(A63,'Données projet'!$A$61:$I$81,9,0)</f>
        <v>20</v>
      </c>
      <c r="AH63" s="12">
        <f t="array" ref="AH63">INDEX(AG:AG,MIN(IF(ISNUMBER(AG63:AG259),ROW(AG63:AG259),"")))</f>
        <v>20</v>
      </c>
      <c r="AI63" s="13">
        <f>IF('Données projet'!$A$62&gt;35,AI62+AH63-AQ62,IF(A63&lt;'Données projet'!$A$62,$AF$205^A63,IF(A63='Données projet'!$A$62,'Données projet'!$B$62,AI62+AH63-AQ62)))</f>
        <v>633.99999999999989</v>
      </c>
      <c r="AJ63" s="13">
        <f>AI63*VLOOKUP('Données projet'!$B$10,Paramètres!$A$1:$I$89,3,0)*VLOOKUP('Données projet'!$B$10,Paramètres!$A$1:$I$89,5,0)</f>
        <v>280.22799999999995</v>
      </c>
      <c r="AK63" s="13">
        <f t="shared" si="35"/>
        <v>67.015189552564891</v>
      </c>
      <c r="AL63" s="20">
        <f t="shared" si="4"/>
        <v>604.78188847071704</v>
      </c>
      <c r="AM63" s="59">
        <f t="shared" si="5"/>
        <v>898.11522180405041</v>
      </c>
      <c r="AN63" s="59">
        <f ca="1">AVERAGE(OFFSET($AM$3,0,0,'Données projet'!$E$10+1,1))-AVERAGE(OFFSET($H$3,0,0,'Données projet'!$E$10+1,1))</f>
        <v>394.37446333077651</v>
      </c>
      <c r="AO63" s="59">
        <f t="shared" si="36"/>
        <v>335.44327961212963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53</v>
      </c>
      <c r="AR63" s="16">
        <f>IF(ISNA(VLOOKUP(A63,'Données projet'!$A$61:$I$81,5,0)),0%,VLOOKUP(A63,'Données projet'!$A$61:$I$81,5,0)*VLOOKUP('Données projet'!$B$10,Paramètres!$A$1:$I$89,7,0))</f>
        <v>0.33</v>
      </c>
      <c r="AS63" s="16">
        <f>IF(ISNA(VLOOKUP(A63,'Données projet'!$A$61:$I$81,6,0)),0%,VLOOKUP(A63,'Données projet'!$A$61:$I$81,6,0)*VLOOKUP('Données projet'!$B$10,Paramètres!$A$1:$I$89,7,0))</f>
        <v>0.11000000000000001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51.867166882441772</v>
      </c>
      <c r="AV63" s="21">
        <f>EXP(-LN(2)/25)*AV62+(1-EXP(-LN(2)/25))/(LN(2)/25)*Calculateur!AQ63*Calculateur!AS63*VLOOKUP('Données projet'!$B$10,Paramètres!$A$1:$I$89,3,0)*0.475*44/12</f>
        <v>26.834870964064738</v>
      </c>
      <c r="AW63" s="21">
        <f>EXP(-LN(2)/2)*AW62+(1-EXP(-LN(2)/2))/(LN(2)/2)*AQ63*AT63*VLOOKUP('Données projet'!$B$10,Paramètres!$A$1:$I$89,3,0)*0.475*44/12</f>
        <v>6.6124266823694278</v>
      </c>
      <c r="AX63" s="21">
        <f t="shared" si="6"/>
        <v>85.314464528875945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8.5662500000000001</v>
      </c>
      <c r="BD63" s="12">
        <f>IF('Données projet'!$A$88&gt;35,BD62+BC63-BL62,IF(A63&lt;'Données projet'!$A$88,$BA$205^A63,IF(A63='Données projet'!$A$88,'Données projet'!$B$88,BD62+BC63-BL62)))</f>
        <v>173.11625000000029</v>
      </c>
      <c r="BE63" s="13">
        <f>BD63*VLOOKUP('Données projet'!$B$11,Paramètres!$A$1:$I$89,3,0)*VLOOKUP('Données projet'!$B$11,Paramètres!$A$1:$I$89,5,0)</f>
        <v>156.63558300000025</v>
      </c>
      <c r="BF63" s="13">
        <f t="shared" si="37"/>
        <v>40.082725721977702</v>
      </c>
      <c r="BG63" s="20">
        <f t="shared" si="7"/>
        <v>342.61772102411163</v>
      </c>
      <c r="BH63" s="59">
        <f t="shared" si="8"/>
        <v>635.95105435744495</v>
      </c>
      <c r="BI63" s="59">
        <f ca="1">AVERAGE(OFFSET($BH$3,0,0,'Données projet'!$E$11+1,1))-AVERAGE(OFFSET($H$3,0,0,'Données projet'!$E$11+1,1))</f>
        <v>490.06222615476065</v>
      </c>
      <c r="BJ63" s="59">
        <f t="shared" si="38"/>
        <v>310.43914804089906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7.7849855212030992</v>
      </c>
      <c r="BQ63" s="21">
        <f>EXP(-LN(2)/25)*BQ62+(1-EXP(-LN(2)/25))/(LN(2)/25)*Calculateur!BL63*Calculateur!BN63*VLOOKUP('Données projet'!$B$11,Paramètres!$A$1:$I$89,3,0)*0.475*44/12</f>
        <v>34.283831387481925</v>
      </c>
      <c r="BR63" s="21">
        <f>EXP(-LN(2)/2)*BR62+(1-EXP(-LN(2)/2))/(LN(2)/2)*BL63*BO63*VLOOKUP('Données projet'!$B$11,Paramètres!$A$1:$I$89,3,0)*0.475*44/12</f>
        <v>3.6034506929191057</v>
      </c>
      <c r="BS63" s="22">
        <f t="shared" si="9"/>
        <v>45.672267601604126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233.90639999999991</v>
      </c>
      <c r="CA63" s="13">
        <f t="shared" si="39"/>
        <v>57.126506840778347</v>
      </c>
      <c r="CB63" s="20">
        <f t="shared" si="10"/>
        <v>506.88231274768879</v>
      </c>
      <c r="CC63" s="59">
        <f t="shared" si="11"/>
        <v>800.2156460810221</v>
      </c>
      <c r="CD63" s="59">
        <f ca="1">AVERAGE(OFFSET($CC$3,0,0,'Données projet'!$E$12+1,1))-AVERAGE(OFFSET($H$3,0,0,'Données projet'!$E$12+1,1))</f>
        <v>353.37479213497227</v>
      </c>
      <c r="CE63" s="59">
        <f t="shared" si="40"/>
        <v>345.4750813433123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0.13250000000000001</v>
      </c>
      <c r="CI63" s="16">
        <f>IF(ISNA(VLOOKUP(A63,'Données projet'!$A$113:$I$133,6,0)),0%,VLOOKUP(A63,'Données projet'!$A$113:$I$133,6,0)*VLOOKUP('Données projet'!$B$12,Paramètres!$A$1:$I$89,7,0))</f>
        <v>0.13250000000000001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14.697142738061579</v>
      </c>
      <c r="CL63" s="21">
        <f>EXP(-LN(2)/25)*CL62+(1-EXP(-LN(2)/25))/(LN(2)/25)*Calculateur!CG63*Calculateur!CI63*VLOOKUP('Données projet'!$B$12,Paramètres!$A$1:$I$89,3,0)*0.475*44/12</f>
        <v>16.830732887752983</v>
      </c>
      <c r="CM63" s="21">
        <f>EXP(-LN(2)/2)*CM62+(1-EXP(-LN(2)/2))/(LN(2)/2)*CG63*CJ63*VLOOKUP('Données projet'!$B$12,Paramètres!$A$1:$I$89,3,0)*0.475*44/12</f>
        <v>3.3022494120964314</v>
      </c>
      <c r="CN63" s="22">
        <f t="shared" si="12"/>
        <v>34.830125037910996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435</v>
      </c>
      <c r="CR63" s="12">
        <f>VLOOKUP(A63,'Données projet'!$A$139:$I$159,9,0)</f>
        <v>17.608999999999998</v>
      </c>
      <c r="CS63" s="12">
        <f t="array" ref="CS63">INDEX(CR:CR,MIN(IF(ISNUMBER(CR63:CR259),ROW(CR63:CR259),"")))</f>
        <v>17.608999999999998</v>
      </c>
      <c r="CT63" s="12">
        <f>IF('Données projet'!$A$140&gt;35,CT62+CS63-DB62,IF(A63&lt;'Données projet'!$A$140,$CQ$205^A63,IF(A63='Données projet'!$A$140,'Données projet'!$B$140,CT62+CS63-DB62)))</f>
        <v>434.9999999999996</v>
      </c>
      <c r="CU63" s="17">
        <f>CT63*VLOOKUP('Données projet'!$B$13,Paramètres!$A$1:$I$89,3,0)*VLOOKUP('Données projet'!$B$13,Paramètres!$A$1:$I$89,5,0)</f>
        <v>209.23499999999981</v>
      </c>
      <c r="CV63" s="13">
        <f t="shared" si="41"/>
        <v>51.768378460242701</v>
      </c>
      <c r="CW63" s="20">
        <f t="shared" si="13"/>
        <v>454.58088415158903</v>
      </c>
      <c r="CX63" s="59">
        <f t="shared" si="14"/>
        <v>747.91421748492235</v>
      </c>
      <c r="CY63" s="59">
        <f ca="1">AVERAGE(OFFSET($CX$3,0,0,'Données projet'!$E$13+1,1))-AVERAGE(OFFSET($H$3,0,0,'Données projet'!$E$13+1,1))</f>
        <v>314.18760071409162</v>
      </c>
      <c r="CZ63" s="59">
        <f t="shared" si="42"/>
        <v>267.72650645201787</v>
      </c>
      <c r="DA63" s="15">
        <f>IF(ISNA(VLOOKUP(A63,'Données projet'!$A$139:$I$159,3,0)),0,VLOOKUP(A63,'Données projet'!$A$139:$I$159,3,0))</f>
        <v>2</v>
      </c>
      <c r="DB63" s="15">
        <f>IF(ISNA(VLOOKUP(A63,'Données projet'!$A$139:$I$159,4,0)),0,VLOOKUP(A63,'Données projet'!$A$139:$I$159,4,0))</f>
        <v>144.33999999999997</v>
      </c>
      <c r="DC63" s="16">
        <f>IF(ISNA(VLOOKUP(A63,'Données projet'!$A$139:$I$159,5,0)),0%,VLOOKUP(A63,'Données projet'!$A$139:$I$159,5,0)*VLOOKUP('Données projet'!$B$13,Paramètres!$A$1:$I$89,7,0))</f>
        <v>0.22000000000000003</v>
      </c>
      <c r="DD63" s="16">
        <f>IF(ISNA(VLOOKUP(A63,'Données projet'!$A$139:$I$159,6,0)),0%,VLOOKUP(A63,'Données projet'!$A$139:$I$159,6,0)*VLOOKUP('Données projet'!$B$13,Paramètres!$A$1:$I$89,7,0))</f>
        <v>5.5000000000000007E-2</v>
      </c>
      <c r="DE63" s="16">
        <f>IF(ISNA(VLOOKUP(A63,'Données projet'!$A$139:$I$159,7,0)),0%,VLOOKUP(A63,'Données projet'!$A$139:$I$159,7,0))</f>
        <v>0.1</v>
      </c>
      <c r="DF63" s="21">
        <f>EXP(-LN(2)/35)*DF62+(1-EXP(-LN(2)/35))/(LN(2)/35)*DB63*DC63*VLOOKUP('Données projet'!$B$13,Paramètres!$A$1:$I$89,3,0)*0.475*44/12</f>
        <v>21.752721252118274</v>
      </c>
      <c r="DG63" s="21">
        <f>EXP(-LN(2)/25)*DG62+(1-EXP(-LN(2)/25))/(LN(2)/25)*Calculateur!DB63*Calculateur!DD63*VLOOKUP('Données projet'!$B$13,Paramètres!$A$1:$I$89,3,0)*0.475*44/12</f>
        <v>17.391249733279963</v>
      </c>
      <c r="DH63" s="21">
        <f>EXP(-LN(2)/2)*DH62+(1-EXP(-LN(2)/2))/(LN(2)/2)*DB63*DE63*VLOOKUP('Données projet'!$B$13,Paramètres!$A$1:$I$89,3,0)*0.475*44/12</f>
        <v>8.6539235395687761</v>
      </c>
      <c r="DI63" s="22">
        <f t="shared" si="15"/>
        <v>47.79789452496702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214.03199999999987</v>
      </c>
      <c r="DQ63" s="13">
        <f t="shared" si="43"/>
        <v>52.815701536972192</v>
      </c>
      <c r="DR63" s="20">
        <f t="shared" si="16"/>
        <v>464.7597468435597</v>
      </c>
      <c r="DS63" s="59">
        <f t="shared" si="17"/>
        <v>758.09308017689295</v>
      </c>
      <c r="DT63" s="59">
        <f ca="1">AVERAGE(OFFSET($DS$3,0,0,'Données projet'!$E$14+1,1))-AVERAGE(OFFSET($H$3,0,0,'Données projet'!$E$14+1,1))</f>
        <v>324.86930206492627</v>
      </c>
      <c r="DU63" s="59">
        <f t="shared" si="44"/>
        <v>317.03005098025352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0.13250000000000001</v>
      </c>
      <c r="DY63" s="16">
        <f>IF(ISNA(VLOOKUP(A63,'Données projet'!$A$165:$I$185,6,0)),0%,VLOOKUP(A63,'Données projet'!$A$165:$I$185,6,0)*VLOOKUP('Données projet'!$B$14,Paramètres!$A$1:$I$89,7,0))</f>
        <v>0.13250000000000001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11.513217144258466</v>
      </c>
      <c r="EB63" s="21">
        <f>EXP(-LN(2)/25)*EB62+(1-EXP(-LN(2)/25))/(LN(2)/25)*Calculateur!DW63*Calculateur!DY63*VLOOKUP('Données projet'!$B$14,Paramètres!$A$1:$I$89,3,0)*0.475*44/12</f>
        <v>14.930137446020712</v>
      </c>
      <c r="EC63" s="21">
        <f>EXP(-LN(2)/2)*EC62+(1-EXP(-LN(2)/2))/(LN(2)/2)*DW63*DZ63*VLOOKUP('Données projet'!$B$14,Paramètres!$A$1:$I$89,3,0)*0.475*44/12</f>
        <v>3.0877163342401959</v>
      </c>
      <c r="ED63" s="22">
        <f t="shared" si="18"/>
        <v>29.531070924519373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302.00825291248458</v>
      </c>
      <c r="T64" s="59">
        <f t="shared" si="34"/>
        <v>307.35115839449355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136.14597039534692</v>
      </c>
      <c r="AA64" s="21">
        <f>EXP(-LN(2)/25)*AA63+(1-EXP(-LN(2)/25))/(LN(2)/25)*Calculateur!V64*Calculateur!X64*VLOOKUP('Données projet'!$B$9,Paramètres!$A$1:$I$89,3,0)*0.475*44/12</f>
        <v>47.115909258223546</v>
      </c>
      <c r="AB64" s="21">
        <f>EXP(-LN(2)/2)*AB63+(1-EXP(-LN(2)/2))/(LN(2)/2)*V64*Y64*VLOOKUP('Données projet'!$B$9,Paramètres!$A$1:$I$89,3,0)*0.475*44/12</f>
        <v>42.399142830122607</v>
      </c>
      <c r="AC64" s="22">
        <f t="shared" si="3"/>
        <v>225.66102248369307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18.600000000000001</v>
      </c>
      <c r="AI64" s="13">
        <f>IF('Données projet'!$A$62&gt;35,AI63+AH64-AQ63,IF(A64&lt;'Données projet'!$A$62,$AF$205^A64,IF(A64='Données projet'!$A$62,'Données projet'!$B$62,AI63+AH64-AQ63)))</f>
        <v>599.59999999999991</v>
      </c>
      <c r="AJ64" s="13">
        <f>AI64*VLOOKUP('Données projet'!$B$10,Paramètres!$A$1:$I$89,3,0)*VLOOKUP('Données projet'!$B$10,Paramètres!$A$1:$I$89,5,0)</f>
        <v>265.02319999999997</v>
      </c>
      <c r="AK64" s="13">
        <f t="shared" si="35"/>
        <v>63.791925803293047</v>
      </c>
      <c r="AL64" s="20">
        <f t="shared" si="4"/>
        <v>572.68634410740208</v>
      </c>
      <c r="AM64" s="59">
        <f t="shared" si="5"/>
        <v>866.01967744073545</v>
      </c>
      <c r="AN64" s="59">
        <f ca="1">AVERAGE(OFFSET($AM$3,0,0,'Données projet'!$E$10+1,1))-AVERAGE(OFFSET($H$3,0,0,'Données projet'!$E$10+1,1))</f>
        <v>394.37446333077651</v>
      </c>
      <c r="AO64" s="59">
        <f t="shared" si="36"/>
        <v>335.44327961212963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50.850083375725106</v>
      </c>
      <c r="AV64" s="21">
        <f>EXP(-LN(2)/25)*AV63+(1-EXP(-LN(2)/25))/(LN(2)/25)*Calculateur!AQ64*Calculateur!AS64*VLOOKUP('Données projet'!$B$10,Paramètres!$A$1:$I$89,3,0)*0.475*44/12</f>
        <v>26.101070006367856</v>
      </c>
      <c r="AW64" s="21">
        <f>EXP(-LN(2)/2)*AW63+(1-EXP(-LN(2)/2))/(LN(2)/2)*AQ64*AT64*VLOOKUP('Données projet'!$B$10,Paramètres!$A$1:$I$89,3,0)*0.475*44/12</f>
        <v>4.6756917472022881</v>
      </c>
      <c r="AX64" s="21">
        <f t="shared" si="6"/>
        <v>81.626845129295262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8.5662500000000001</v>
      </c>
      <c r="BD64" s="12">
        <f>IF('Données projet'!$A$88&gt;35,BD63+BC64-BL63,IF(A64&lt;'Données projet'!$A$88,$BA$205^A64,IF(A64='Données projet'!$A$88,'Données projet'!$B$88,BD63+BC64-BL63)))</f>
        <v>181.68250000000029</v>
      </c>
      <c r="BE64" s="13">
        <f>BD64*VLOOKUP('Données projet'!$B$11,Paramètres!$A$1:$I$89,3,0)*VLOOKUP('Données projet'!$B$11,Paramètres!$A$1:$I$89,5,0)</f>
        <v>164.38632600000025</v>
      </c>
      <c r="BF64" s="13">
        <f t="shared" si="37"/>
        <v>41.830300823322531</v>
      </c>
      <c r="BG64" s="20">
        <f t="shared" si="7"/>
        <v>359.16062505062047</v>
      </c>
      <c r="BH64" s="59">
        <f t="shared" si="8"/>
        <v>652.49395838395378</v>
      </c>
      <c r="BI64" s="59">
        <f ca="1">AVERAGE(OFFSET($BH$3,0,0,'Données projet'!$E$11+1,1))-AVERAGE(OFFSET($H$3,0,0,'Données projet'!$E$11+1,1))</f>
        <v>490.06222615476065</v>
      </c>
      <c r="BJ64" s="59">
        <f t="shared" si="38"/>
        <v>310.43914804089906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7.6323267035046118</v>
      </c>
      <c r="BQ64" s="21">
        <f>EXP(-LN(2)/25)*BQ63+(1-EXP(-LN(2)/25))/(LN(2)/25)*Calculateur!BL64*Calculateur!BN64*VLOOKUP('Données projet'!$B$11,Paramètres!$A$1:$I$89,3,0)*0.475*44/12</f>
        <v>33.346338215282898</v>
      </c>
      <c r="BR64" s="21">
        <f>EXP(-LN(2)/2)*BR63+(1-EXP(-LN(2)/2))/(LN(2)/2)*BL64*BO64*VLOOKUP('Données projet'!$B$11,Paramètres!$A$1:$I$89,3,0)*0.475*44/12</f>
        <v>2.5480244206344631</v>
      </c>
      <c r="BS64" s="22">
        <f t="shared" si="9"/>
        <v>43.526689339421971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226.90511999999993</v>
      </c>
      <c r="CA64" s="13">
        <f t="shared" si="39"/>
        <v>55.612969408444364</v>
      </c>
      <c r="CB64" s="20">
        <f t="shared" si="10"/>
        <v>492.05233905304044</v>
      </c>
      <c r="CC64" s="59">
        <f t="shared" si="11"/>
        <v>785.3856723863737</v>
      </c>
      <c r="CD64" s="59">
        <f ca="1">AVERAGE(OFFSET($CC$3,0,0,'Données projet'!$E$12+1,1))-AVERAGE(OFFSET($H$3,0,0,'Données projet'!$E$12+1,1))</f>
        <v>353.37479213497227</v>
      </c>
      <c r="CE64" s="59">
        <f t="shared" si="40"/>
        <v>345.4750813433123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14.408940733340105</v>
      </c>
      <c r="CL64" s="21">
        <f>EXP(-LN(2)/25)*CL63+(1-EXP(-LN(2)/25))/(LN(2)/25)*Calculateur!CG64*Calculateur!CI64*VLOOKUP('Données projet'!$B$12,Paramètres!$A$1:$I$89,3,0)*0.475*44/12</f>
        <v>16.370495611847602</v>
      </c>
      <c r="CM64" s="21">
        <f>EXP(-LN(2)/2)*CM63+(1-EXP(-LN(2)/2))/(LN(2)/2)*CG64*CJ64*VLOOKUP('Données projet'!$B$12,Paramètres!$A$1:$I$89,3,0)*0.475*44/12</f>
        <v>2.3350429524626768</v>
      </c>
      <c r="CN64" s="22">
        <f t="shared" si="12"/>
        <v>33.114479297650384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13.888</v>
      </c>
      <c r="CT64" s="12">
        <f>IF('Données projet'!$A$140&gt;35,CT63+CS64-DB63,IF(A64&lt;'Données projet'!$A$140,$CQ$205^A64,IF(A64='Données projet'!$A$140,'Données projet'!$B$140,CT63+CS64-DB63)))</f>
        <v>304.5479999999996</v>
      </c>
      <c r="CU64" s="17">
        <f>CT64*VLOOKUP('Données projet'!$B$13,Paramètres!$A$1:$I$89,3,0)*VLOOKUP('Données projet'!$B$13,Paramètres!$A$1:$I$89,5,0)</f>
        <v>146.48758799999982</v>
      </c>
      <c r="CV64" s="13">
        <f t="shared" si="41"/>
        <v>37.779279980946171</v>
      </c>
      <c r="CW64" s="20">
        <f t="shared" si="13"/>
        <v>320.93146173348089</v>
      </c>
      <c r="CX64" s="59">
        <f t="shared" si="14"/>
        <v>614.26479506681426</v>
      </c>
      <c r="CY64" s="59">
        <f ca="1">AVERAGE(OFFSET($CX$3,0,0,'Données projet'!$E$13+1,1))-AVERAGE(OFFSET($H$3,0,0,'Données projet'!$E$13+1,1))</f>
        <v>314.18760071409162</v>
      </c>
      <c r="CZ64" s="59">
        <f t="shared" si="42"/>
        <v>267.72650645201787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21.326163656214106</v>
      </c>
      <c r="DG64" s="21">
        <f>EXP(-LN(2)/25)*DG63+(1-EXP(-LN(2)/25))/(LN(2)/25)*Calculateur!DB64*Calculateur!DD64*VLOOKUP('Données projet'!$B$13,Paramètres!$A$1:$I$89,3,0)*0.475*44/12</f>
        <v>16.915685094757347</v>
      </c>
      <c r="DH64" s="21">
        <f>EXP(-LN(2)/2)*DH63+(1-EXP(-LN(2)/2))/(LN(2)/2)*DB64*DE64*VLOOKUP('Données projet'!$B$13,Paramètres!$A$1:$I$89,3,0)*0.475*44/12</f>
        <v>6.1192480186989719</v>
      </c>
      <c r="DI64" s="22">
        <f t="shared" si="15"/>
        <v>44.361096769670425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207.39263999999989</v>
      </c>
      <c r="DQ64" s="13">
        <f t="shared" si="43"/>
        <v>51.365398298247158</v>
      </c>
      <c r="DR64" s="20">
        <f t="shared" si="16"/>
        <v>450.67025003611349</v>
      </c>
      <c r="DS64" s="59">
        <f t="shared" si="17"/>
        <v>744.0035833694468</v>
      </c>
      <c r="DT64" s="59">
        <f ca="1">AVERAGE(OFFSET($DS$3,0,0,'Données projet'!$E$14+1,1))-AVERAGE(OFFSET($H$3,0,0,'Données projet'!$E$14+1,1))</f>
        <v>324.86930206492627</v>
      </c>
      <c r="DU64" s="59">
        <f t="shared" si="44"/>
        <v>317.03005098025352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11.287449978428613</v>
      </c>
      <c r="EB64" s="21">
        <f>EXP(-LN(2)/25)*EB63+(1-EXP(-LN(2)/25))/(LN(2)/25)*Calculateur!DW64*Calculateur!DY64*VLOOKUP('Données projet'!$B$14,Paramètres!$A$1:$I$89,3,0)*0.475*44/12</f>
        <v>14.521872052417471</v>
      </c>
      <c r="EC64" s="21">
        <f>EXP(-LN(2)/2)*EC63+(1-EXP(-LN(2)/2))/(LN(2)/2)*DW64*DZ64*VLOOKUP('Données projet'!$B$14,Paramètres!$A$1:$I$89,3,0)*0.475*44/12</f>
        <v>2.1833451583217109</v>
      </c>
      <c r="ED64" s="22">
        <f t="shared" si="18"/>
        <v>27.992667189167793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302.00825291248458</v>
      </c>
      <c r="T65" s="59">
        <f t="shared" si="34"/>
        <v>307.35115839449355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133.47623095673652</v>
      </c>
      <c r="AA65" s="21">
        <f>EXP(-LN(2)/25)*AA64+(1-EXP(-LN(2)/25))/(LN(2)/25)*Calculateur!V65*Calculateur!X65*VLOOKUP('Données projet'!$B$9,Paramètres!$A$1:$I$89,3,0)*0.475*44/12</f>
        <v>45.827522241839439</v>
      </c>
      <c r="AB65" s="21">
        <f>EXP(-LN(2)/2)*AB64+(1-EXP(-LN(2)/2))/(LN(2)/2)*V65*Y65*VLOOKUP('Données projet'!$B$9,Paramètres!$A$1:$I$89,3,0)*0.475*44/12</f>
        <v>29.980721411676683</v>
      </c>
      <c r="AC65" s="22">
        <f t="shared" si="3"/>
        <v>209.28447461025263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18.600000000000001</v>
      </c>
      <c r="AI65" s="13">
        <f>IF('Données projet'!$A$62&gt;35,AI64+AH65-AQ64,IF(A65&lt;'Données projet'!$A$62,$AF$205^A65,IF(A65='Données projet'!$A$62,'Données projet'!$B$62,AI64+AH65-AQ64)))</f>
        <v>618.19999999999993</v>
      </c>
      <c r="AJ65" s="13">
        <f>AI65*VLOOKUP('Données projet'!$B$10,Paramètres!$A$1:$I$89,3,0)*VLOOKUP('Données projet'!$B$10,Paramètres!$A$1:$I$89,5,0)</f>
        <v>273.24439999999998</v>
      </c>
      <c r="AK65" s="13">
        <f t="shared" si="35"/>
        <v>65.537333458790869</v>
      </c>
      <c r="AL65" s="20">
        <f t="shared" si="4"/>
        <v>590.04485244072748</v>
      </c>
      <c r="AM65" s="59">
        <f t="shared" si="5"/>
        <v>883.37818577406074</v>
      </c>
      <c r="AN65" s="59">
        <f ca="1">AVERAGE(OFFSET($AM$3,0,0,'Données projet'!$E$10+1,1))-AVERAGE(OFFSET($H$3,0,0,'Données projet'!$E$10+1,1))</f>
        <v>394.37446333077651</v>
      </c>
      <c r="AO65" s="59">
        <f t="shared" si="36"/>
        <v>335.44327961212963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49.852944256215473</v>
      </c>
      <c r="AV65" s="21">
        <f>EXP(-LN(2)/25)*AV64+(1-EXP(-LN(2)/25))/(LN(2)/25)*Calculateur!AQ65*Calculateur!AS65*VLOOKUP('Données projet'!$B$10,Paramètres!$A$1:$I$89,3,0)*0.475*44/12</f>
        <v>25.387334874448111</v>
      </c>
      <c r="AW65" s="21">
        <f>EXP(-LN(2)/2)*AW64+(1-EXP(-LN(2)/2))/(LN(2)/2)*AQ65*AT65*VLOOKUP('Données projet'!$B$10,Paramètres!$A$1:$I$89,3,0)*0.475*44/12</f>
        <v>3.3062133411847148</v>
      </c>
      <c r="AX65" s="21">
        <f t="shared" si="6"/>
        <v>78.546492471848296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8.5662500000000001</v>
      </c>
      <c r="BD65" s="12">
        <f>IF('Données projet'!$A$88&gt;35,BD64+BC65-BL64,IF(A65&lt;'Données projet'!$A$88,$BA$205^A65,IF(A65='Données projet'!$A$88,'Données projet'!$B$88,BD64+BC65-BL64)))</f>
        <v>190.24875000000029</v>
      </c>
      <c r="BE65" s="13">
        <f>BD65*VLOOKUP('Données projet'!$B$11,Paramètres!$A$1:$I$89,3,0)*VLOOKUP('Données projet'!$B$11,Paramètres!$A$1:$I$89,5,0)</f>
        <v>172.13706900000025</v>
      </c>
      <c r="BF65" s="13">
        <f t="shared" si="37"/>
        <v>43.5683073950158</v>
      </c>
      <c r="BG65" s="20">
        <f t="shared" si="7"/>
        <v>375.68686388798625</v>
      </c>
      <c r="BH65" s="59">
        <f t="shared" si="8"/>
        <v>669.02019722131956</v>
      </c>
      <c r="BI65" s="59">
        <f ca="1">AVERAGE(OFFSET($BH$3,0,0,'Données projet'!$E$11+1,1))-AVERAGE(OFFSET($H$3,0,0,'Données projet'!$E$11+1,1))</f>
        <v>490.06222615476065</v>
      </c>
      <c r="BJ65" s="59">
        <f t="shared" si="38"/>
        <v>310.43914804089906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7.4826614321085065</v>
      </c>
      <c r="BQ65" s="21">
        <f>EXP(-LN(2)/25)*BQ64+(1-EXP(-LN(2)/25))/(LN(2)/25)*Calculateur!BL65*Calculateur!BN65*VLOOKUP('Données projet'!$B$11,Paramètres!$A$1:$I$89,3,0)*0.475*44/12</f>
        <v>32.434480843178278</v>
      </c>
      <c r="BR65" s="21">
        <f>EXP(-LN(2)/2)*BR64+(1-EXP(-LN(2)/2))/(LN(2)/2)*BL65*BO65*VLOOKUP('Données projet'!$B$11,Paramètres!$A$1:$I$89,3,0)*0.475*44/12</f>
        <v>1.8017253464595528</v>
      </c>
      <c r="BS65" s="22">
        <f t="shared" si="9"/>
        <v>41.718867621746341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231.04223999999991</v>
      </c>
      <c r="CA65" s="13">
        <f t="shared" si="39"/>
        <v>56.507978852931409</v>
      </c>
      <c r="CB65" s="20">
        <f t="shared" si="10"/>
        <v>500.81663116885539</v>
      </c>
      <c r="CC65" s="59">
        <f t="shared" si="11"/>
        <v>794.14996450218871</v>
      </c>
      <c r="CD65" s="59">
        <f ca="1">AVERAGE(OFFSET($CC$3,0,0,'Données projet'!$E$12+1,1))-AVERAGE(OFFSET($H$3,0,0,'Données projet'!$E$12+1,1))</f>
        <v>353.37479213497227</v>
      </c>
      <c r="CE65" s="59">
        <f t="shared" si="40"/>
        <v>345.4750813433123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14.126390194145351</v>
      </c>
      <c r="CL65" s="21">
        <f>EXP(-LN(2)/25)*CL64+(1-EXP(-LN(2)/25))/(LN(2)/25)*Calculateur!CG65*Calculateur!CI65*VLOOKUP('Données projet'!$B$12,Paramètres!$A$1:$I$89,3,0)*0.475*44/12</f>
        <v>15.922843548454681</v>
      </c>
      <c r="CM65" s="21">
        <f>EXP(-LN(2)/2)*CM64+(1-EXP(-LN(2)/2))/(LN(2)/2)*CG65*CJ65*VLOOKUP('Données projet'!$B$12,Paramètres!$A$1:$I$89,3,0)*0.475*44/12</f>
        <v>1.6511247060482159</v>
      </c>
      <c r="CN65" s="22">
        <f t="shared" si="12"/>
        <v>31.700358448648245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13.888</v>
      </c>
      <c r="CT65" s="12">
        <f>IF('Données projet'!$A$140&gt;35,CT64+CS65-DB64,IF(A65&lt;'Données projet'!$A$140,$CQ$205^A65,IF(A65='Données projet'!$A$140,'Données projet'!$B$140,CT64+CS65-DB64)))</f>
        <v>318.43599999999958</v>
      </c>
      <c r="CU65" s="17">
        <f>CT65*VLOOKUP('Données projet'!$B$13,Paramètres!$A$1:$I$89,3,0)*VLOOKUP('Données projet'!$B$13,Paramètres!$A$1:$I$89,5,0)</f>
        <v>153.16771599999981</v>
      </c>
      <c r="CV65" s="13">
        <f t="shared" si="41"/>
        <v>39.297582546051103</v>
      </c>
      <c r="CW65" s="20">
        <f t="shared" si="13"/>
        <v>335.21039496770533</v>
      </c>
      <c r="CX65" s="59">
        <f t="shared" si="14"/>
        <v>628.54372830103864</v>
      </c>
      <c r="CY65" s="59">
        <f ca="1">AVERAGE(OFFSET($CX$3,0,0,'Données projet'!$E$13+1,1))-AVERAGE(OFFSET($H$3,0,0,'Données projet'!$E$13+1,1))</f>
        <v>314.18760071409162</v>
      </c>
      <c r="CZ65" s="59">
        <f t="shared" si="42"/>
        <v>267.72650645201787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20.907970594591177</v>
      </c>
      <c r="DG65" s="21">
        <f>EXP(-LN(2)/25)*DG64+(1-EXP(-LN(2)/25))/(LN(2)/25)*Calculateur!DB65*Calculateur!DD65*VLOOKUP('Données projet'!$B$13,Paramètres!$A$1:$I$89,3,0)*0.475*44/12</f>
        <v>16.453124796283991</v>
      </c>
      <c r="DH65" s="21">
        <f>EXP(-LN(2)/2)*DH64+(1-EXP(-LN(2)/2))/(LN(2)/2)*DB65*DE65*VLOOKUP('Données projet'!$B$13,Paramètres!$A$1:$I$89,3,0)*0.475*44/12</f>
        <v>4.326961769784389</v>
      </c>
      <c r="DI65" s="22">
        <f t="shared" si="15"/>
        <v>41.688057160659554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211.23647999999989</v>
      </c>
      <c r="DQ65" s="13">
        <f t="shared" si="43"/>
        <v>52.205695296687686</v>
      </c>
      <c r="DR65" s="20">
        <f t="shared" si="16"/>
        <v>458.82845530839751</v>
      </c>
      <c r="DS65" s="59">
        <f t="shared" si="17"/>
        <v>752.16178864173082</v>
      </c>
      <c r="DT65" s="59">
        <f ca="1">AVERAGE(OFFSET($DS$3,0,0,'Données projet'!$E$14+1,1))-AVERAGE(OFFSET($H$3,0,0,'Données projet'!$E$14+1,1))</f>
        <v>324.86930206492627</v>
      </c>
      <c r="DU65" s="59">
        <f t="shared" si="44"/>
        <v>317.03005098025352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11.066109969016312</v>
      </c>
      <c r="EB65" s="21">
        <f>EXP(-LN(2)/25)*EB64+(1-EXP(-LN(2)/25))/(LN(2)/25)*Calculateur!DW65*Calculateur!DY65*VLOOKUP('Données projet'!$B$14,Paramètres!$A$1:$I$89,3,0)*0.475*44/12</f>
        <v>14.124770697472055</v>
      </c>
      <c r="EC65" s="21">
        <f>EXP(-LN(2)/2)*EC64+(1-EXP(-LN(2)/2))/(LN(2)/2)*DW65*DZ65*VLOOKUP('Données projet'!$B$14,Paramètres!$A$1:$I$89,3,0)*0.475*44/12</f>
        <v>1.5438581671200982</v>
      </c>
      <c r="ED65" s="22">
        <f t="shared" si="18"/>
        <v>26.734738833608468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302.00825291248458</v>
      </c>
      <c r="T66" s="59">
        <f t="shared" si="34"/>
        <v>307.35115839449355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130.85884348013698</v>
      </c>
      <c r="AA66" s="21">
        <f>EXP(-LN(2)/25)*AA65+(1-EXP(-LN(2)/25))/(LN(2)/25)*Calculateur!V66*Calculateur!X66*VLOOKUP('Données projet'!$B$9,Paramètres!$A$1:$I$89,3,0)*0.475*44/12</f>
        <v>44.574366236171684</v>
      </c>
      <c r="AB66" s="21">
        <f>EXP(-LN(2)/2)*AB65+(1-EXP(-LN(2)/2))/(LN(2)/2)*V66*Y66*VLOOKUP('Données projet'!$B$9,Paramètres!$A$1:$I$89,3,0)*0.475*44/12</f>
        <v>21.199571415061307</v>
      </c>
      <c r="AC66" s="22">
        <f t="shared" si="3"/>
        <v>196.63278113137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18.600000000000001</v>
      </c>
      <c r="AI66" s="13">
        <f>IF('Données projet'!$A$62&gt;35,AI65+AH66-AQ65,IF(A66&lt;'Données projet'!$A$62,$AF$205^A66,IF(A66='Données projet'!$A$62,'Données projet'!$B$62,AI65+AH66-AQ65)))</f>
        <v>636.79999999999995</v>
      </c>
      <c r="AJ66" s="13">
        <f>AI66*VLOOKUP('Données projet'!$B$10,Paramètres!$A$1:$I$89,3,0)*VLOOKUP('Données projet'!$B$10,Paramètres!$A$1:$I$89,5,0)</f>
        <v>281.46559999999999</v>
      </c>
      <c r="AK66" s="13">
        <f t="shared" si="35"/>
        <v>67.276638122675294</v>
      </c>
      <c r="AL66" s="20">
        <f t="shared" si="4"/>
        <v>607.39273139699276</v>
      </c>
      <c r="AM66" s="59">
        <f t="shared" si="5"/>
        <v>900.72606473032602</v>
      </c>
      <c r="AN66" s="59">
        <f ca="1">AVERAGE(OFFSET($AM$3,0,0,'Données projet'!$E$10+1,1))-AVERAGE(OFFSET($H$3,0,0,'Données projet'!$E$10+1,1))</f>
        <v>394.37446333077651</v>
      </c>
      <c r="AO66" s="59">
        <f t="shared" si="36"/>
        <v>335.44327961212963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48.87535842664461</v>
      </c>
      <c r="AV66" s="21">
        <f>EXP(-LN(2)/25)*AV65+(1-EXP(-LN(2)/25))/(LN(2)/25)*Calculateur!AQ66*Calculateur!AS66*VLOOKUP('Données projet'!$B$10,Paramètres!$A$1:$I$89,3,0)*0.475*44/12</f>
        <v>24.693116867244409</v>
      </c>
      <c r="AW66" s="21">
        <f>EXP(-LN(2)/2)*AW65+(1-EXP(-LN(2)/2))/(LN(2)/2)*AQ66*AT66*VLOOKUP('Données projet'!$B$10,Paramètres!$A$1:$I$89,3,0)*0.475*44/12</f>
        <v>2.3378458736011445</v>
      </c>
      <c r="AX66" s="21">
        <f t="shared" si="6"/>
        <v>75.906321167490162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8.5662500000000001</v>
      </c>
      <c r="BD66" s="12">
        <f>IF('Données projet'!$A$88&gt;35,BD65+BC66-BL65,IF(A66&lt;'Données projet'!$A$88,$BA$205^A66,IF(A66='Données projet'!$A$88,'Données projet'!$B$88,BD65+BC66-BL65)))</f>
        <v>198.81500000000028</v>
      </c>
      <c r="BE66" s="13">
        <f>BD66*VLOOKUP('Données projet'!$B$11,Paramètres!$A$1:$I$89,3,0)*VLOOKUP('Données projet'!$B$11,Paramètres!$A$1:$I$89,5,0)</f>
        <v>179.88781200000022</v>
      </c>
      <c r="BF66" s="13">
        <f t="shared" si="37"/>
        <v>45.297225497901827</v>
      </c>
      <c r="BG66" s="20">
        <f t="shared" si="7"/>
        <v>392.19727364217937</v>
      </c>
      <c r="BH66" s="59">
        <f t="shared" si="8"/>
        <v>685.53060697551268</v>
      </c>
      <c r="BI66" s="59">
        <f ca="1">AVERAGE(OFFSET($BH$3,0,0,'Données projet'!$E$11+1,1))-AVERAGE(OFFSET($H$3,0,0,'Données projet'!$E$11+1,1))</f>
        <v>490.06222615476065</v>
      </c>
      <c r="BJ66" s="59">
        <f t="shared" si="38"/>
        <v>310.43914804089906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7.3359310053976774</v>
      </c>
      <c r="BQ66" s="21">
        <f>EXP(-LN(2)/25)*BQ65+(1-EXP(-LN(2)/25))/(LN(2)/25)*Calculateur!BL66*Calculateur!BN66*VLOOKUP('Données projet'!$B$11,Paramètres!$A$1:$I$89,3,0)*0.475*44/12</f>
        <v>31.547558258866349</v>
      </c>
      <c r="BR66" s="21">
        <f>EXP(-LN(2)/2)*BR65+(1-EXP(-LN(2)/2))/(LN(2)/2)*BL66*BO66*VLOOKUP('Données projet'!$B$11,Paramètres!$A$1:$I$89,3,0)*0.475*44/12</f>
        <v>1.2740122103172316</v>
      </c>
      <c r="BS66" s="22">
        <f t="shared" si="9"/>
        <v>40.15750147458126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235.17935999999989</v>
      </c>
      <c r="CA66" s="13">
        <f t="shared" si="39"/>
        <v>57.401124668909425</v>
      </c>
      <c r="CB66" s="20">
        <f t="shared" si="10"/>
        <v>509.57767746501708</v>
      </c>
      <c r="CC66" s="59">
        <f t="shared" si="11"/>
        <v>802.91101079835039</v>
      </c>
      <c r="CD66" s="59">
        <f ca="1">AVERAGE(OFFSET($CC$3,0,0,'Données projet'!$E$12+1,1))-AVERAGE(OFFSET($H$3,0,0,'Données projet'!$E$12+1,1))</f>
        <v>353.37479213497227</v>
      </c>
      <c r="CE66" s="59">
        <f t="shared" si="40"/>
        <v>345.4750813433123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13.849380298685395</v>
      </c>
      <c r="CL66" s="21">
        <f>EXP(-LN(2)/25)*CL65+(1-EXP(-LN(2)/25))/(LN(2)/25)*Calculateur!CG66*Calculateur!CI66*VLOOKUP('Données projet'!$B$12,Paramètres!$A$1:$I$89,3,0)*0.475*44/12</f>
        <v>15.487432554276237</v>
      </c>
      <c r="CM66" s="21">
        <f>EXP(-LN(2)/2)*CM65+(1-EXP(-LN(2)/2))/(LN(2)/2)*CG66*CJ66*VLOOKUP('Données projet'!$B$12,Paramètres!$A$1:$I$89,3,0)*0.475*44/12</f>
        <v>1.1675214762313384</v>
      </c>
      <c r="CN66" s="22">
        <f t="shared" si="12"/>
        <v>30.504334329192972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13.888</v>
      </c>
      <c r="CT66" s="12">
        <f>IF('Données projet'!$A$140&gt;35,CT65+CS66-DB65,IF(A66&lt;'Données projet'!$A$140,$CQ$205^A66,IF(A66='Données projet'!$A$140,'Données projet'!$B$140,CT65+CS66-DB65)))</f>
        <v>332.32399999999956</v>
      </c>
      <c r="CU66" s="17">
        <f>CT66*VLOOKUP('Données projet'!$B$13,Paramètres!$A$1:$I$89,3,0)*VLOOKUP('Données projet'!$B$13,Paramètres!$A$1:$I$89,5,0)</f>
        <v>159.84784399999978</v>
      </c>
      <c r="CV66" s="13">
        <f t="shared" si="41"/>
        <v>40.808194296048484</v>
      </c>
      <c r="CW66" s="20">
        <f t="shared" si="13"/>
        <v>349.47593336561744</v>
      </c>
      <c r="CX66" s="59">
        <f t="shared" si="14"/>
        <v>642.80926669895075</v>
      </c>
      <c r="CY66" s="59">
        <f ca="1">AVERAGE(OFFSET($CX$3,0,0,'Données projet'!$E$13+1,1))-AVERAGE(OFFSET($H$3,0,0,'Données projet'!$E$13+1,1))</f>
        <v>314.18760071409162</v>
      </c>
      <c r="CZ66" s="59">
        <f t="shared" si="42"/>
        <v>267.72650645201787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20.497978043834092</v>
      </c>
      <c r="DG66" s="21">
        <f>EXP(-LN(2)/25)*DG65+(1-EXP(-LN(2)/25))/(LN(2)/25)*Calculateur!DB66*Calculateur!DD66*VLOOKUP('Données projet'!$B$13,Paramètres!$A$1:$I$89,3,0)*0.475*44/12</f>
        <v>16.003213233497377</v>
      </c>
      <c r="DH66" s="21">
        <f>EXP(-LN(2)/2)*DH65+(1-EXP(-LN(2)/2))/(LN(2)/2)*DB66*DE66*VLOOKUP('Données projet'!$B$13,Paramètres!$A$1:$I$89,3,0)*0.475*44/12</f>
        <v>3.0596240093494864</v>
      </c>
      <c r="DI66" s="22">
        <f t="shared" si="15"/>
        <v>39.560815286680956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215.08031999999989</v>
      </c>
      <c r="DQ66" s="13">
        <f t="shared" si="43"/>
        <v>53.044214230061456</v>
      </c>
      <c r="DR66" s="20">
        <f t="shared" si="16"/>
        <v>466.98356378402349</v>
      </c>
      <c r="DS66" s="59">
        <f t="shared" si="17"/>
        <v>760.3168971173568</v>
      </c>
      <c r="DT66" s="59">
        <f ca="1">AVERAGE(OFFSET($DS$3,0,0,'Données projet'!$E$14+1,1))-AVERAGE(OFFSET($H$3,0,0,'Données projet'!$E$14+1,1))</f>
        <v>324.86930206492627</v>
      </c>
      <c r="DU66" s="59">
        <f t="shared" si="44"/>
        <v>317.03005098025352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10.84911030218451</v>
      </c>
      <c r="EB66" s="21">
        <f>EXP(-LN(2)/25)*EB65+(1-EXP(-LN(2)/25))/(LN(2)/25)*Calculateur!DW66*Calculateur!DY66*VLOOKUP('Données projet'!$B$14,Paramètres!$A$1:$I$89,3,0)*0.475*44/12</f>
        <v>13.738528099960273</v>
      </c>
      <c r="EC66" s="21">
        <f>EXP(-LN(2)/2)*EC65+(1-EXP(-LN(2)/2))/(LN(2)/2)*DW66*DZ66*VLOOKUP('Données projet'!$B$14,Paramètres!$A$1:$I$89,3,0)*0.475*44/12</f>
        <v>1.0916725791608557</v>
      </c>
      <c r="ED66" s="22">
        <f t="shared" si="18"/>
        <v>25.67931098130564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302.00825291248458</v>
      </c>
      <c r="T67" s="59">
        <f t="shared" si="34"/>
        <v>307.35115839449355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128.29278137550483</v>
      </c>
      <c r="AA67" s="21">
        <f>EXP(-LN(2)/25)*AA66+(1-EXP(-LN(2)/25))/(LN(2)/25)*Calculateur!V67*Calculateur!X67*VLOOKUP('Données projet'!$B$9,Paramètres!$A$1:$I$89,3,0)*0.475*44/12</f>
        <v>43.355477847379525</v>
      </c>
      <c r="AB67" s="21">
        <f>EXP(-LN(2)/2)*AB66+(1-EXP(-LN(2)/2))/(LN(2)/2)*V67*Y67*VLOOKUP('Données projet'!$B$9,Paramètres!$A$1:$I$89,3,0)*0.475*44/12</f>
        <v>14.990360705838345</v>
      </c>
      <c r="AC67" s="22">
        <f t="shared" si="3"/>
        <v>186.6386199287227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18.600000000000001</v>
      </c>
      <c r="AI67" s="13">
        <f>IF('Données projet'!$A$62&gt;35,AI66+AH67-AQ66,IF(A67&lt;'Données projet'!$A$62,$AF$205^A67,IF(A67='Données projet'!$A$62,'Données projet'!$B$62,AI66+AH67-AQ66)))</f>
        <v>655.4</v>
      </c>
      <c r="AJ67" s="13">
        <f>AI67*VLOOKUP('Données projet'!$B$10,Paramètres!$A$1:$I$89,3,0)*VLOOKUP('Données projet'!$B$10,Paramètres!$A$1:$I$89,5,0)</f>
        <v>289.68680000000001</v>
      </c>
      <c r="AK67" s="13">
        <f t="shared" si="35"/>
        <v>69.010038523202823</v>
      </c>
      <c r="AL67" s="20">
        <f t="shared" si="4"/>
        <v>624.73032709457823</v>
      </c>
      <c r="AM67" s="59">
        <f t="shared" si="5"/>
        <v>918.0636604279116</v>
      </c>
      <c r="AN67" s="59">
        <f ca="1">AVERAGE(OFFSET($AM$3,0,0,'Données projet'!$E$10+1,1))-AVERAGE(OFFSET($H$3,0,0,'Données projet'!$E$10+1,1))</f>
        <v>394.37446333077651</v>
      </c>
      <c r="AO67" s="59">
        <f t="shared" si="36"/>
        <v>335.44327961212963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47.916942458923153</v>
      </c>
      <c r="AV67" s="21">
        <f>EXP(-LN(2)/25)*AV66+(1-EXP(-LN(2)/25))/(LN(2)/25)*Calculateur!AQ67*Calculateur!AS67*VLOOKUP('Données projet'!$B$10,Paramètres!$A$1:$I$89,3,0)*0.475*44/12</f>
        <v>24.017882287955032</v>
      </c>
      <c r="AW67" s="21">
        <f>EXP(-LN(2)/2)*AW66+(1-EXP(-LN(2)/2))/(LN(2)/2)*AQ67*AT67*VLOOKUP('Données projet'!$B$10,Paramètres!$A$1:$I$89,3,0)*0.475*44/12</f>
        <v>1.6531066705923576</v>
      </c>
      <c r="AX67" s="21">
        <f t="shared" si="6"/>
        <v>73.587931417470529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8.5662500000000001</v>
      </c>
      <c r="BD67" s="12">
        <f>IF('Données projet'!$A$88&gt;35,BD66+BC67-BL66,IF(A67&lt;'Données projet'!$A$88,$BA$205^A67,IF(A67='Données projet'!$A$88,'Données projet'!$B$88,BD66+BC67-BL66)))</f>
        <v>207.38125000000028</v>
      </c>
      <c r="BE67" s="13">
        <f>BD67*VLOOKUP('Données projet'!$B$11,Paramètres!$A$1:$I$89,3,0)*VLOOKUP('Données projet'!$B$11,Paramètres!$A$1:$I$89,5,0)</f>
        <v>187.63855500000025</v>
      </c>
      <c r="BF67" s="13">
        <f t="shared" si="37"/>
        <v>47.017491484907552</v>
      </c>
      <c r="BG67" s="20">
        <f t="shared" si="7"/>
        <v>408.6926142945477</v>
      </c>
      <c r="BH67" s="59">
        <f t="shared" si="8"/>
        <v>702.02594762788101</v>
      </c>
      <c r="BI67" s="59">
        <f ca="1">AVERAGE(OFFSET($BH$3,0,0,'Données projet'!$E$11+1,1))-AVERAGE(OFFSET($H$3,0,0,'Données projet'!$E$11+1,1))</f>
        <v>490.06222615476065</v>
      </c>
      <c r="BJ67" s="59">
        <f t="shared" si="38"/>
        <v>310.43914804089906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7.192077872857924</v>
      </c>
      <c r="BQ67" s="21">
        <f>EXP(-LN(2)/25)*BQ66+(1-EXP(-LN(2)/25))/(LN(2)/25)*Calculateur!BL67*Calculateur!BN67*VLOOKUP('Données projet'!$B$11,Paramètres!$A$1:$I$89,3,0)*0.475*44/12</f>
        <v>30.684888619263663</v>
      </c>
      <c r="BR67" s="21">
        <f>EXP(-LN(2)/2)*BR66+(1-EXP(-LN(2)/2))/(LN(2)/2)*BL67*BO67*VLOOKUP('Données projet'!$B$11,Paramètres!$A$1:$I$89,3,0)*0.475*44/12</f>
        <v>0.90086267322977642</v>
      </c>
      <c r="BS67" s="22">
        <f t="shared" si="9"/>
        <v>38.777829165351363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239.3164799999999</v>
      </c>
      <c r="CA67" s="13">
        <f t="shared" si="39"/>
        <v>58.292443422481945</v>
      </c>
      <c r="CB67" s="20">
        <f t="shared" si="10"/>
        <v>518.33554162748919</v>
      </c>
      <c r="CC67" s="59">
        <f t="shared" si="11"/>
        <v>811.66887496082245</v>
      </c>
      <c r="CD67" s="59">
        <f ca="1">AVERAGE(OFFSET($CC$3,0,0,'Données projet'!$E$12+1,1))-AVERAGE(OFFSET($H$3,0,0,'Données projet'!$E$12+1,1))</f>
        <v>353.37479213497227</v>
      </c>
      <c r="CE67" s="59">
        <f t="shared" si="40"/>
        <v>345.4750813433123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13.577802398316056</v>
      </c>
      <c r="CL67" s="21">
        <f>EXP(-LN(2)/25)*CL66+(1-EXP(-LN(2)/25))/(LN(2)/25)*Calculateur!CG67*Calculateur!CI67*VLOOKUP('Données projet'!$B$12,Paramètres!$A$1:$I$89,3,0)*0.475*44/12</f>
        <v>15.063927896630872</v>
      </c>
      <c r="CM67" s="21">
        <f>EXP(-LN(2)/2)*CM66+(1-EXP(-LN(2)/2))/(LN(2)/2)*CG67*CJ67*VLOOKUP('Données projet'!$B$12,Paramètres!$A$1:$I$89,3,0)*0.475*44/12</f>
        <v>0.82556235302410796</v>
      </c>
      <c r="CN67" s="22">
        <f t="shared" si="12"/>
        <v>29.467292647971036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13.888</v>
      </c>
      <c r="CT67" s="12">
        <f>IF('Données projet'!$A$140&gt;35,CT66+CS67-DB66,IF(A67&lt;'Données projet'!$A$140,$CQ$205^A67,IF(A67='Données projet'!$A$140,'Données projet'!$B$140,CT66+CS67-DB66)))</f>
        <v>346.21199999999953</v>
      </c>
      <c r="CU67" s="17">
        <f>CT67*VLOOKUP('Données projet'!$B$13,Paramètres!$A$1:$I$89,3,0)*VLOOKUP('Données projet'!$B$13,Paramètres!$A$1:$I$89,5,0)</f>
        <v>166.52797199999981</v>
      </c>
      <c r="CV67" s="13">
        <f t="shared" si="41"/>
        <v>42.311473386953331</v>
      </c>
      <c r="CW67" s="20">
        <f t="shared" si="13"/>
        <v>363.72870071561005</v>
      </c>
      <c r="CX67" s="59">
        <f t="shared" si="14"/>
        <v>657.06203404894336</v>
      </c>
      <c r="CY67" s="59">
        <f ca="1">AVERAGE(OFFSET($CX$3,0,0,'Données projet'!$E$13+1,1))-AVERAGE(OFFSET($H$3,0,0,'Données projet'!$E$13+1,1))</f>
        <v>314.18760071409162</v>
      </c>
      <c r="CZ67" s="59">
        <f t="shared" si="42"/>
        <v>267.72650645201787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20.09602519692659</v>
      </c>
      <c r="DG67" s="21">
        <f>EXP(-LN(2)/25)*DG66+(1-EXP(-LN(2)/25))/(LN(2)/25)*Calculateur!DB67*Calculateur!DD67*VLOOKUP('Données projet'!$B$13,Paramètres!$A$1:$I$89,3,0)*0.475*44/12</f>
        <v>15.565604526054983</v>
      </c>
      <c r="DH67" s="21">
        <f>EXP(-LN(2)/2)*DH66+(1-EXP(-LN(2)/2))/(LN(2)/2)*DB67*DE67*VLOOKUP('Données projet'!$B$13,Paramètres!$A$1:$I$89,3,0)*0.475*44/12</f>
        <v>2.1634808848921945</v>
      </c>
      <c r="DI67" s="22">
        <f t="shared" si="15"/>
        <v>37.825110607873768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218.92415999999989</v>
      </c>
      <c r="DQ67" s="13">
        <f t="shared" si="43"/>
        <v>53.880990541091087</v>
      </c>
      <c r="DR67" s="20">
        <f t="shared" si="16"/>
        <v>475.13563719240005</v>
      </c>
      <c r="DS67" s="59">
        <f t="shared" si="17"/>
        <v>768.46897052573331</v>
      </c>
      <c r="DT67" s="59">
        <f ca="1">AVERAGE(OFFSET($DS$3,0,0,'Données projet'!$E$14+1,1))-AVERAGE(OFFSET($H$3,0,0,'Données projet'!$E$14+1,1))</f>
        <v>324.86930206492627</v>
      </c>
      <c r="DU67" s="59">
        <f t="shared" si="44"/>
        <v>317.03005098025352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10.636365866462551</v>
      </c>
      <c r="EB67" s="21">
        <f>EXP(-LN(2)/25)*EB66+(1-EXP(-LN(2)/25))/(LN(2)/25)*Calculateur!DW67*Calculateur!DY67*VLOOKUP('Données projet'!$B$14,Paramètres!$A$1:$I$89,3,0)*0.475*44/12</f>
        <v>13.362847326589067</v>
      </c>
      <c r="EC67" s="21">
        <f>EXP(-LN(2)/2)*EC66+(1-EXP(-LN(2)/2))/(LN(2)/2)*DW67*DZ67*VLOOKUP('Données projet'!$B$14,Paramètres!$A$1:$I$89,3,0)*0.475*44/12</f>
        <v>0.77192908356004919</v>
      </c>
      <c r="ED67" s="22">
        <f t="shared" si="18"/>
        <v>24.771142276611666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302.00825291248458</v>
      </c>
      <c r="T68" s="59">
        <f t="shared" si="34"/>
        <v>307.35115839449355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125.77703818360119</v>
      </c>
      <c r="AA68" s="21">
        <f>EXP(-LN(2)/25)*AA67+(1-EXP(-LN(2)/25))/(LN(2)/25)*Calculateur!V68*Calculateur!X68*VLOOKUP('Données projet'!$B$9,Paramètres!$A$1:$I$89,3,0)*0.475*44/12</f>
        <v>42.169920025677442</v>
      </c>
      <c r="AB68" s="21">
        <f>EXP(-LN(2)/2)*AB67+(1-EXP(-LN(2)/2))/(LN(2)/2)*V68*Y68*VLOOKUP('Données projet'!$B$9,Paramètres!$A$1:$I$89,3,0)*0.475*44/12</f>
        <v>10.599785707530655</v>
      </c>
      <c r="AC68" s="22">
        <f t="shared" ref="AC68:AC131" si="57">SUM(Z68:AB68)</f>
        <v>178.54674391680931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674</v>
      </c>
      <c r="AG68" s="12">
        <f>VLOOKUP(A68,'Données projet'!$A$61:$I$81,9,0)</f>
        <v>18.600000000000001</v>
      </c>
      <c r="AH68" s="12">
        <f t="array" ref="AH68">INDEX(AG:AG,MIN(IF(ISNUMBER(AG68:AG264),ROW(AG68:AG264),"")))</f>
        <v>18.600000000000001</v>
      </c>
      <c r="AI68" s="13">
        <f>IF('Données projet'!$A$62&gt;35,AI67+AH68-AQ67,IF(A68&lt;'Données projet'!$A$62,$AF$205^A68,IF(A68='Données projet'!$A$62,'Données projet'!$B$62,AI67+AH68-AQ67)))</f>
        <v>674</v>
      </c>
      <c r="AJ68" s="13">
        <f>AI68*VLOOKUP('Données projet'!$B$10,Paramètres!$A$1:$I$89,3,0)*VLOOKUP('Données projet'!$B$10,Paramètres!$A$1:$I$89,5,0)</f>
        <v>297.90800000000002</v>
      </c>
      <c r="AK68" s="13">
        <f t="shared" si="35"/>
        <v>70.737721467342539</v>
      </c>
      <c r="AL68" s="20">
        <f t="shared" ref="AL68:AL131" si="58">(AJ68+AK68)*0.475*44/12</f>
        <v>642.05796488895498</v>
      </c>
      <c r="AM68" s="59">
        <f t="shared" ref="AM68:AM131" si="59">AL68+(AD68+AE68)*44/12</f>
        <v>935.39129822228824</v>
      </c>
      <c r="AN68" s="59">
        <f ca="1">AVERAGE(OFFSET($AM$3,0,0,'Données projet'!$E$10+1,1))-AVERAGE(OFFSET($H$3,0,0,'Données projet'!$E$10+1,1))</f>
        <v>394.37446333077651</v>
      </c>
      <c r="AO68" s="59">
        <f t="shared" si="36"/>
        <v>335.44327961212963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48</v>
      </c>
      <c r="AR68" s="16">
        <f>IF(ISNA(VLOOKUP(A68,'Données projet'!$A$61:$I$81,5,0)),0%,VLOOKUP(A68,'Données projet'!$A$61:$I$81,5,0)*VLOOKUP('Données projet'!$B$10,Paramètres!$A$1:$I$89,7,0))</f>
        <v>0.33</v>
      </c>
      <c r="AS68" s="16">
        <f>IF(ISNA(VLOOKUP(A68,'Données projet'!$A$61:$I$81,6,0)),0%,VLOOKUP(A68,'Données projet'!$A$61:$I$81,6,0)*VLOOKUP('Données projet'!$B$10,Paramètres!$A$1:$I$89,7,0))</f>
        <v>0.11000000000000001</v>
      </c>
      <c r="AT68" s="16">
        <f>IF(ISNA(VLOOKUP(A68,'Données projet'!$A$61:$I$81,7,0)),0%,VLOOKUP(A68,'Données projet'!$A$61:$I$81,7,0))</f>
        <v>0.2</v>
      </c>
      <c r="AU68" s="21">
        <f>EXP(-LN(2)/35)*AU67+(1-EXP(-LN(2)/35))/(LN(2)/35)*AQ68*AR68*VLOOKUP('Données projet'!$B$10,Paramètres!$A$1:$I$89,3,0)*0.475*44/12</f>
        <v>56.264969634332445</v>
      </c>
      <c r="AV68" s="21">
        <f>EXP(-LN(2)/25)*AV67+(1-EXP(-LN(2)/25))/(LN(2)/25)*Calculateur!AQ68*Calculateur!AS68*VLOOKUP('Données projet'!$B$10,Paramètres!$A$1:$I$89,3,0)*0.475*44/12</f>
        <v>26.444805426026917</v>
      </c>
      <c r="AW68" s="21">
        <f>EXP(-LN(2)/2)*AW67+(1-EXP(-LN(2)/2))/(LN(2)/2)*AQ68*AT68*VLOOKUP('Données projet'!$B$10,Paramètres!$A$1:$I$89,3,0)*0.475*44/12</f>
        <v>5.9732110216648726</v>
      </c>
      <c r="AX68" s="21">
        <f t="shared" ref="AX68:AX131" si="60">SUM(AU68:AW68)</f>
        <v>88.682986082024229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8.5662500000000001</v>
      </c>
      <c r="BD68" s="12">
        <f>IF('Données projet'!$A$88&gt;35,BD67+BC68-BL67,IF(A68&lt;'Données projet'!$A$88,$BA$205^A68,IF(A68='Données projet'!$A$88,'Données projet'!$B$88,BD67+BC68-BL67)))</f>
        <v>215.94750000000028</v>
      </c>
      <c r="BE68" s="13">
        <f>BD68*VLOOKUP('Données projet'!$B$11,Paramètres!$A$1:$I$89,3,0)*VLOOKUP('Données projet'!$B$11,Paramètres!$A$1:$I$89,5,0)</f>
        <v>195.38929800000025</v>
      </c>
      <c r="BF68" s="13">
        <f t="shared" si="37"/>
        <v>48.729503620609371</v>
      </c>
      <c r="BG68" s="20">
        <f t="shared" ref="BG68:BG131" si="61">(BE68+BF68)*0.475*44/12</f>
        <v>425.17357948922836</v>
      </c>
      <c r="BH68" s="59">
        <f t="shared" ref="BH68:BH131" si="62">BG68+(AY68+AZ68)*44/12</f>
        <v>718.50691282256162</v>
      </c>
      <c r="BI68" s="59">
        <f ca="1">AVERAGE(OFFSET($BH$3,0,0,'Données projet'!$E$11+1,1))-AVERAGE(OFFSET($H$3,0,0,'Données projet'!$E$11+1,1))</f>
        <v>490.06222615476065</v>
      </c>
      <c r="BJ68" s="59">
        <f t="shared" si="38"/>
        <v>310.43914804089906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7.0510456125055283</v>
      </c>
      <c r="BQ68" s="21">
        <f>EXP(-LN(2)/25)*BQ67+(1-EXP(-LN(2)/25))/(LN(2)/25)*Calculateur!BL68*Calculateur!BN68*VLOOKUP('Données projet'!$B$11,Paramètres!$A$1:$I$89,3,0)*0.475*44/12</f>
        <v>29.845808726321739</v>
      </c>
      <c r="BR68" s="21">
        <f>EXP(-LN(2)/2)*BR67+(1-EXP(-LN(2)/2))/(LN(2)/2)*BL68*BO68*VLOOKUP('Données projet'!$B$11,Paramètres!$A$1:$I$89,3,0)*0.475*44/12</f>
        <v>0.63700610515861578</v>
      </c>
      <c r="BS68" s="22">
        <f t="shared" ref="BS68:BS131" si="63">SUM(BP68:BR68)</f>
        <v>37.533860443985887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243.45359999999988</v>
      </c>
      <c r="CA68" s="13">
        <f t="shared" si="39"/>
        <v>59.181970343065267</v>
      </c>
      <c r="CB68" s="20">
        <f t="shared" ref="CB68:CB131" si="64">(BZ68+CA68)*0.475*44/12</f>
        <v>527.09028501417163</v>
      </c>
      <c r="CC68" s="59">
        <f t="shared" ref="CC68:CC131" si="65">CB68+(BT68+BU68)*44/12</f>
        <v>820.423618347505</v>
      </c>
      <c r="CD68" s="59">
        <f ca="1">AVERAGE(OFFSET($CC$3,0,0,'Données projet'!$E$12+1,1))-AVERAGE(OFFSET($H$3,0,0,'Données projet'!$E$12+1,1))</f>
        <v>353.37479213497227</v>
      </c>
      <c r="CE68" s="59">
        <f t="shared" si="40"/>
        <v>345.4750813433123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0.13250000000000001</v>
      </c>
      <c r="CI68" s="16">
        <f>IF(ISNA(VLOOKUP(A68,'Données projet'!$A$113:$I$133,6,0)),0%,VLOOKUP(A68,'Données projet'!$A$113:$I$133,6,0)*VLOOKUP('Données projet'!$B$12,Paramètres!$A$1:$I$89,7,0))</f>
        <v>0.13250000000000001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14.826509797916721</v>
      </c>
      <c r="CL68" s="21">
        <f>EXP(-LN(2)/25)*CL67+(1-EXP(-LN(2)/25))/(LN(2)/25)*Calculateur!CG68*Calculateur!CI68*VLOOKUP('Données projet'!$B$12,Paramètres!$A$1:$I$89,3,0)*0.475*44/12</f>
        <v>16.160998845041828</v>
      </c>
      <c r="CM68" s="21">
        <f>EXP(-LN(2)/2)*CM67+(1-EXP(-LN(2)/2))/(LN(2)/2)*CG68*CJ68*VLOOKUP('Données projet'!$B$12,Paramètres!$A$1:$I$89,3,0)*0.475*44/12</f>
        <v>3.0234382812108214</v>
      </c>
      <c r="CN68" s="22">
        <f t="shared" ref="CN68:CN131" si="66">SUM(CK68:CM68)</f>
        <v>34.010946924169367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13.888</v>
      </c>
      <c r="CT68" s="12">
        <f>IF('Données projet'!$A$140&gt;35,CT67+CS68-DB67,IF(A68&lt;'Données projet'!$A$140,$CQ$205^A68,IF(A68='Données projet'!$A$140,'Données projet'!$B$140,CT67+CS68-DB67)))</f>
        <v>360.09999999999951</v>
      </c>
      <c r="CU68" s="17">
        <f>CT68*VLOOKUP('Données projet'!$B$13,Paramètres!$A$1:$I$89,3,0)*VLOOKUP('Données projet'!$B$13,Paramètres!$A$1:$I$89,5,0)</f>
        <v>173.20809999999977</v>
      </c>
      <c r="CV68" s="13">
        <f t="shared" si="41"/>
        <v>43.807747614138854</v>
      </c>
      <c r="CW68" s="20">
        <f t="shared" ref="CW68:CW131" si="67">(CU68+CV68)*0.475*44/12</f>
        <v>377.96926792795813</v>
      </c>
      <c r="CX68" s="59">
        <f t="shared" ref="CX68:CX131" si="68">CW68+(CO68+CP68)*44/12</f>
        <v>671.30260126129144</v>
      </c>
      <c r="CY68" s="59">
        <f ca="1">AVERAGE(OFFSET($CX$3,0,0,'Données projet'!$E$13+1,1))-AVERAGE(OFFSET($H$3,0,0,'Données projet'!$E$13+1,1))</f>
        <v>314.18760071409162</v>
      </c>
      <c r="CZ68" s="59">
        <f t="shared" si="42"/>
        <v>267.72650645201787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19.701954400179915</v>
      </c>
      <c r="DG68" s="21">
        <f>EXP(-LN(2)/25)*DG67+(1-EXP(-LN(2)/25))/(LN(2)/25)*Calculateur!DB68*Calculateur!DD68*VLOOKUP('Données projet'!$B$13,Paramètres!$A$1:$I$89,3,0)*0.475*44/12</f>
        <v>15.139962251730443</v>
      </c>
      <c r="DH68" s="21">
        <f>EXP(-LN(2)/2)*DH67+(1-EXP(-LN(2)/2))/(LN(2)/2)*DB68*DE68*VLOOKUP('Données projet'!$B$13,Paramètres!$A$1:$I$89,3,0)*0.475*44/12</f>
        <v>1.5298120046747432</v>
      </c>
      <c r="DI68" s="22">
        <f t="shared" ref="DI68:DI131" si="69">SUM(DF68:DH68)</f>
        <v>36.371728656585105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222.76799999999989</v>
      </c>
      <c r="DQ68" s="13">
        <f t="shared" si="43"/>
        <v>54.716058356609459</v>
      </c>
      <c r="DR68" s="20">
        <f t="shared" ref="DR68:DR131" si="70">(DP68+DQ68)*0.475*44/12</f>
        <v>483.28473497109462</v>
      </c>
      <c r="DS68" s="59">
        <f t="shared" ref="DS68:DS131" si="71">DR68+(DJ68+DK68)*44/12</f>
        <v>776.61806830442788</v>
      </c>
      <c r="DT68" s="59">
        <f ca="1">AVERAGE(OFFSET($DS$3,0,0,'Données projet'!$E$14+1,1))-AVERAGE(OFFSET($H$3,0,0,'Données projet'!$E$14+1,1))</f>
        <v>324.86930206492627</v>
      </c>
      <c r="DU68" s="59">
        <f t="shared" si="44"/>
        <v>317.03005098025352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0.13250000000000001</v>
      </c>
      <c r="DY68" s="16">
        <f>IF(ISNA(VLOOKUP(A68,'Données projet'!$A$165:$I$185,6,0)),0%,VLOOKUP(A68,'Données projet'!$A$165:$I$185,6,0)*VLOOKUP('Données projet'!$B$14,Paramètres!$A$1:$I$89,7,0))</f>
        <v>0.13250000000000001</v>
      </c>
      <c r="DZ68" s="16">
        <f>IF(ISNA(VLOOKUP(A68,'Données projet'!$A$165:$I$185,7,0)),0%,VLOOKUP(A68,'Données projet'!$A$165:$I$185,7,0))</f>
        <v>0.25</v>
      </c>
      <c r="EA68" s="21">
        <f>EXP(-LN(2)/35)*EA67+(1-EXP(-LN(2)/35))/(LN(2)/35)*DW68*DX68*VLOOKUP('Données projet'!$B$14,Paramètres!$A$1:$I$89,3,0)*0.475*44/12</f>
        <v>11.835357700452485</v>
      </c>
      <c r="EB68" s="21">
        <f>EXP(-LN(2)/25)*EB67+(1-EXP(-LN(2)/25))/(LN(2)/25)*Calculateur!DW68*Calculateur!DY68*VLOOKUP('Données projet'!$B$14,Paramètres!$A$1:$I$89,3,0)*0.475*44/12</f>
        <v>14.399461927124406</v>
      </c>
      <c r="EC68" s="21">
        <f>EXP(-LN(2)/2)*EC67+(1-EXP(-LN(2)/2))/(LN(2)/2)*DW68*DZ68*VLOOKUP('Données projet'!$B$14,Paramètres!$A$1:$I$89,3,0)*0.475*44/12</f>
        <v>2.8125653492284126</v>
      </c>
      <c r="ED68" s="22">
        <f t="shared" ref="ED68:ED131" si="72">SUM(EA68:EC68)</f>
        <v>29.047384976805304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302.00825291248458</v>
      </c>
      <c r="T69" s="59">
        <f t="shared" ref="T69:T132" si="88">$T$3</f>
        <v>307.35115839449355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123.31062718123894</v>
      </c>
      <c r="AA69" s="21">
        <f>EXP(-LN(2)/25)*AA68+(1-EXP(-LN(2)/25))/(LN(2)/25)*Calculateur!V69*Calculateur!X69*VLOOKUP('Données projet'!$B$9,Paramètres!$A$1:$I$89,3,0)*0.475*44/12</f>
        <v>41.016781344955575</v>
      </c>
      <c r="AB69" s="21">
        <f>EXP(-LN(2)/2)*AB68+(1-EXP(-LN(2)/2))/(LN(2)/2)*V69*Y69*VLOOKUP('Données projet'!$B$9,Paramètres!$A$1:$I$89,3,0)*0.475*44/12</f>
        <v>7.4951803529191734</v>
      </c>
      <c r="AC69" s="22">
        <f t="shared" si="57"/>
        <v>171.82258887911368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17.2</v>
      </c>
      <c r="AI69" s="13">
        <f>IF('Données projet'!$A$62&gt;35,AI68+AH69-AQ68,IF(A69&lt;'Données projet'!$A$62,$AF$205^A69,IF(A69='Données projet'!$A$62,'Données projet'!$B$62,AI68+AH69-AQ68)))</f>
        <v>643.20000000000005</v>
      </c>
      <c r="AJ69" s="13">
        <f>AI69*VLOOKUP('Données projet'!$B$10,Paramètres!$A$1:$I$89,3,0)*VLOOKUP('Données projet'!$B$10,Paramètres!$A$1:$I$89,5,0)</f>
        <v>284.29440000000005</v>
      </c>
      <c r="AK69" s="13">
        <f t="shared" ref="AK69:AK132" si="89">EXP(-1.0587+0.8836*LN(AJ69)+0.284)</f>
        <v>67.873733555704575</v>
      </c>
      <c r="AL69" s="20">
        <f t="shared" si="58"/>
        <v>613.3594992761856</v>
      </c>
      <c r="AM69" s="59">
        <f t="shared" si="59"/>
        <v>906.69283260951897</v>
      </c>
      <c r="AN69" s="59">
        <f ca="1">AVERAGE(OFFSET($AM$3,0,0,'Données projet'!$E$10+1,1))-AVERAGE(OFFSET($H$3,0,0,'Données projet'!$E$10+1,1))</f>
        <v>394.37446333077651</v>
      </c>
      <c r="AO69" s="59">
        <f t="shared" ref="AO69:AO132" si="90">$AO$3</f>
        <v>335.44327961212963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55.16164789804602</v>
      </c>
      <c r="AV69" s="21">
        <f>EXP(-LN(2)/25)*AV68+(1-EXP(-LN(2)/25))/(LN(2)/25)*Calculateur!AQ69*Calculateur!AS69*VLOOKUP('Données projet'!$B$10,Paramètres!$A$1:$I$89,3,0)*0.475*44/12</f>
        <v>25.721670830980333</v>
      </c>
      <c r="AW69" s="21">
        <f>EXP(-LN(2)/2)*AW68+(1-EXP(-LN(2)/2))/(LN(2)/2)*AQ69*AT69*VLOOKUP('Données projet'!$B$10,Paramètres!$A$1:$I$89,3,0)*0.475*44/12</f>
        <v>4.2236980188774575</v>
      </c>
      <c r="AX69" s="21">
        <f t="shared" si="60"/>
        <v>85.107016747903813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8.5662500000000001</v>
      </c>
      <c r="BD69" s="12">
        <f>IF('Données projet'!$A$88&gt;35,BD68+BC69-BL68,IF(A69&lt;'Données projet'!$A$88,$BA$205^A69,IF(A69='Données projet'!$A$88,'Données projet'!$B$88,BD68+BC69-BL68)))</f>
        <v>224.51375000000027</v>
      </c>
      <c r="BE69" s="13">
        <f>BD69*VLOOKUP('Données projet'!$B$11,Paramètres!$A$1:$I$89,3,0)*VLOOKUP('Données projet'!$B$11,Paramètres!$A$1:$I$89,5,0)</f>
        <v>203.14004100000022</v>
      </c>
      <c r="BF69" s="13">
        <f t="shared" ref="BF69:BF132" si="91">EXP(-1.0587+0.8836*LN(BE69)+0.284)</f>
        <v>50.433626784032469</v>
      </c>
      <c r="BG69" s="20">
        <f t="shared" si="61"/>
        <v>441.64080472385695</v>
      </c>
      <c r="BH69" s="59">
        <f t="shared" si="62"/>
        <v>734.9741380571902</v>
      </c>
      <c r="BI69" s="59">
        <f ca="1">AVERAGE(OFFSET($BH$3,0,0,'Données projet'!$E$11+1,1))-AVERAGE(OFFSET($H$3,0,0,'Données projet'!$E$11+1,1))</f>
        <v>490.06222615476065</v>
      </c>
      <c r="BJ69" s="59">
        <f t="shared" ref="BJ69:BJ132" si="92">$BJ$3</f>
        <v>310.43914804089906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6.912778908757458</v>
      </c>
      <c r="BQ69" s="21">
        <f>EXP(-LN(2)/25)*BQ68+(1-EXP(-LN(2)/25))/(LN(2)/25)*Calculateur!BL69*Calculateur!BN69*VLOOKUP('Données projet'!$B$11,Paramètres!$A$1:$I$89,3,0)*0.475*44/12</f>
        <v>29.029673517177603</v>
      </c>
      <c r="BR69" s="21">
        <f>EXP(-LN(2)/2)*BR68+(1-EXP(-LN(2)/2))/(LN(2)/2)*BL69*BO69*VLOOKUP('Données projet'!$B$11,Paramètres!$A$1:$I$89,3,0)*0.475*44/12</f>
        <v>0.45043133661488821</v>
      </c>
      <c r="BS69" s="22">
        <f t="shared" si="63"/>
        <v>36.39288376254995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236.7705599999999</v>
      </c>
      <c r="CA69" s="13">
        <f t="shared" ref="CA69:CA132" si="93">EXP(-1.0587+0.8836*LN(BZ69)+0.284)</f>
        <v>57.744153841586879</v>
      </c>
      <c r="CB69" s="20">
        <f t="shared" si="64"/>
        <v>512.9464599407637</v>
      </c>
      <c r="CC69" s="59">
        <f t="shared" si="65"/>
        <v>806.27979327409707</v>
      </c>
      <c r="CD69" s="59">
        <f ca="1">AVERAGE(OFFSET($CC$3,0,0,'Données projet'!$E$12+1,1))-AVERAGE(OFFSET($H$3,0,0,'Données projet'!$E$12+1,1))</f>
        <v>353.37479213497227</v>
      </c>
      <c r="CE69" s="59">
        <f t="shared" ref="CE69:CE132" si="94">$CE$3</f>
        <v>345.4750813433123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14.535770984057601</v>
      </c>
      <c r="CL69" s="21">
        <f>EXP(-LN(2)/25)*CL68+(1-EXP(-LN(2)/25))/(LN(2)/25)*Calculateur!CG69*Calculateur!CI69*VLOOKUP('Données projet'!$B$12,Paramètres!$A$1:$I$89,3,0)*0.475*44/12</f>
        <v>15.719075481754166</v>
      </c>
      <c r="CM69" s="21">
        <f>EXP(-LN(2)/2)*CM68+(1-EXP(-LN(2)/2))/(LN(2)/2)*CG69*CJ69*VLOOKUP('Données projet'!$B$12,Paramètres!$A$1:$I$89,3,0)*0.475*44/12</f>
        <v>2.1378937111431719</v>
      </c>
      <c r="CN69" s="22">
        <f t="shared" si="66"/>
        <v>32.392740176954938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13.888</v>
      </c>
      <c r="CT69" s="12">
        <f>IF('Données projet'!$A$140&gt;35,CT68+CS69-DB68,IF(A69&lt;'Données projet'!$A$140,$CQ$205^A69,IF(A69='Données projet'!$A$140,'Données projet'!$B$140,CT68+CS69-DB68)))</f>
        <v>373.98799999999949</v>
      </c>
      <c r="CU69" s="17">
        <f>CT69*VLOOKUP('Données projet'!$B$13,Paramètres!$A$1:$I$89,3,0)*VLOOKUP('Données projet'!$B$13,Paramètres!$A$1:$I$89,5,0)</f>
        <v>179.88822799999977</v>
      </c>
      <c r="CV69" s="13">
        <f t="shared" ref="CV69:CV132" si="95">EXP(-1.0587+0.8836*LN(CU69)+0.284)</f>
        <v>45.297318056941769</v>
      </c>
      <c r="CW69" s="20">
        <f t="shared" si="67"/>
        <v>392.1981593825065</v>
      </c>
      <c r="CX69" s="59">
        <f t="shared" si="68"/>
        <v>685.53149271583982</v>
      </c>
      <c r="CY69" s="59">
        <f ca="1">AVERAGE(OFFSET($CX$3,0,0,'Données projet'!$E$13+1,1))-AVERAGE(OFFSET($H$3,0,0,'Données projet'!$E$13+1,1))</f>
        <v>314.18760071409162</v>
      </c>
      <c r="CZ69" s="59">
        <f t="shared" ref="CZ69:CZ132" si="96">$CZ$3</f>
        <v>267.72650645201787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19.31561109139799</v>
      </c>
      <c r="DG69" s="21">
        <f>EXP(-LN(2)/25)*DG68+(1-EXP(-LN(2)/25))/(LN(2)/25)*Calculateur!DB69*Calculateur!DD69*VLOOKUP('Données projet'!$B$13,Paramètres!$A$1:$I$89,3,0)*0.475*44/12</f>
        <v>14.725959187780862</v>
      </c>
      <c r="DH69" s="21">
        <f>EXP(-LN(2)/2)*DH68+(1-EXP(-LN(2)/2))/(LN(2)/2)*DB69*DE69*VLOOKUP('Données projet'!$B$13,Paramètres!$A$1:$I$89,3,0)*0.475*44/12</f>
        <v>1.0817404424460972</v>
      </c>
      <c r="DI69" s="22">
        <f t="shared" si="69"/>
        <v>35.123310721624954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216.47807999999986</v>
      </c>
      <c r="DQ69" s="13">
        <f t="shared" ref="DQ69:DQ132" si="97">EXP(-1.0587+0.8836*LN(DP69)+0.284)</f>
        <v>53.348696328338377</v>
      </c>
      <c r="DR69" s="20">
        <f t="shared" si="70"/>
        <v>469.94830210518904</v>
      </c>
      <c r="DS69" s="59">
        <f t="shared" si="71"/>
        <v>763.28163543852236</v>
      </c>
      <c r="DT69" s="59">
        <f ca="1">AVERAGE(OFFSET($DS$3,0,0,'Données projet'!$E$14+1,1))-AVERAGE(OFFSET($H$3,0,0,'Données projet'!$E$14+1,1))</f>
        <v>324.86930206492627</v>
      </c>
      <c r="DU69" s="59">
        <f t="shared" ref="DU69:DU132" si="98">$DU$3</f>
        <v>317.03005098025352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11.603273554802007</v>
      </c>
      <c r="EB69" s="21">
        <f>EXP(-LN(2)/25)*EB68+(1-EXP(-LN(2)/25))/(LN(2)/25)*Calculateur!DW69*Calculateur!DY69*VLOOKUP('Données projet'!$B$14,Paramètres!$A$1:$I$89,3,0)*0.475*44/12</f>
        <v>14.005707883492397</v>
      </c>
      <c r="EC69" s="21">
        <f>EXP(-LN(2)/2)*EC68+(1-EXP(-LN(2)/2))/(LN(2)/2)*DW69*DZ69*VLOOKUP('Données projet'!$B$14,Paramètres!$A$1:$I$89,3,0)*0.475*44/12</f>
        <v>1.9887840309697209</v>
      </c>
      <c r="ED69" s="22">
        <f t="shared" si="72"/>
        <v>27.597765469264125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302.00825291248458</v>
      </c>
      <c r="T70" s="59">
        <f t="shared" si="88"/>
        <v>307.35115839449355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120.89258099427086</v>
      </c>
      <c r="AA70" s="21">
        <f>EXP(-LN(2)/25)*AA69+(1-EXP(-LN(2)/25))/(LN(2)/25)*Calculateur!V70*Calculateur!X70*VLOOKUP('Données projet'!$B$9,Paramètres!$A$1:$I$89,3,0)*0.475*44/12</f>
        <v>39.895175302098977</v>
      </c>
      <c r="AB70" s="21">
        <f>EXP(-LN(2)/2)*AB69+(1-EXP(-LN(2)/2))/(LN(2)/2)*V70*Y70*VLOOKUP('Données projet'!$B$9,Paramètres!$A$1:$I$89,3,0)*0.475*44/12</f>
        <v>5.2998928537653285</v>
      </c>
      <c r="AC70" s="22">
        <f t="shared" si="57"/>
        <v>166.08764915013515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17.2</v>
      </c>
      <c r="AI70" s="13">
        <f>IF('Données projet'!$A$62&gt;35,AI69+AH70-AQ69,IF(A70&lt;'Données projet'!$A$62,$AF$205^A70,IF(A70='Données projet'!$A$62,'Données projet'!$B$62,AI69+AH70-AQ69)))</f>
        <v>660.40000000000009</v>
      </c>
      <c r="AJ70" s="13">
        <f>AI70*VLOOKUP('Données projet'!$B$10,Paramètres!$A$1:$I$89,3,0)*VLOOKUP('Données projet'!$B$10,Paramètres!$A$1:$I$89,5,0)</f>
        <v>291.8968000000001</v>
      </c>
      <c r="AK70" s="13">
        <f t="shared" si="89"/>
        <v>69.475023818152522</v>
      </c>
      <c r="AL70" s="20">
        <f t="shared" si="58"/>
        <v>629.38925981661589</v>
      </c>
      <c r="AM70" s="59">
        <f t="shared" si="59"/>
        <v>922.72259314994926</v>
      </c>
      <c r="AN70" s="59">
        <f ca="1">AVERAGE(OFFSET($AM$3,0,0,'Données projet'!$E$10+1,1))-AVERAGE(OFFSET($H$3,0,0,'Données projet'!$E$10+1,1))</f>
        <v>394.37446333077651</v>
      </c>
      <c r="AO70" s="59">
        <f t="shared" si="90"/>
        <v>335.44327961212963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54.079961628048359</v>
      </c>
      <c r="AV70" s="21">
        <f>EXP(-LN(2)/25)*AV69+(1-EXP(-LN(2)/25))/(LN(2)/25)*Calculateur!AQ70*Calculateur!AS70*VLOOKUP('Données projet'!$B$10,Paramètres!$A$1:$I$89,3,0)*0.475*44/12</f>
        <v>25.018310389463295</v>
      </c>
      <c r="AW70" s="21">
        <f>EXP(-LN(2)/2)*AW69+(1-EXP(-LN(2)/2))/(LN(2)/2)*AQ70*AT70*VLOOKUP('Données projet'!$B$10,Paramètres!$A$1:$I$89,3,0)*0.475*44/12</f>
        <v>2.9866055108324367</v>
      </c>
      <c r="AX70" s="21">
        <f t="shared" si="60"/>
        <v>82.08487752834408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8.5662500000000001</v>
      </c>
      <c r="BC70" s="12">
        <f t="array" ref="BC70">INDEX(BB:BB,MIN(IF(ISNUMBER(BB70:BB266),ROW(BB70:BB266),"")))</f>
        <v>8.5662500000000001</v>
      </c>
      <c r="BD70" s="12">
        <f>IF('Données projet'!$A$88&gt;35,BD69+BC70-BL69,IF(A70&lt;'Données projet'!$A$88,$BA$205^A70,IF(A70='Données projet'!$A$88,'Données projet'!$B$88,BD69+BC70-BL69)))</f>
        <v>233.08000000000027</v>
      </c>
      <c r="BE70" s="13">
        <f>BD70*VLOOKUP('Données projet'!$B$11,Paramètres!$A$1:$I$89,3,0)*VLOOKUP('Données projet'!$B$11,Paramètres!$A$1:$I$89,5,0)</f>
        <v>210.89078400000022</v>
      </c>
      <c r="BF70" s="13">
        <f t="shared" si="91"/>
        <v>52.130196433530017</v>
      </c>
      <c r="BG70" s="20">
        <f t="shared" si="61"/>
        <v>458.09487425506512</v>
      </c>
      <c r="BH70" s="59">
        <f t="shared" si="62"/>
        <v>751.42820758839844</v>
      </c>
      <c r="BI70" s="59">
        <f ca="1">AVERAGE(OFFSET($BH$3,0,0,'Données projet'!$E$11+1,1))-AVERAGE(OFFSET($H$3,0,0,'Données projet'!$E$11+1,1))</f>
        <v>490.06222615476065</v>
      </c>
      <c r="BJ70" s="59">
        <f t="shared" si="92"/>
        <v>310.43914804089906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44.170000000000016</v>
      </c>
      <c r="BM70" s="16">
        <f>IF(ISNA(VLOOKUP(A70,'Données projet'!$A$87:$I$107,5,0)),0%,VLOOKUP(A70,'Données projet'!$A$87:$I$107,5,0)*VLOOKUP('Données projet'!$B$11,Paramètres!$A$1:$I$89,7,0))</f>
        <v>0.15049999999999999</v>
      </c>
      <c r="BN70" s="16">
        <f>IF(ISNA(VLOOKUP(A70,'Données projet'!$A$87:$I$107,6,0)),0%,VLOOKUP(A70,'Données projet'!$A$87:$I$107,6,0)*VLOOKUP('Données projet'!$B$11,Paramètres!$A$1:$I$89,7,0))</f>
        <v>8.6000000000000007E-2</v>
      </c>
      <c r="BO70" s="16">
        <f>IF(ISNA(VLOOKUP(A70,'Données projet'!$A$87:$I$107,7,0)),0%,VLOOKUP(A70,'Données projet'!$A$87:$I$107,7,0))</f>
        <v>0.1</v>
      </c>
      <c r="BP70" s="21">
        <f>EXP(-LN(2)/35)*BP69+(1-EXP(-LN(2)/35))/(LN(2)/35)*BL70*BM70*VLOOKUP('Données projet'!$B$11,Paramètres!$A$1:$I$89,3,0)*0.475*44/12</f>
        <v>13.426334812272373</v>
      </c>
      <c r="BQ70" s="21">
        <f>EXP(-LN(2)/25)*BQ69+(1-EXP(-LN(2)/25))/(LN(2)/25)*Calculateur!BL70*Calculateur!BN70*VLOOKUP('Données projet'!$B$11,Paramètres!$A$1:$I$89,3,0)*0.475*44/12</f>
        <v>32.020387680767008</v>
      </c>
      <c r="BR70" s="21">
        <f>EXP(-LN(2)/2)*BR69+(1-EXP(-LN(2)/2))/(LN(2)/2)*BL70*BO70*VLOOKUP('Données projet'!$B$11,Paramètres!$A$1:$I$89,3,0)*0.475*44/12</f>
        <v>4.0893098764428064</v>
      </c>
      <c r="BS70" s="22">
        <f t="shared" si="63"/>
        <v>49.536032369482186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240.43031999999991</v>
      </c>
      <c r="CA70" s="13">
        <f t="shared" si="93"/>
        <v>58.532106271380506</v>
      </c>
      <c r="CB70" s="20">
        <f t="shared" si="64"/>
        <v>520.69289242265415</v>
      </c>
      <c r="CC70" s="59">
        <f t="shared" si="65"/>
        <v>814.02622575598753</v>
      </c>
      <c r="CD70" s="59">
        <f ca="1">AVERAGE(OFFSET($CC$3,0,0,'Données projet'!$E$12+1,1))-AVERAGE(OFFSET($H$3,0,0,'Données projet'!$E$12+1,1))</f>
        <v>353.37479213497227</v>
      </c>
      <c r="CE70" s="59">
        <f t="shared" si="94"/>
        <v>345.4750813433123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14.250733381005093</v>
      </c>
      <c r="CL70" s="21">
        <f>EXP(-LN(2)/25)*CL69+(1-EXP(-LN(2)/25))/(LN(2)/25)*Calculateur!CG70*Calculateur!CI70*VLOOKUP('Données projet'!$B$12,Paramètres!$A$1:$I$89,3,0)*0.475*44/12</f>
        <v>15.289236536075345</v>
      </c>
      <c r="CM70" s="21">
        <f>EXP(-LN(2)/2)*CM69+(1-EXP(-LN(2)/2))/(LN(2)/2)*CG70*CJ70*VLOOKUP('Données projet'!$B$12,Paramètres!$A$1:$I$89,3,0)*0.475*44/12</f>
        <v>1.5117191406054111</v>
      </c>
      <c r="CN70" s="22">
        <f t="shared" si="66"/>
        <v>31.051689057685849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13.888</v>
      </c>
      <c r="CT70" s="12">
        <f>IF('Données projet'!$A$140&gt;35,CT69+CS70-DB69,IF(A70&lt;'Données projet'!$A$140,$CQ$205^A70,IF(A70='Données projet'!$A$140,'Données projet'!$B$140,CT69+CS70-DB69)))</f>
        <v>387.87599999999946</v>
      </c>
      <c r="CU70" s="17">
        <f>CT70*VLOOKUP('Données projet'!$B$13,Paramètres!$A$1:$I$89,3,0)*VLOOKUP('Données projet'!$B$13,Paramètres!$A$1:$I$89,5,0)</f>
        <v>186.56835599999974</v>
      </c>
      <c r="CV70" s="13">
        <f t="shared" si="95"/>
        <v>46.780462166679818</v>
      </c>
      <c r="CW70" s="20">
        <f t="shared" si="67"/>
        <v>406.41585830696687</v>
      </c>
      <c r="CX70" s="59">
        <f t="shared" si="68"/>
        <v>699.74919164030018</v>
      </c>
      <c r="CY70" s="59">
        <f ca="1">AVERAGE(OFFSET($CX$3,0,0,'Données projet'!$E$13+1,1))-AVERAGE(OFFSET($H$3,0,0,'Données projet'!$E$13+1,1))</f>
        <v>314.18760071409162</v>
      </c>
      <c r="CZ70" s="59">
        <f t="shared" si="96"/>
        <v>267.72650645201787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18.936843739255128</v>
      </c>
      <c r="DG70" s="21">
        <f>EXP(-LN(2)/25)*DG69+(1-EXP(-LN(2)/25))/(LN(2)/25)*Calculateur!DB70*Calculateur!DD70*VLOOKUP('Données projet'!$B$13,Paramètres!$A$1:$I$89,3,0)*0.475*44/12</f>
        <v>14.323277059386458</v>
      </c>
      <c r="DH70" s="21">
        <f>EXP(-LN(2)/2)*DH69+(1-EXP(-LN(2)/2))/(LN(2)/2)*DB70*DE70*VLOOKUP('Données projet'!$B$13,Paramètres!$A$1:$I$89,3,0)*0.475*44/12</f>
        <v>0.7649060023373716</v>
      </c>
      <c r="DI70" s="22">
        <f t="shared" si="69"/>
        <v>34.025026800978956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219.7977599999999</v>
      </c>
      <c r="DQ70" s="13">
        <f t="shared" si="97"/>
        <v>54.070927503307338</v>
      </c>
      <c r="DR70" s="20">
        <f t="shared" si="70"/>
        <v>476.98796406826</v>
      </c>
      <c r="DS70" s="59">
        <f t="shared" si="71"/>
        <v>770.32129740159326</v>
      </c>
      <c r="DT70" s="59">
        <f ca="1">AVERAGE(OFFSET($DS$3,0,0,'Données projet'!$E$14+1,1))-AVERAGE(OFFSET($H$3,0,0,'Données projet'!$E$14+1,1))</f>
        <v>324.86930206492627</v>
      </c>
      <c r="DU70" s="59">
        <f t="shared" si="98"/>
        <v>317.03005098025352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11.375740437690382</v>
      </c>
      <c r="EB70" s="21">
        <f>EXP(-LN(2)/25)*EB69+(1-EXP(-LN(2)/25))/(LN(2)/25)*Calculateur!DW70*Calculateur!DY70*VLOOKUP('Données projet'!$B$14,Paramètres!$A$1:$I$89,3,0)*0.475*44/12</f>
        <v>13.622721064890129</v>
      </c>
      <c r="EC70" s="21">
        <f>EXP(-LN(2)/2)*EC69+(1-EXP(-LN(2)/2))/(LN(2)/2)*DW70*DZ70*VLOOKUP('Données projet'!$B$14,Paramètres!$A$1:$I$89,3,0)*0.475*44/12</f>
        <v>1.4062826746142065</v>
      </c>
      <c r="ED70" s="22">
        <f t="shared" si="72"/>
        <v>26.404744177194718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302.00825291248458</v>
      </c>
      <c r="T71" s="59">
        <f t="shared" si="88"/>
        <v>307.35115839449355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118.52195121816666</v>
      </c>
      <c r="AA71" s="21">
        <f>EXP(-LN(2)/25)*AA70+(1-EXP(-LN(2)/25))/(LN(2)/25)*Calculateur!V71*Calculateur!X71*VLOOKUP('Données projet'!$B$9,Paramètres!$A$1:$I$89,3,0)*0.475*44/12</f>
        <v>38.804239635466992</v>
      </c>
      <c r="AB71" s="21">
        <f>EXP(-LN(2)/2)*AB70+(1-EXP(-LN(2)/2))/(LN(2)/2)*V71*Y71*VLOOKUP('Données projet'!$B$9,Paramètres!$A$1:$I$89,3,0)*0.475*44/12</f>
        <v>3.7475901764595871</v>
      </c>
      <c r="AC71" s="22">
        <f t="shared" si="57"/>
        <v>161.07378103009324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17.2</v>
      </c>
      <c r="AI71" s="13">
        <f>IF('Données projet'!$A$62&gt;35,AI70+AH71-AQ70,IF(A71&lt;'Données projet'!$A$62,$AF$205^A71,IF(A71='Données projet'!$A$62,'Données projet'!$B$62,AI70+AH71-AQ70)))</f>
        <v>677.60000000000014</v>
      </c>
      <c r="AJ71" s="13">
        <f>AI71*VLOOKUP('Données projet'!$B$10,Paramètres!$A$1:$I$89,3,0)*VLOOKUP('Données projet'!$B$10,Paramètres!$A$1:$I$89,5,0)</f>
        <v>299.49920000000009</v>
      </c>
      <c r="AK71" s="13">
        <f t="shared" si="89"/>
        <v>71.071466353381297</v>
      </c>
      <c r="AL71" s="20">
        <f t="shared" si="58"/>
        <v>645.41057723213919</v>
      </c>
      <c r="AM71" s="59">
        <f t="shared" si="59"/>
        <v>938.74391056547256</v>
      </c>
      <c r="AN71" s="59">
        <f ca="1">AVERAGE(OFFSET($AM$3,0,0,'Données projet'!$E$10+1,1))-AVERAGE(OFFSET($H$3,0,0,'Données projet'!$E$10+1,1))</f>
        <v>394.37446333077651</v>
      </c>
      <c r="AO71" s="59">
        <f t="shared" si="90"/>
        <v>335.44327961212963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53.019486566041877</v>
      </c>
      <c r="AV71" s="21">
        <f>EXP(-LN(2)/25)*AV70+(1-EXP(-LN(2)/25))/(LN(2)/25)*Calculateur!AQ71*Calculateur!AS71*VLOOKUP('Données projet'!$B$10,Paramètres!$A$1:$I$89,3,0)*0.475*44/12</f>
        <v>24.334183376207658</v>
      </c>
      <c r="AW71" s="21">
        <f>EXP(-LN(2)/2)*AW70+(1-EXP(-LN(2)/2))/(LN(2)/2)*AQ71*AT71*VLOOKUP('Données projet'!$B$10,Paramètres!$A$1:$I$89,3,0)*0.475*44/12</f>
        <v>2.1118490094387288</v>
      </c>
      <c r="AX71" s="21">
        <f t="shared" si="60"/>
        <v>79.465518951688267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8.2474999999999987</v>
      </c>
      <c r="BD71" s="12">
        <f>IF('Données projet'!$A$88&gt;35,BD70+BC71-BL70,IF(A71&lt;'Données projet'!$A$88,$BA$205^A71,IF(A71='Données projet'!$A$88,'Données projet'!$B$88,BD70+BC71-BL70)))</f>
        <v>197.15750000000025</v>
      </c>
      <c r="BE71" s="13">
        <f>BD71*VLOOKUP('Données projet'!$B$11,Paramètres!$A$1:$I$89,3,0)*VLOOKUP('Données projet'!$B$11,Paramètres!$A$1:$I$89,5,0)</f>
        <v>178.38810600000022</v>
      </c>
      <c r="BF71" s="13">
        <f t="shared" si="91"/>
        <v>44.96338191961236</v>
      </c>
      <c r="BG71" s="20">
        <f t="shared" si="61"/>
        <v>389.00384145999186</v>
      </c>
      <c r="BH71" s="59">
        <f t="shared" si="62"/>
        <v>682.33717479332518</v>
      </c>
      <c r="BI71" s="59">
        <f ca="1">AVERAGE(OFFSET($BH$3,0,0,'Données projet'!$E$11+1,1))-AVERAGE(OFFSET($H$3,0,0,'Données projet'!$E$11+1,1))</f>
        <v>490.06222615476065</v>
      </c>
      <c r="BJ71" s="59">
        <f t="shared" si="92"/>
        <v>310.43914804089906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13.163052575859325</v>
      </c>
      <c r="BQ71" s="21">
        <f>EXP(-LN(2)/25)*BQ70+(1-EXP(-LN(2)/25))/(LN(2)/25)*Calculateur!BL71*Calculateur!BN71*VLOOKUP('Données projet'!$B$11,Paramètres!$A$1:$I$89,3,0)*0.475*44/12</f>
        <v>31.144788495757432</v>
      </c>
      <c r="BR71" s="21">
        <f>EXP(-LN(2)/2)*BR70+(1-EXP(-LN(2)/2))/(LN(2)/2)*BL71*BO71*VLOOKUP('Données projet'!$B$11,Paramètres!$A$1:$I$89,3,0)*0.475*44/12</f>
        <v>2.8915787440058316</v>
      </c>
      <c r="BS71" s="22">
        <f t="shared" si="63"/>
        <v>47.199419815622591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244.09007999999994</v>
      </c>
      <c r="CA71" s="13">
        <f t="shared" si="93"/>
        <v>59.318663780863893</v>
      </c>
      <c r="CB71" s="20">
        <f t="shared" si="64"/>
        <v>528.43689541833794</v>
      </c>
      <c r="CC71" s="59">
        <f t="shared" si="65"/>
        <v>821.77022875167131</v>
      </c>
      <c r="CD71" s="59">
        <f ca="1">AVERAGE(OFFSET($CC$3,0,0,'Données projet'!$E$12+1,1))-AVERAGE(OFFSET($H$3,0,0,'Données projet'!$E$12+1,1))</f>
        <v>353.37479213497227</v>
      </c>
      <c r="CE71" s="59">
        <f t="shared" si="94"/>
        <v>345.4750813433123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13.971285191492672</v>
      </c>
      <c r="CL71" s="21">
        <f>EXP(-LN(2)/25)*CL70+(1-EXP(-LN(2)/25))/(LN(2)/25)*Calculateur!CG71*Calculateur!CI71*VLOOKUP('Données projet'!$B$12,Paramètres!$A$1:$I$89,3,0)*0.475*44/12</f>
        <v>14.871151558970359</v>
      </c>
      <c r="CM71" s="21">
        <f>EXP(-LN(2)/2)*CM70+(1-EXP(-LN(2)/2))/(LN(2)/2)*CG71*CJ71*VLOOKUP('Données projet'!$B$12,Paramètres!$A$1:$I$89,3,0)*0.475*44/12</f>
        <v>1.0689468555715862</v>
      </c>
      <c r="CN71" s="22">
        <f t="shared" si="66"/>
        <v>29.911383606034615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13.888</v>
      </c>
      <c r="CT71" s="12">
        <f>IF('Données projet'!$A$140&gt;35,CT70+CS71-DB70,IF(A71&lt;'Données projet'!$A$140,$CQ$205^A71,IF(A71='Données projet'!$A$140,'Données projet'!$B$140,CT70+CS71-DB70)))</f>
        <v>401.76399999999944</v>
      </c>
      <c r="CU71" s="17">
        <f>CT71*VLOOKUP('Données projet'!$B$13,Paramètres!$A$1:$I$89,3,0)*VLOOKUP('Données projet'!$B$13,Paramètres!$A$1:$I$89,5,0)</f>
        <v>193.24848399999976</v>
      </c>
      <c r="CV71" s="13">
        <f t="shared" si="95"/>
        <v>48.257436399972072</v>
      </c>
      <c r="CW71" s="20">
        <f t="shared" si="67"/>
        <v>420.62281136328426</v>
      </c>
      <c r="CX71" s="59">
        <f t="shared" si="68"/>
        <v>713.95614469661757</v>
      </c>
      <c r="CY71" s="59">
        <f ca="1">AVERAGE(OFFSET($CX$3,0,0,'Données projet'!$E$13+1,1))-AVERAGE(OFFSET($H$3,0,0,'Données projet'!$E$13+1,1))</f>
        <v>314.18760071409162</v>
      </c>
      <c r="CZ71" s="59">
        <f t="shared" si="96"/>
        <v>267.72650645201787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18.565503783862514</v>
      </c>
      <c r="DG71" s="21">
        <f>EXP(-LN(2)/25)*DG70+(1-EXP(-LN(2)/25))/(LN(2)/25)*Calculateur!DB71*Calculateur!DD71*VLOOKUP('Données projet'!$B$13,Paramètres!$A$1:$I$89,3,0)*0.475*44/12</f>
        <v>13.93160629496913</v>
      </c>
      <c r="DH71" s="21">
        <f>EXP(-LN(2)/2)*DH70+(1-EXP(-LN(2)/2))/(LN(2)/2)*DB71*DE71*VLOOKUP('Données projet'!$B$13,Paramètres!$A$1:$I$89,3,0)*0.475*44/12</f>
        <v>0.54087022122304862</v>
      </c>
      <c r="DI71" s="22">
        <f t="shared" si="69"/>
        <v>33.037980300054691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223.11743999999993</v>
      </c>
      <c r="DQ71" s="13">
        <f t="shared" si="97"/>
        <v>54.791890039639448</v>
      </c>
      <c r="DR71" s="20">
        <f t="shared" si="70"/>
        <v>484.02541648570531</v>
      </c>
      <c r="DS71" s="59">
        <f t="shared" si="71"/>
        <v>777.35874981903862</v>
      </c>
      <c r="DT71" s="59">
        <f ca="1">AVERAGE(OFFSET($DS$3,0,0,'Données projet'!$E$14+1,1))-AVERAGE(OFFSET($H$3,0,0,'Données projet'!$E$14+1,1))</f>
        <v>324.86930206492627</v>
      </c>
      <c r="DU71" s="59">
        <f t="shared" si="98"/>
        <v>317.03005098025352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11.152669106223819</v>
      </c>
      <c r="EB71" s="21">
        <f>EXP(-LN(2)/25)*EB70+(1-EXP(-LN(2)/25))/(LN(2)/25)*Calculateur!DW71*Calculateur!DY71*VLOOKUP('Données projet'!$B$14,Paramètres!$A$1:$I$89,3,0)*0.475*44/12</f>
        <v>13.250207040982943</v>
      </c>
      <c r="EC71" s="21">
        <f>EXP(-LN(2)/2)*EC70+(1-EXP(-LN(2)/2))/(LN(2)/2)*DW71*DZ71*VLOOKUP('Données projet'!$B$14,Paramètres!$A$1:$I$89,3,0)*0.475*44/12</f>
        <v>0.99439201548486067</v>
      </c>
      <c r="ED71" s="22">
        <f t="shared" si="72"/>
        <v>25.397268162691621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302.00825291248458</v>
      </c>
      <c r="T72" s="59">
        <f t="shared" si="88"/>
        <v>307.35115839449355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116.19780804603049</v>
      </c>
      <c r="AA72" s="21">
        <f>EXP(-LN(2)/25)*AA71+(1-EXP(-LN(2)/25))/(LN(2)/25)*Calculateur!V72*Calculateur!X72*VLOOKUP('Données projet'!$B$9,Paramètres!$A$1:$I$89,3,0)*0.475*44/12</f>
        <v>37.743135662008875</v>
      </c>
      <c r="AB72" s="21">
        <f>EXP(-LN(2)/2)*AB71+(1-EXP(-LN(2)/2))/(LN(2)/2)*V72*Y72*VLOOKUP('Données projet'!$B$9,Paramètres!$A$1:$I$89,3,0)*0.475*44/12</f>
        <v>2.6499464268826647</v>
      </c>
      <c r="AC72" s="22">
        <f t="shared" si="57"/>
        <v>156.59089013492203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17.2</v>
      </c>
      <c r="AI72" s="13">
        <f>IF('Données projet'!$A$62&gt;35,AI71+AH72-AQ71,IF(A72&lt;'Données projet'!$A$62,$AF$205^A72,IF(A72='Données projet'!$A$62,'Données projet'!$B$62,AI71+AH72-AQ71)))</f>
        <v>694.80000000000018</v>
      </c>
      <c r="AJ72" s="13">
        <f>AI72*VLOOKUP('Données projet'!$B$10,Paramètres!$A$1:$I$89,3,0)*VLOOKUP('Données projet'!$B$10,Paramètres!$A$1:$I$89,5,0)</f>
        <v>307.10160000000013</v>
      </c>
      <c r="AK72" s="13">
        <f t="shared" si="89"/>
        <v>72.663198365143572</v>
      </c>
      <c r="AL72" s="20">
        <f t="shared" si="58"/>
        <v>661.42369048595856</v>
      </c>
      <c r="AM72" s="59">
        <f t="shared" si="59"/>
        <v>954.75702381929182</v>
      </c>
      <c r="AN72" s="59">
        <f ca="1">AVERAGE(OFFSET($AM$3,0,0,'Données projet'!$E$10+1,1))-AVERAGE(OFFSET($H$3,0,0,'Données projet'!$E$10+1,1))</f>
        <v>394.37446333077651</v>
      </c>
      <c r="AO72" s="59">
        <f t="shared" si="90"/>
        <v>335.44327961212963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51.979806773175419</v>
      </c>
      <c r="AV72" s="21">
        <f>EXP(-LN(2)/25)*AV71+(1-EXP(-LN(2)/25))/(LN(2)/25)*Calculateur!AQ72*Calculateur!AS72*VLOOKUP('Données projet'!$B$10,Paramètres!$A$1:$I$89,3,0)*0.475*44/12</f>
        <v>23.668763852106174</v>
      </c>
      <c r="AW72" s="21">
        <f>EXP(-LN(2)/2)*AW71+(1-EXP(-LN(2)/2))/(LN(2)/2)*AQ72*AT72*VLOOKUP('Données projet'!$B$10,Paramètres!$A$1:$I$89,3,0)*0.475*44/12</f>
        <v>1.4933027554162184</v>
      </c>
      <c r="AX72" s="21">
        <f t="shared" si="60"/>
        <v>77.141873380697817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8.2474999999999987</v>
      </c>
      <c r="BD72" s="12">
        <f>IF('Données projet'!$A$88&gt;35,BD71+BC72-BL71,IF(A72&lt;'Données projet'!$A$88,$BA$205^A72,IF(A72='Données projet'!$A$88,'Données projet'!$B$88,BD71+BC72-BL71)))</f>
        <v>205.40500000000026</v>
      </c>
      <c r="BE72" s="13">
        <f>BD72*VLOOKUP('Données projet'!$B$11,Paramètres!$A$1:$I$89,3,0)*VLOOKUP('Données projet'!$B$11,Paramètres!$A$1:$I$89,5,0)</f>
        <v>185.85044400000024</v>
      </c>
      <c r="BF72" s="13">
        <f t="shared" si="91"/>
        <v>46.621369253856919</v>
      </c>
      <c r="BG72" s="20">
        <f t="shared" si="61"/>
        <v>404.88840808380127</v>
      </c>
      <c r="BH72" s="59">
        <f t="shared" si="62"/>
        <v>698.22174141713458</v>
      </c>
      <c r="BI72" s="59">
        <f ca="1">AVERAGE(OFFSET($BH$3,0,0,'Données projet'!$E$11+1,1))-AVERAGE(OFFSET($H$3,0,0,'Données projet'!$E$11+1,1))</f>
        <v>490.06222615476065</v>
      </c>
      <c r="BJ72" s="59">
        <f t="shared" si="92"/>
        <v>310.43914804089906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12.904933143516029</v>
      </c>
      <c r="BQ72" s="21">
        <f>EXP(-LN(2)/25)*BQ71+(1-EXP(-LN(2)/25))/(LN(2)/25)*Calculateur!BL72*Calculateur!BN72*VLOOKUP('Données projet'!$B$11,Paramètres!$A$1:$I$89,3,0)*0.475*44/12</f>
        <v>30.293132616507702</v>
      </c>
      <c r="BR72" s="21">
        <f>EXP(-LN(2)/2)*BR71+(1-EXP(-LN(2)/2))/(LN(2)/2)*BL72*BO72*VLOOKUP('Données projet'!$B$11,Paramètres!$A$1:$I$89,3,0)*0.475*44/12</f>
        <v>2.0446549382214037</v>
      </c>
      <c r="BS72" s="22">
        <f t="shared" si="63"/>
        <v>45.242720698245137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247.74983999999995</v>
      </c>
      <c r="CA72" s="13">
        <f t="shared" si="93"/>
        <v>60.103849700617872</v>
      </c>
      <c r="CB72" s="20">
        <f t="shared" si="64"/>
        <v>536.17850956190932</v>
      </c>
      <c r="CC72" s="59">
        <f t="shared" si="65"/>
        <v>829.51184289524258</v>
      </c>
      <c r="CD72" s="59">
        <f ca="1">AVERAGE(OFFSET($CC$3,0,0,'Données projet'!$E$12+1,1))-AVERAGE(OFFSET($H$3,0,0,'Données projet'!$E$12+1,1))</f>
        <v>353.37479213497227</v>
      </c>
      <c r="CE72" s="59">
        <f t="shared" si="94"/>
        <v>345.4750813433123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13.697316810530026</v>
      </c>
      <c r="CL72" s="21">
        <f>EXP(-LN(2)/25)*CL71+(1-EXP(-LN(2)/25))/(LN(2)/25)*Calculateur!CG72*Calculateur!CI72*VLOOKUP('Données projet'!$B$12,Paramètres!$A$1:$I$89,3,0)*0.475*44/12</f>
        <v>14.464499137550442</v>
      </c>
      <c r="CM72" s="21">
        <f>EXP(-LN(2)/2)*CM71+(1-EXP(-LN(2)/2))/(LN(2)/2)*CG72*CJ72*VLOOKUP('Données projet'!$B$12,Paramètres!$A$1:$I$89,3,0)*0.475*44/12</f>
        <v>0.75585957030270567</v>
      </c>
      <c r="CN72" s="22">
        <f t="shared" si="66"/>
        <v>28.917675518383174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13.888</v>
      </c>
      <c r="CT72" s="12">
        <f>IF('Données projet'!$A$140&gt;35,CT71+CS72-DB71,IF(A72&lt;'Données projet'!$A$140,$CQ$205^A72,IF(A72='Données projet'!$A$140,'Données projet'!$B$140,CT71+CS72-DB71)))</f>
        <v>415.65199999999942</v>
      </c>
      <c r="CU72" s="17">
        <f>CT72*VLOOKUP('Données projet'!$B$13,Paramètres!$A$1:$I$89,3,0)*VLOOKUP('Données projet'!$B$13,Paramètres!$A$1:$I$89,5,0)</f>
        <v>199.92861199999973</v>
      </c>
      <c r="CV72" s="13">
        <f t="shared" si="95"/>
        <v>49.728478477719449</v>
      </c>
      <c r="CW72" s="20">
        <f t="shared" si="67"/>
        <v>434.81943258202756</v>
      </c>
      <c r="CX72" s="59">
        <f t="shared" si="68"/>
        <v>728.15276591536087</v>
      </c>
      <c r="CY72" s="59">
        <f ca="1">AVERAGE(OFFSET($CX$3,0,0,'Données projet'!$E$13+1,1))-AVERAGE(OFFSET($H$3,0,0,'Données projet'!$E$13+1,1))</f>
        <v>314.18760071409162</v>
      </c>
      <c r="CZ72" s="59">
        <f t="shared" si="96"/>
        <v>267.72650645201787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18.201445578500142</v>
      </c>
      <c r="DG72" s="21">
        <f>EXP(-LN(2)/25)*DG71+(1-EXP(-LN(2)/25))/(LN(2)/25)*Calculateur!DB72*Calculateur!DD72*VLOOKUP('Données projet'!$B$13,Paramètres!$A$1:$I$89,3,0)*0.475*44/12</f>
        <v>13.550645788201866</v>
      </c>
      <c r="DH72" s="21">
        <f>EXP(-LN(2)/2)*DH71+(1-EXP(-LN(2)/2))/(LN(2)/2)*DB72*DE72*VLOOKUP('Données projet'!$B$13,Paramètres!$A$1:$I$89,3,0)*0.475*44/12</f>
        <v>0.3824530011686858</v>
      </c>
      <c r="DI72" s="22">
        <f t="shared" si="69"/>
        <v>32.134544367870696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226.43711999999991</v>
      </c>
      <c r="DQ72" s="13">
        <f t="shared" si="97"/>
        <v>55.5116049933753</v>
      </c>
      <c r="DR72" s="20">
        <f t="shared" si="70"/>
        <v>491.06069603012844</v>
      </c>
      <c r="DS72" s="59">
        <f t="shared" si="71"/>
        <v>784.39402936346175</v>
      </c>
      <c r="DT72" s="59">
        <f ca="1">AVERAGE(OFFSET($DS$3,0,0,'Données projet'!$E$14+1,1))-AVERAGE(OFFSET($H$3,0,0,'Données projet'!$E$14+1,1))</f>
        <v>324.86930206492627</v>
      </c>
      <c r="DU72" s="59">
        <f t="shared" si="98"/>
        <v>317.03005098025352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10.933972067507238</v>
      </c>
      <c r="EB72" s="21">
        <f>EXP(-LN(2)/25)*EB71+(1-EXP(-LN(2)/25))/(LN(2)/25)*Calculateur!DW72*Calculateur!DY72*VLOOKUP('Données projet'!$B$14,Paramètres!$A$1:$I$89,3,0)*0.475*44/12</f>
        <v>12.887879432649159</v>
      </c>
      <c r="EC72" s="21">
        <f>EXP(-LN(2)/2)*EC71+(1-EXP(-LN(2)/2))/(LN(2)/2)*DW72*DZ72*VLOOKUP('Données projet'!$B$14,Paramètres!$A$1:$I$89,3,0)*0.475*44/12</f>
        <v>0.70314133730710338</v>
      </c>
      <c r="ED72" s="22">
        <f t="shared" si="72"/>
        <v>24.5249928374635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302.00825291248458</v>
      </c>
      <c r="T73" s="59">
        <f t="shared" si="88"/>
        <v>307.35115839449355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113.91923990391254</v>
      </c>
      <c r="AA73" s="21">
        <f>EXP(-LN(2)/25)*AA72+(1-EXP(-LN(2)/25))/(LN(2)/25)*Calculateur!V73*Calculateur!X73*VLOOKUP('Données projet'!$B$9,Paramètres!$A$1:$I$89,3,0)*0.475*44/12</f>
        <v>36.711047632506002</v>
      </c>
      <c r="AB73" s="21">
        <f>EXP(-LN(2)/2)*AB72+(1-EXP(-LN(2)/2))/(LN(2)/2)*V73*Y73*VLOOKUP('Données projet'!$B$9,Paramètres!$A$1:$I$89,3,0)*0.475*44/12</f>
        <v>1.873795088229794</v>
      </c>
      <c r="AC73" s="22">
        <f t="shared" si="57"/>
        <v>152.50408262464833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712</v>
      </c>
      <c r="AG73" s="12">
        <f>VLOOKUP(A73,'Données projet'!$A$61:$I$81,9,0)</f>
        <v>17.2</v>
      </c>
      <c r="AH73" s="12">
        <f t="array" ref="AH73">INDEX(AG:AG,MIN(IF(ISNUMBER(AG73:AG269),ROW(AG73:AG269),"")))</f>
        <v>17.2</v>
      </c>
      <c r="AI73" s="13">
        <f>IF('Données projet'!$A$62&gt;35,AI72+AH73-AQ72,IF(A73&lt;'Données projet'!$A$62,$AF$205^A73,IF(A73='Données projet'!$A$62,'Données projet'!$B$62,AI72+AH73-AQ72)))</f>
        <v>712.00000000000023</v>
      </c>
      <c r="AJ73" s="13">
        <f>AI73*VLOOKUP('Données projet'!$B$10,Paramètres!$A$1:$I$89,3,0)*VLOOKUP('Données projet'!$B$10,Paramètres!$A$1:$I$89,5,0)</f>
        <v>314.70400000000012</v>
      </c>
      <c r="AK73" s="13">
        <f t="shared" si="89"/>
        <v>74.250349876926123</v>
      </c>
      <c r="AL73" s="20">
        <f t="shared" si="58"/>
        <v>677.42882603564658</v>
      </c>
      <c r="AM73" s="59">
        <f t="shared" si="59"/>
        <v>970.76215936897984</v>
      </c>
      <c r="AN73" s="59">
        <f ca="1">AVERAGE(OFFSET($AM$3,0,0,'Données projet'!$E$10+1,1))-AVERAGE(OFFSET($H$3,0,0,'Données projet'!$E$10+1,1))</f>
        <v>394.37446333077651</v>
      </c>
      <c r="AO73" s="59">
        <f t="shared" si="90"/>
        <v>335.44327961212963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45</v>
      </c>
      <c r="AR73" s="16">
        <f>IF(ISNA(VLOOKUP(A73,'Données projet'!$A$61:$I$81,5,0)),0%,VLOOKUP(A73,'Données projet'!$A$61:$I$81,5,0)*VLOOKUP('Données projet'!$B$10,Paramètres!$A$1:$I$89,7,0))</f>
        <v>0.33</v>
      </c>
      <c r="AS73" s="16">
        <f>IF(ISNA(VLOOKUP(A73,'Données projet'!$A$61:$I$81,6,0)),0%,VLOOKUP(A73,'Données projet'!$A$61:$I$81,6,0)*VLOOKUP('Données projet'!$B$10,Paramètres!$A$1:$I$89,7,0))</f>
        <v>0.11000000000000001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59.667685583073528</v>
      </c>
      <c r="AV73" s="21">
        <f>EXP(-LN(2)/25)*AV72+(1-EXP(-LN(2)/25))/(LN(2)/25)*Calculateur!AQ73*Calculateur!AS73*VLOOKUP('Données projet'!$B$10,Paramètres!$A$1:$I$89,3,0)*0.475*44/12</f>
        <v>25.912502815148091</v>
      </c>
      <c r="AW73" s="21">
        <f>EXP(-LN(2)/2)*AW72+(1-EXP(-LN(2)/2))/(LN(2)/2)*AQ73*AT73*VLOOKUP('Données projet'!$B$10,Paramètres!$A$1:$I$89,3,0)*0.475*44/12</f>
        <v>5.5599445842796458</v>
      </c>
      <c r="AX73" s="21">
        <f t="shared" si="60"/>
        <v>91.140132982501271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8.2474999999999987</v>
      </c>
      <c r="BD73" s="12">
        <f>IF('Données projet'!$A$88&gt;35,BD72+BC73-BL72,IF(A73&lt;'Données projet'!$A$88,$BA$205^A73,IF(A73='Données projet'!$A$88,'Données projet'!$B$88,BD72+BC73-BL72)))</f>
        <v>213.65250000000026</v>
      </c>
      <c r="BE73" s="13">
        <f>BD73*VLOOKUP('Données projet'!$B$11,Paramètres!$A$1:$I$89,3,0)*VLOOKUP('Données projet'!$B$11,Paramètres!$A$1:$I$89,5,0)</f>
        <v>193.31278200000023</v>
      </c>
      <c r="BF73" s="13">
        <f t="shared" si="91"/>
        <v>48.271623476583684</v>
      </c>
      <c r="BG73" s="20">
        <f t="shared" si="61"/>
        <v>420.75950620505029</v>
      </c>
      <c r="BH73" s="59">
        <f t="shared" si="62"/>
        <v>714.0928395383836</v>
      </c>
      <c r="BI73" s="59">
        <f ca="1">AVERAGE(OFFSET($BH$3,0,0,'Données projet'!$E$11+1,1))-AVERAGE(OFFSET($H$3,0,0,'Données projet'!$E$11+1,1))</f>
        <v>490.06222615476065</v>
      </c>
      <c r="BJ73" s="59">
        <f t="shared" si="92"/>
        <v>310.43914804089906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12.651875275803677</v>
      </c>
      <c r="BQ73" s="21">
        <f>EXP(-LN(2)/25)*BQ72+(1-EXP(-LN(2)/25))/(LN(2)/25)*Calculateur!BL73*Calculateur!BN73*VLOOKUP('Données projet'!$B$11,Paramètres!$A$1:$I$89,3,0)*0.475*44/12</f>
        <v>29.464765312062688</v>
      </c>
      <c r="BR73" s="21">
        <f>EXP(-LN(2)/2)*BR72+(1-EXP(-LN(2)/2))/(LN(2)/2)*BL73*BO73*VLOOKUP('Données projet'!$B$11,Paramètres!$A$1:$I$89,3,0)*0.475*44/12</f>
        <v>1.445789372002916</v>
      </c>
      <c r="BS73" s="22">
        <f t="shared" si="63"/>
        <v>43.562429959869277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251.40959999999995</v>
      </c>
      <c r="CA73" s="13">
        <f t="shared" si="93"/>
        <v>60.887686632376123</v>
      </c>
      <c r="CB73" s="20">
        <f t="shared" si="64"/>
        <v>543.917774218055</v>
      </c>
      <c r="CC73" s="59">
        <f t="shared" si="65"/>
        <v>837.25110755138826</v>
      </c>
      <c r="CD73" s="59">
        <f ca="1">AVERAGE(OFFSET($CC$3,0,0,'Données projet'!$E$12+1,1))-AVERAGE(OFFSET($H$3,0,0,'Données projet'!$E$12+1,1))</f>
        <v>353.37479213497227</v>
      </c>
      <c r="CE73" s="59">
        <f t="shared" si="94"/>
        <v>345.4750813433123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0.13250000000000001</v>
      </c>
      <c r="CI73" s="16">
        <f>IF(ISNA(VLOOKUP(A73,'Données projet'!$A$113:$I$133,6,0)),0%,VLOOKUP(A73,'Données projet'!$A$113:$I$133,6,0)*VLOOKUP('Données projet'!$B$12,Paramètres!$A$1:$I$89,7,0))</f>
        <v>0.13250000000000001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14.94368060540377</v>
      </c>
      <c r="CL73" s="21">
        <f>EXP(-LN(2)/25)*CL72+(1-EXP(-LN(2)/25))/(LN(2)/25)*Calculateur!CG73*Calculateur!CI73*VLOOKUP('Données projet'!$B$12,Paramètres!$A$1:$I$89,3,0)*0.475*44/12</f>
        <v>15.57796149690104</v>
      </c>
      <c r="CM73" s="21">
        <f>EXP(-LN(2)/2)*CM72+(1-EXP(-LN(2)/2))/(LN(2)/2)*CG73*CJ73*VLOOKUP('Données projet'!$B$12,Paramètres!$A$1:$I$89,3,0)*0.475*44/12</f>
        <v>2.9741509708809453</v>
      </c>
      <c r="CN73" s="22">
        <f t="shared" si="66"/>
        <v>33.495793073185752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429.54</v>
      </c>
      <c r="CR73" s="12">
        <f>VLOOKUP(A73,'Données projet'!$A$139:$I$159,9,0)</f>
        <v>13.888</v>
      </c>
      <c r="CS73" s="12">
        <f t="array" ref="CS73">INDEX(CR:CR,MIN(IF(ISNUMBER(CR73:CR269),ROW(CR73:CR269),"")))</f>
        <v>13.888</v>
      </c>
      <c r="CT73" s="12">
        <f>IF('Données projet'!$A$140&gt;35,CT72+CS73-DB72,IF(A73&lt;'Données projet'!$A$140,$CQ$205^A73,IF(A73='Données projet'!$A$140,'Données projet'!$B$140,CT72+CS73-DB72)))</f>
        <v>429.5399999999994</v>
      </c>
      <c r="CU73" s="17">
        <f>CT73*VLOOKUP('Données projet'!$B$13,Paramètres!$A$1:$I$89,3,0)*VLOOKUP('Données projet'!$B$13,Paramètres!$A$1:$I$89,5,0)</f>
        <v>206.6087399999997</v>
      </c>
      <c r="CV73" s="13">
        <f t="shared" si="95"/>
        <v>51.193809333690908</v>
      </c>
      <c r="CW73" s="20">
        <f t="shared" si="67"/>
        <v>449.00610675617781</v>
      </c>
      <c r="CX73" s="59">
        <f t="shared" si="68"/>
        <v>742.33944008951107</v>
      </c>
      <c r="CY73" s="59">
        <f ca="1">AVERAGE(OFFSET($CX$3,0,0,'Données projet'!$E$13+1,1))-AVERAGE(OFFSET($H$3,0,0,'Données projet'!$E$13+1,1))</f>
        <v>314.18760071409162</v>
      </c>
      <c r="CZ73" s="59">
        <f t="shared" si="96"/>
        <v>267.72650645201787</v>
      </c>
      <c r="DA73" s="15">
        <f>IF(ISNA(VLOOKUP(A73,'Données projet'!$A$139:$I$159,3,0)),0,VLOOKUP(A73,'Données projet'!$A$139:$I$159,3,0))</f>
        <v>3</v>
      </c>
      <c r="DB73" s="15">
        <f>IF(ISNA(VLOOKUP(A73,'Données projet'!$A$139:$I$159,4,0)),0,VLOOKUP(A73,'Données projet'!$A$139:$I$159,4,0))</f>
        <v>115.41000000000003</v>
      </c>
      <c r="DC73" s="16">
        <f>IF(ISNA(VLOOKUP(A73,'Données projet'!$A$139:$I$159,5,0)),0%,VLOOKUP(A73,'Données projet'!$A$139:$I$159,5,0)*VLOOKUP('Données projet'!$B$13,Paramètres!$A$1:$I$89,7,0))</f>
        <v>0.22000000000000003</v>
      </c>
      <c r="DD73" s="16">
        <f>IF(ISNA(VLOOKUP(A73,'Données projet'!$A$139:$I$159,6,0)),0%,VLOOKUP(A73,'Données projet'!$A$139:$I$159,6,0)*VLOOKUP('Données projet'!$B$13,Paramètres!$A$1:$I$89,7,0))</f>
        <v>5.5000000000000007E-2</v>
      </c>
      <c r="DE73" s="16">
        <f>IF(ISNA(VLOOKUP(A73,'Données projet'!$A$139:$I$159,7,0)),0%,VLOOKUP(A73,'Données projet'!$A$139:$I$159,7,0))</f>
        <v>0.1</v>
      </c>
      <c r="DF73" s="21">
        <f>EXP(-LN(2)/35)*DF72+(1-EXP(-LN(2)/35))/(LN(2)/35)*DB73*DC73*VLOOKUP('Données projet'!$B$13,Paramètres!$A$1:$I$89,3,0)*0.475*44/12</f>
        <v>34.04544175084834</v>
      </c>
      <c r="DG73" s="21">
        <f>EXP(-LN(2)/25)*DG72+(1-EXP(-LN(2)/25))/(LN(2)/25)*Calculateur!DB73*Calculateur!DD73*VLOOKUP('Données projet'!$B$13,Paramètres!$A$1:$I$89,3,0)*0.475*44/12</f>
        <v>17.214384226856541</v>
      </c>
      <c r="DH73" s="21">
        <f>EXP(-LN(2)/2)*DH72+(1-EXP(-LN(2)/2))/(LN(2)/2)*DB73*DE73*VLOOKUP('Données projet'!$B$13,Paramètres!$A$1:$I$89,3,0)*0.475*44/12</f>
        <v>6.5557068175186917</v>
      </c>
      <c r="DI73" s="22">
        <f t="shared" si="69"/>
        <v>57.815532795223568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229.75679999999991</v>
      </c>
      <c r="DQ73" s="13">
        <f t="shared" si="97"/>
        <v>56.23009276772752</v>
      </c>
      <c r="DR73" s="20">
        <f t="shared" si="70"/>
        <v>498.09383823712528</v>
      </c>
      <c r="DS73" s="59">
        <f t="shared" si="71"/>
        <v>791.42717157045854</v>
      </c>
      <c r="DT73" s="59">
        <f ca="1">AVERAGE(OFFSET($DS$3,0,0,'Données projet'!$E$14+1,1))-AVERAGE(OFFSET($H$3,0,0,'Données projet'!$E$14+1,1))</f>
        <v>324.86930206492627</v>
      </c>
      <c r="DU73" s="59">
        <f t="shared" si="98"/>
        <v>317.03005098025352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0.13250000000000001</v>
      </c>
      <c r="DY73" s="16">
        <f>IF(ISNA(VLOOKUP(A73,'Données projet'!$A$165:$I$185,6,0)),0%,VLOOKUP(A73,'Données projet'!$A$165:$I$185,6,0)*VLOOKUP('Données projet'!$B$14,Paramètres!$A$1:$I$89,7,0))</f>
        <v>0.13250000000000001</v>
      </c>
      <c r="DZ73" s="16">
        <f>IF(ISNA(VLOOKUP(A73,'Données projet'!$A$165:$I$185,7,0)),0%,VLOOKUP(A73,'Données projet'!$A$165:$I$185,7,0))</f>
        <v>0.25</v>
      </c>
      <c r="EA73" s="21">
        <f>EXP(-LN(2)/35)*EA72+(1-EXP(-LN(2)/35))/(LN(2)/35)*DW73*DX73*VLOOKUP('Données projet'!$B$14,Paramètres!$A$1:$I$89,3,0)*0.475*44/12</f>
        <v>11.999167618044847</v>
      </c>
      <c r="EB73" s="21">
        <f>EXP(-LN(2)/25)*EB72+(1-EXP(-LN(2)/25))/(LN(2)/25)*Calculateur!DW73*Calculateur!DY73*VLOOKUP('Données projet'!$B$14,Paramètres!$A$1:$I$89,3,0)*0.475*44/12</f>
        <v>13.810025476730626</v>
      </c>
      <c r="EC73" s="21">
        <f>EXP(-LN(2)/2)*EC72+(1-EXP(-LN(2)/2))/(LN(2)/2)*DW73*DZ73*VLOOKUP('Données projet'!$B$14,Paramètres!$A$1:$I$89,3,0)*0.475*44/12</f>
        <v>2.5578587892405982</v>
      </c>
      <c r="ED73" s="22">
        <f t="shared" si="72"/>
        <v>28.367051884016071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302.00825291248458</v>
      </c>
      <c r="T74" s="59">
        <f t="shared" si="88"/>
        <v>307.35115839449355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111.6853530932722</v>
      </c>
      <c r="AA74" s="21">
        <f>EXP(-LN(2)/25)*AA73+(1-EXP(-LN(2)/25))/(LN(2)/25)*Calculateur!V74*Calculateur!X74*VLOOKUP('Données projet'!$B$9,Paramètres!$A$1:$I$89,3,0)*0.475*44/12</f>
        <v>35.707182104445032</v>
      </c>
      <c r="AB74" s="21">
        <f>EXP(-LN(2)/2)*AB73+(1-EXP(-LN(2)/2))/(LN(2)/2)*V74*Y74*VLOOKUP('Données projet'!$B$9,Paramètres!$A$1:$I$89,3,0)*0.475*44/12</f>
        <v>1.3249732134413326</v>
      </c>
      <c r="AC74" s="22">
        <f t="shared" si="57"/>
        <v>148.71750841115855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15.8</v>
      </c>
      <c r="AI74" s="13">
        <f>IF('Données projet'!$A$62&gt;35,AI73+AH74-AQ73,IF(A74&lt;'Données projet'!$A$62,$AF$205^A74,IF(A74='Données projet'!$A$62,'Données projet'!$B$62,AI73+AH74-AQ73)))</f>
        <v>682.80000000000018</v>
      </c>
      <c r="AJ74" s="13">
        <f>AI74*VLOOKUP('Données projet'!$B$10,Paramètres!$A$1:$I$89,3,0)*VLOOKUP('Données projet'!$B$10,Paramètres!$A$1:$I$89,5,0)</f>
        <v>301.7976000000001</v>
      </c>
      <c r="AK74" s="13">
        <f t="shared" si="89"/>
        <v>71.553178355215891</v>
      </c>
      <c r="AL74" s="20">
        <f t="shared" si="58"/>
        <v>650.25260563533459</v>
      </c>
      <c r="AM74" s="59">
        <f t="shared" si="59"/>
        <v>943.58593896866796</v>
      </c>
      <c r="AN74" s="59">
        <f ca="1">AVERAGE(OFFSET($AM$3,0,0,'Données projet'!$E$10+1,1))-AVERAGE(OFFSET($H$3,0,0,'Données projet'!$E$10+1,1))</f>
        <v>394.37446333077651</v>
      </c>
      <c r="AO74" s="59">
        <f t="shared" si="90"/>
        <v>335.44327961212963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58.497638662484086</v>
      </c>
      <c r="AV74" s="21">
        <f>EXP(-LN(2)/25)*AV73+(1-EXP(-LN(2)/25))/(LN(2)/25)*Calculateur!AQ74*Calculateur!AS74*VLOOKUP('Données projet'!$B$10,Paramètres!$A$1:$I$89,3,0)*0.475*44/12</f>
        <v>25.203924062988566</v>
      </c>
      <c r="AW74" s="21">
        <f>EXP(-LN(2)/2)*AW73+(1-EXP(-LN(2)/2))/(LN(2)/2)*AQ74*AT74*VLOOKUP('Données projet'!$B$10,Paramètres!$A$1:$I$89,3,0)*0.475*44/12</f>
        <v>3.9314745185655577</v>
      </c>
      <c r="AX74" s="21">
        <f t="shared" si="60"/>
        <v>87.633037244038206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8.2474999999999987</v>
      </c>
      <c r="BD74" s="12">
        <f>IF('Données projet'!$A$88&gt;35,BD73+BC74-BL73,IF(A74&lt;'Données projet'!$A$88,$BA$205^A74,IF(A74='Données projet'!$A$88,'Données projet'!$B$88,BD73+BC74-BL73)))</f>
        <v>221.90000000000026</v>
      </c>
      <c r="BE74" s="13">
        <f>BD74*VLOOKUP('Données projet'!$B$11,Paramètres!$A$1:$I$89,3,0)*VLOOKUP('Données projet'!$B$11,Paramètres!$A$1:$I$89,5,0)</f>
        <v>200.77512000000021</v>
      </c>
      <c r="BF74" s="13">
        <f t="shared" si="91"/>
        <v>49.914477272475111</v>
      </c>
      <c r="BG74" s="20">
        <f t="shared" si="61"/>
        <v>436.61771524956117</v>
      </c>
      <c r="BH74" s="59">
        <f t="shared" si="62"/>
        <v>729.95104858289449</v>
      </c>
      <c r="BI74" s="59">
        <f ca="1">AVERAGE(OFFSET($BH$3,0,0,'Données projet'!$E$11+1,1))-AVERAGE(OFFSET($H$3,0,0,'Données projet'!$E$11+1,1))</f>
        <v>490.06222615476065</v>
      </c>
      <c r="BJ74" s="59">
        <f t="shared" si="92"/>
        <v>310.43914804089906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12.403779718527106</v>
      </c>
      <c r="BQ74" s="21">
        <f>EXP(-LN(2)/25)*BQ73+(1-EXP(-LN(2)/25))/(LN(2)/25)*Calculateur!BL74*Calculateur!BN74*VLOOKUP('Données projet'!$B$11,Paramètres!$A$1:$I$89,3,0)*0.475*44/12</f>
        <v>28.659049755119668</v>
      </c>
      <c r="BR74" s="21">
        <f>EXP(-LN(2)/2)*BR73+(1-EXP(-LN(2)/2))/(LN(2)/2)*BL74*BO74*VLOOKUP('Données projet'!$B$11,Paramètres!$A$1:$I$89,3,0)*0.475*44/12</f>
        <v>1.022327469110702</v>
      </c>
      <c r="BS74" s="22">
        <f t="shared" si="63"/>
        <v>42.085156942757472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244.40831999999995</v>
      </c>
      <c r="CA74" s="13">
        <f t="shared" si="93"/>
        <v>59.38699493610541</v>
      </c>
      <c r="CB74" s="20">
        <f t="shared" si="64"/>
        <v>529.11017351371675</v>
      </c>
      <c r="CC74" s="59">
        <f t="shared" si="65"/>
        <v>822.44350684705</v>
      </c>
      <c r="CD74" s="59">
        <f ca="1">AVERAGE(OFFSET($CC$3,0,0,'Données projet'!$E$12+1,1))-AVERAGE(OFFSET($H$3,0,0,'Données projet'!$E$12+1,1))</f>
        <v>353.37479213497227</v>
      </c>
      <c r="CE74" s="59">
        <f t="shared" si="94"/>
        <v>345.4750813433123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14.650644143476965</v>
      </c>
      <c r="CL74" s="21">
        <f>EXP(-LN(2)/25)*CL73+(1-EXP(-LN(2)/25))/(LN(2)/25)*Calculateur!CG74*Calculateur!CI74*VLOOKUP('Données projet'!$B$12,Paramètres!$A$1:$I$89,3,0)*0.475*44/12</f>
        <v>15.151981320558889</v>
      </c>
      <c r="CM74" s="21">
        <f>EXP(-LN(2)/2)*CM73+(1-EXP(-LN(2)/2))/(LN(2)/2)*CG74*CJ74*VLOOKUP('Données projet'!$B$12,Paramètres!$A$1:$I$89,3,0)*0.475*44/12</f>
        <v>2.1030423197824706</v>
      </c>
      <c r="CN74" s="22">
        <f t="shared" si="66"/>
        <v>31.905667783818327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10.526999999999997</v>
      </c>
      <c r="CT74" s="12">
        <f>IF('Données projet'!$A$140&gt;35,CT73+CS74-DB73,IF(A74&lt;'Données projet'!$A$140,$CQ$205^A74,IF(A74='Données projet'!$A$140,'Données projet'!$B$140,CT73+CS74-DB73)))</f>
        <v>324.65699999999936</v>
      </c>
      <c r="CU74" s="17">
        <f>CT74*VLOOKUP('Données projet'!$B$13,Paramètres!$A$1:$I$89,3,0)*VLOOKUP('Données projet'!$B$13,Paramètres!$A$1:$I$89,5,0)</f>
        <v>156.1600169999997</v>
      </c>
      <c r="CV74" s="13">
        <f t="shared" si="95"/>
        <v>39.975175788756573</v>
      </c>
      <c r="CW74" s="20">
        <f t="shared" si="67"/>
        <v>341.60212744041718</v>
      </c>
      <c r="CX74" s="59">
        <f t="shared" si="68"/>
        <v>634.93546077375049</v>
      </c>
      <c r="CY74" s="59">
        <f ca="1">AVERAGE(OFFSET($CX$3,0,0,'Données projet'!$E$13+1,1))-AVERAGE(OFFSET($H$3,0,0,'Données projet'!$E$13+1,1))</f>
        <v>314.18760071409162</v>
      </c>
      <c r="CZ74" s="59">
        <f t="shared" si="96"/>
        <v>267.72650645201787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33.377831403783233</v>
      </c>
      <c r="DG74" s="21">
        <f>EXP(-LN(2)/25)*DG73+(1-EXP(-LN(2)/25))/(LN(2)/25)*Calculateur!DB74*Calculateur!DD74*VLOOKUP('Données projet'!$B$13,Paramètres!$A$1:$I$89,3,0)*0.475*44/12</f>
        <v>16.743655984908028</v>
      </c>
      <c r="DH74" s="21">
        <f>EXP(-LN(2)/2)*DH73+(1-EXP(-LN(2)/2))/(LN(2)/2)*DB74*DE74*VLOOKUP('Données projet'!$B$13,Paramètres!$A$1:$I$89,3,0)*0.475*44/12</f>
        <v>4.6355847461383473</v>
      </c>
      <c r="DI74" s="22">
        <f t="shared" si="69"/>
        <v>54.757072134829613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223.99103999999991</v>
      </c>
      <c r="DQ74" s="13">
        <f t="shared" si="97"/>
        <v>54.981408824201552</v>
      </c>
      <c r="DR74" s="20">
        <f t="shared" si="70"/>
        <v>485.87701503548419</v>
      </c>
      <c r="DS74" s="59">
        <f t="shared" si="71"/>
        <v>779.21034836881745</v>
      </c>
      <c r="DT74" s="59">
        <f ca="1">AVERAGE(OFFSET($DS$3,0,0,'Données projet'!$E$14+1,1))-AVERAGE(OFFSET($H$3,0,0,'Données projet'!$E$14+1,1))</f>
        <v>324.86930206492627</v>
      </c>
      <c r="DU74" s="59">
        <f t="shared" si="98"/>
        <v>317.03005098025352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11.763871259824567</v>
      </c>
      <c r="EB74" s="21">
        <f>EXP(-LN(2)/25)*EB73+(1-EXP(-LN(2)/25))/(LN(2)/25)*Calculateur!DW74*Calculateur!DY74*VLOOKUP('Données projet'!$B$14,Paramètres!$A$1:$I$89,3,0)*0.475*44/12</f>
        <v>13.432389603831751</v>
      </c>
      <c r="EC74" s="21">
        <f>EXP(-LN(2)/2)*EC73+(1-EXP(-LN(2)/2))/(LN(2)/2)*DW74*DZ74*VLOOKUP('Données projet'!$B$14,Paramètres!$A$1:$I$89,3,0)*0.475*44/12</f>
        <v>1.8086792951896391</v>
      </c>
      <c r="ED74" s="22">
        <f t="shared" si="72"/>
        <v>27.004940158845958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302.00825291248458</v>
      </c>
      <c r="T75" s="59">
        <f t="shared" si="88"/>
        <v>307.35115839449355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109.4952714404521</v>
      </c>
      <c r="AA75" s="21">
        <f>EXP(-LN(2)/25)*AA74+(1-EXP(-LN(2)/25))/(LN(2)/25)*Calculateur!V75*Calculateur!X75*VLOOKUP('Données projet'!$B$9,Paramètres!$A$1:$I$89,3,0)*0.475*44/12</f>
        <v>34.730767332039882</v>
      </c>
      <c r="AB75" s="21">
        <f>EXP(-LN(2)/2)*AB74+(1-EXP(-LN(2)/2))/(LN(2)/2)*V75*Y75*VLOOKUP('Données projet'!$B$9,Paramètres!$A$1:$I$89,3,0)*0.475*44/12</f>
        <v>0.93689754411489712</v>
      </c>
      <c r="AC75" s="22">
        <f t="shared" si="57"/>
        <v>145.16293631660687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15.8</v>
      </c>
      <c r="AI75" s="13">
        <f>IF('Données projet'!$A$62&gt;35,AI74+AH75-AQ74,IF(A75&lt;'Données projet'!$A$62,$AF$205^A75,IF(A75='Données projet'!$A$62,'Données projet'!$B$62,AI74+AH75-AQ74)))</f>
        <v>698.60000000000014</v>
      </c>
      <c r="AJ75" s="13">
        <f>AI75*VLOOKUP('Données projet'!$B$10,Paramètres!$A$1:$I$89,3,0)*VLOOKUP('Données projet'!$B$10,Paramètres!$A$1:$I$89,5,0)</f>
        <v>308.78120000000007</v>
      </c>
      <c r="AK75" s="13">
        <f t="shared" si="89"/>
        <v>73.014237894388074</v>
      </c>
      <c r="AL75" s="20">
        <f t="shared" si="58"/>
        <v>664.96038766605932</v>
      </c>
      <c r="AM75" s="59">
        <f t="shared" si="59"/>
        <v>958.29372099939269</v>
      </c>
      <c r="AN75" s="59">
        <f ca="1">AVERAGE(OFFSET($AM$3,0,0,'Données projet'!$E$10+1,1))-AVERAGE(OFFSET($H$3,0,0,'Données projet'!$E$10+1,1))</f>
        <v>394.37446333077651</v>
      </c>
      <c r="AO75" s="59">
        <f t="shared" si="90"/>
        <v>335.44327961212963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57.350535648349243</v>
      </c>
      <c r="AV75" s="21">
        <f>EXP(-LN(2)/25)*AV74+(1-EXP(-LN(2)/25))/(LN(2)/25)*Calculateur!AQ75*Calculateur!AS75*VLOOKUP('Données projet'!$B$10,Paramètres!$A$1:$I$89,3,0)*0.475*44/12</f>
        <v>24.514721434069383</v>
      </c>
      <c r="AW75" s="21">
        <f>EXP(-LN(2)/2)*AW74+(1-EXP(-LN(2)/2))/(LN(2)/2)*AQ75*AT75*VLOOKUP('Données projet'!$B$10,Paramètres!$A$1:$I$89,3,0)*0.475*44/12</f>
        <v>2.7799722921398233</v>
      </c>
      <c r="AX75" s="21">
        <f t="shared" si="60"/>
        <v>84.64522937455844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8.2474999999999987</v>
      </c>
      <c r="BD75" s="12">
        <f>IF('Données projet'!$A$88&gt;35,BD74+BC75-BL74,IF(A75&lt;'Données projet'!$A$88,$BA$205^A75,IF(A75='Données projet'!$A$88,'Données projet'!$B$88,BD74+BC75-BL74)))</f>
        <v>230.14750000000026</v>
      </c>
      <c r="BE75" s="13">
        <f>BD75*VLOOKUP('Données projet'!$B$11,Paramètres!$A$1:$I$89,3,0)*VLOOKUP('Données projet'!$B$11,Paramètres!$A$1:$I$89,5,0)</f>
        <v>208.2374580000002</v>
      </c>
      <c r="BF75" s="13">
        <f t="shared" si="91"/>
        <v>51.550237194862532</v>
      </c>
      <c r="BG75" s="20">
        <f t="shared" si="61"/>
        <v>452.46356913105257</v>
      </c>
      <c r="BH75" s="59">
        <f t="shared" si="62"/>
        <v>745.79690246438588</v>
      </c>
      <c r="BI75" s="59">
        <f ca="1">AVERAGE(OFFSET($BH$3,0,0,'Données projet'!$E$11+1,1))-AVERAGE(OFFSET($H$3,0,0,'Données projet'!$E$11+1,1))</f>
        <v>490.06222615476065</v>
      </c>
      <c r="BJ75" s="59">
        <f t="shared" si="92"/>
        <v>310.43914804089906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12.160549163805381</v>
      </c>
      <c r="BQ75" s="21">
        <f>EXP(-LN(2)/25)*BQ74+(1-EXP(-LN(2)/25))/(LN(2)/25)*Calculateur!BL75*Calculateur!BN75*VLOOKUP('Données projet'!$B$11,Paramètres!$A$1:$I$89,3,0)*0.475*44/12</f>
        <v>27.875366532451995</v>
      </c>
      <c r="BR75" s="21">
        <f>EXP(-LN(2)/2)*BR74+(1-EXP(-LN(2)/2))/(LN(2)/2)*BL75*BO75*VLOOKUP('Données projet'!$B$11,Paramètres!$A$1:$I$89,3,0)*0.475*44/12</f>
        <v>0.72289468600145812</v>
      </c>
      <c r="BS75" s="22">
        <f t="shared" si="63"/>
        <v>40.758810382258837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247.74983999999995</v>
      </c>
      <c r="CA75" s="13">
        <f t="shared" si="93"/>
        <v>60.103849700617872</v>
      </c>
      <c r="CB75" s="20">
        <f t="shared" si="64"/>
        <v>536.17850956190932</v>
      </c>
      <c r="CC75" s="59">
        <f t="shared" si="65"/>
        <v>829.51184289524258</v>
      </c>
      <c r="CD75" s="59">
        <f ca="1">AVERAGE(OFFSET($CC$3,0,0,'Données projet'!$E$12+1,1))-AVERAGE(OFFSET($H$3,0,0,'Données projet'!$E$12+1,1))</f>
        <v>353.37479213497227</v>
      </c>
      <c r="CE75" s="59">
        <f t="shared" si="94"/>
        <v>345.4750813433123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14.363353947833952</v>
      </c>
      <c r="CL75" s="21">
        <f>EXP(-LN(2)/25)*CL74+(1-EXP(-LN(2)/25))/(LN(2)/25)*Calculateur!CG75*Calculateur!CI75*VLOOKUP('Données projet'!$B$12,Paramètres!$A$1:$I$89,3,0)*0.475*44/12</f>
        <v>14.737649594540139</v>
      </c>
      <c r="CM75" s="21">
        <f>EXP(-LN(2)/2)*CM74+(1-EXP(-LN(2)/2))/(LN(2)/2)*CG75*CJ75*VLOOKUP('Données projet'!$B$12,Paramètres!$A$1:$I$89,3,0)*0.475*44/12</f>
        <v>1.4870754854404729</v>
      </c>
      <c r="CN75" s="22">
        <f t="shared" si="66"/>
        <v>30.588079027814565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10.526999999999997</v>
      </c>
      <c r="CT75" s="12">
        <f>IF('Données projet'!$A$140&gt;35,CT74+CS75-DB74,IF(A75&lt;'Données projet'!$A$140,$CQ$205^A75,IF(A75='Données projet'!$A$140,'Données projet'!$B$140,CT74+CS75-DB74)))</f>
        <v>335.18399999999934</v>
      </c>
      <c r="CU75" s="17">
        <f>CT75*VLOOKUP('Données projet'!$B$13,Paramètres!$A$1:$I$89,3,0)*VLOOKUP('Données projet'!$B$13,Paramètres!$A$1:$I$89,5,0)</f>
        <v>161.22350399999968</v>
      </c>
      <c r="CV75" s="13">
        <f t="shared" si="95"/>
        <v>41.118357679202411</v>
      </c>
      <c r="CW75" s="20">
        <f t="shared" si="67"/>
        <v>352.41207575794368</v>
      </c>
      <c r="CX75" s="59">
        <f t="shared" si="68"/>
        <v>645.745409091277</v>
      </c>
      <c r="CY75" s="59">
        <f ca="1">AVERAGE(OFFSET($CX$3,0,0,'Données projet'!$E$13+1,1))-AVERAGE(OFFSET($H$3,0,0,'Données projet'!$E$13+1,1))</f>
        <v>314.18760071409162</v>
      </c>
      <c r="CZ75" s="59">
        <f t="shared" si="96"/>
        <v>267.72650645201787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32.723312488421968</v>
      </c>
      <c r="DG75" s="21">
        <f>EXP(-LN(2)/25)*DG74+(1-EXP(-LN(2)/25))/(LN(2)/25)*Calculateur!DB75*Calculateur!DD75*VLOOKUP('Données projet'!$B$13,Paramètres!$A$1:$I$89,3,0)*0.475*44/12</f>
        <v>16.285799831490117</v>
      </c>
      <c r="DH75" s="21">
        <f>EXP(-LN(2)/2)*DH74+(1-EXP(-LN(2)/2))/(LN(2)/2)*DB75*DE75*VLOOKUP('Données projet'!$B$13,Paramètres!$A$1:$I$89,3,0)*0.475*44/12</f>
        <v>3.2778534087593458</v>
      </c>
      <c r="DI75" s="22">
        <f t="shared" si="69"/>
        <v>52.286965728671433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226.96127999999987</v>
      </c>
      <c r="DQ75" s="13">
        <f t="shared" si="97"/>
        <v>55.625131501998617</v>
      </c>
      <c r="DR75" s="20">
        <f t="shared" si="70"/>
        <v>492.17133336598067</v>
      </c>
      <c r="DS75" s="59">
        <f t="shared" si="71"/>
        <v>785.50466669931393</v>
      </c>
      <c r="DT75" s="59">
        <f ca="1">AVERAGE(OFFSET($DS$3,0,0,'Données projet'!$E$14+1,1))-AVERAGE(OFFSET($H$3,0,0,'Données projet'!$E$14+1,1))</f>
        <v>324.86930206492627</v>
      </c>
      <c r="DU75" s="59">
        <f t="shared" si="98"/>
        <v>317.03005098025352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11.533188919672378</v>
      </c>
      <c r="EB75" s="21">
        <f>EXP(-LN(2)/25)*EB74+(1-EXP(-LN(2)/25))/(LN(2)/25)*Calculateur!DW75*Calculateur!DY75*VLOOKUP('Données projet'!$B$14,Paramètres!$A$1:$I$89,3,0)*0.475*44/12</f>
        <v>13.065080203736303</v>
      </c>
      <c r="EC75" s="21">
        <f>EXP(-LN(2)/2)*EC74+(1-EXP(-LN(2)/2))/(LN(2)/2)*DW75*DZ75*VLOOKUP('Données projet'!$B$14,Paramètres!$A$1:$I$89,3,0)*0.475*44/12</f>
        <v>1.2789293946202993</v>
      </c>
      <c r="ED75" s="22">
        <f t="shared" si="72"/>
        <v>25.87719851802898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302.00825291248458</v>
      </c>
      <c r="T76" s="59">
        <f t="shared" si="88"/>
        <v>307.35115839449355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107.34813595302589</v>
      </c>
      <c r="AA76" s="21">
        <f>EXP(-LN(2)/25)*AA75+(1-EXP(-LN(2)/25))/(LN(2)/25)*Calculateur!V76*Calculateur!X76*VLOOKUP('Données projet'!$B$9,Paramètres!$A$1:$I$89,3,0)*0.475*44/12</f>
        <v>33.781052672933576</v>
      </c>
      <c r="AB76" s="21">
        <f>EXP(-LN(2)/2)*AB75+(1-EXP(-LN(2)/2))/(LN(2)/2)*V76*Y76*VLOOKUP('Données projet'!$B$9,Paramètres!$A$1:$I$89,3,0)*0.475*44/12</f>
        <v>0.66248660672066639</v>
      </c>
      <c r="AC76" s="22">
        <f t="shared" si="57"/>
        <v>141.79167523268015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15.8</v>
      </c>
      <c r="AI76" s="13">
        <f>IF('Données projet'!$A$62&gt;35,AI75+AH76-AQ75,IF(A76&lt;'Données projet'!$A$62,$AF$205^A76,IF(A76='Données projet'!$A$62,'Données projet'!$B$62,AI75+AH76-AQ75)))</f>
        <v>714.40000000000009</v>
      </c>
      <c r="AJ76" s="13">
        <f>AI76*VLOOKUP('Données projet'!$B$10,Paramètres!$A$1:$I$89,3,0)*VLOOKUP('Données projet'!$B$10,Paramètres!$A$1:$I$89,5,0)</f>
        <v>315.76480000000009</v>
      </c>
      <c r="AK76" s="13">
        <f t="shared" si="89"/>
        <v>74.471455790571639</v>
      </c>
      <c r="AL76" s="20">
        <f t="shared" si="58"/>
        <v>679.6614788352457</v>
      </c>
      <c r="AM76" s="59">
        <f t="shared" si="59"/>
        <v>972.99481216857907</v>
      </c>
      <c r="AN76" s="59">
        <f ca="1">AVERAGE(OFFSET($AM$3,0,0,'Données projet'!$E$10+1,1))-AVERAGE(OFFSET($H$3,0,0,'Données projet'!$E$10+1,1))</f>
        <v>394.37446333077651</v>
      </c>
      <c r="AO76" s="59">
        <f t="shared" si="90"/>
        <v>335.44327961212963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56.225926624657838</v>
      </c>
      <c r="AV76" s="21">
        <f>EXP(-LN(2)/25)*AV75+(1-EXP(-LN(2)/25))/(LN(2)/25)*Calculateur!AQ76*Calculateur!AS76*VLOOKUP('Données projet'!$B$10,Paramètres!$A$1:$I$89,3,0)*0.475*44/12</f>
        <v>23.844365087281584</v>
      </c>
      <c r="AW76" s="21">
        <f>EXP(-LN(2)/2)*AW75+(1-EXP(-LN(2)/2))/(LN(2)/2)*AQ76*AT76*VLOOKUP('Données projet'!$B$10,Paramètres!$A$1:$I$89,3,0)*0.475*44/12</f>
        <v>1.9657372592827791</v>
      </c>
      <c r="AX76" s="21">
        <f t="shared" si="60"/>
        <v>82.036028971222194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8.2474999999999987</v>
      </c>
      <c r="BD76" s="12">
        <f>IF('Données projet'!$A$88&gt;35,BD75+BC76-BL75,IF(A76&lt;'Données projet'!$A$88,$BA$205^A76,IF(A76='Données projet'!$A$88,'Données projet'!$B$88,BD75+BC76-BL75)))</f>
        <v>238.39500000000027</v>
      </c>
      <c r="BE76" s="13">
        <f>BD76*VLOOKUP('Données projet'!$B$11,Paramètres!$A$1:$I$89,3,0)*VLOOKUP('Données projet'!$B$11,Paramètres!$A$1:$I$89,5,0)</f>
        <v>215.69979600000025</v>
      </c>
      <c r="BF76" s="13">
        <f t="shared" si="91"/>
        <v>53.179186580516586</v>
      </c>
      <c r="BG76" s="20">
        <f t="shared" si="61"/>
        <v>468.29756132773349</v>
      </c>
      <c r="BH76" s="59">
        <f t="shared" si="62"/>
        <v>761.6308946610668</v>
      </c>
      <c r="BI76" s="59">
        <f ca="1">AVERAGE(OFFSET($BH$3,0,0,'Données projet'!$E$11+1,1))-AVERAGE(OFFSET($H$3,0,0,'Données projet'!$E$11+1,1))</f>
        <v>490.06222615476065</v>
      </c>
      <c r="BJ76" s="59">
        <f t="shared" si="92"/>
        <v>310.43914804089906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11.922088211905759</v>
      </c>
      <c r="BQ76" s="21">
        <f>EXP(-LN(2)/25)*BQ75+(1-EXP(-LN(2)/25))/(LN(2)/25)*Calculateur!BL76*Calculateur!BN76*VLOOKUP('Données projet'!$B$11,Paramètres!$A$1:$I$89,3,0)*0.475*44/12</f>
        <v>27.113113168720279</v>
      </c>
      <c r="BR76" s="21">
        <f>EXP(-LN(2)/2)*BR75+(1-EXP(-LN(2)/2))/(LN(2)/2)*BL76*BO76*VLOOKUP('Données projet'!$B$11,Paramètres!$A$1:$I$89,3,0)*0.475*44/12</f>
        <v>0.51116373455535102</v>
      </c>
      <c r="BS76" s="22">
        <f t="shared" si="63"/>
        <v>39.546365115181388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251.09135999999995</v>
      </c>
      <c r="CA76" s="13">
        <f t="shared" si="93"/>
        <v>60.81957989149403</v>
      </c>
      <c r="CB76" s="20">
        <f t="shared" si="64"/>
        <v>543.24488697768527</v>
      </c>
      <c r="CC76" s="59">
        <f t="shared" si="65"/>
        <v>836.57822031101864</v>
      </c>
      <c r="CD76" s="59">
        <f ca="1">AVERAGE(OFFSET($CC$3,0,0,'Données projet'!$E$12+1,1))-AVERAGE(OFFSET($H$3,0,0,'Données projet'!$E$12+1,1))</f>
        <v>353.37479213497227</v>
      </c>
      <c r="CE76" s="59">
        <f t="shared" si="94"/>
        <v>345.4750813433123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14.081697337697781</v>
      </c>
      <c r="CL76" s="21">
        <f>EXP(-LN(2)/25)*CL75+(1-EXP(-LN(2)/25))/(LN(2)/25)*Calculateur!CG76*Calculateur!CI76*VLOOKUP('Données projet'!$B$12,Paramètres!$A$1:$I$89,3,0)*0.475*44/12</f>
        <v>14.33464779135813</v>
      </c>
      <c r="CM76" s="21">
        <f>EXP(-LN(2)/2)*CM75+(1-EXP(-LN(2)/2))/(LN(2)/2)*CG76*CJ76*VLOOKUP('Données projet'!$B$12,Paramètres!$A$1:$I$89,3,0)*0.475*44/12</f>
        <v>1.0515211598912355</v>
      </c>
      <c r="CN76" s="22">
        <f t="shared" si="66"/>
        <v>29.46786628894715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10.526999999999997</v>
      </c>
      <c r="CT76" s="12">
        <f>IF('Données projet'!$A$140&gt;35,CT75+CS76-DB75,IF(A76&lt;'Données projet'!$A$140,$CQ$205^A76,IF(A76='Données projet'!$A$140,'Données projet'!$B$140,CT75+CS76-DB75)))</f>
        <v>345.71099999999933</v>
      </c>
      <c r="CU76" s="17">
        <f>CT76*VLOOKUP('Données projet'!$B$13,Paramètres!$A$1:$I$89,3,0)*VLOOKUP('Données projet'!$B$13,Paramètres!$A$1:$I$89,5,0)</f>
        <v>166.28699099999969</v>
      </c>
      <c r="CV76" s="13">
        <f t="shared" si="95"/>
        <v>42.257367308269359</v>
      </c>
      <c r="CW76" s="20">
        <f t="shared" si="67"/>
        <v>363.21475738690191</v>
      </c>
      <c r="CX76" s="59">
        <f t="shared" si="68"/>
        <v>656.54809072023522</v>
      </c>
      <c r="CY76" s="59">
        <f ca="1">AVERAGE(OFFSET($CX$3,0,0,'Données projet'!$E$13+1,1))-AVERAGE(OFFSET($H$3,0,0,'Données projet'!$E$13+1,1))</f>
        <v>314.18760071409162</v>
      </c>
      <c r="CZ76" s="59">
        <f t="shared" si="96"/>
        <v>267.72650645201787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32.081628289773818</v>
      </c>
      <c r="DG76" s="21">
        <f>EXP(-LN(2)/25)*DG75+(1-EXP(-LN(2)/25))/(LN(2)/25)*Calculateur!DB76*Calculateur!DD76*VLOOKUP('Données projet'!$B$13,Paramètres!$A$1:$I$89,3,0)*0.475*44/12</f>
        <v>15.840463778665027</v>
      </c>
      <c r="DH76" s="21">
        <f>EXP(-LN(2)/2)*DH75+(1-EXP(-LN(2)/2))/(LN(2)/2)*DB76*DE76*VLOOKUP('Données projet'!$B$13,Paramètres!$A$1:$I$89,3,0)*0.475*44/12</f>
        <v>2.3177923730691736</v>
      </c>
      <c r="DI76" s="22">
        <f t="shared" si="69"/>
        <v>50.239884441508018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229.93151999999986</v>
      </c>
      <c r="DQ76" s="13">
        <f t="shared" si="97"/>
        <v>56.26787429746841</v>
      </c>
      <c r="DR76" s="20">
        <f t="shared" si="70"/>
        <v>498.4639450680906</v>
      </c>
      <c r="DS76" s="59">
        <f t="shared" si="71"/>
        <v>791.79727840142391</v>
      </c>
      <c r="DT76" s="59">
        <f ca="1">AVERAGE(OFFSET($DS$3,0,0,'Données projet'!$E$14+1,1))-AVERAGE(OFFSET($H$3,0,0,'Données projet'!$E$14+1,1))</f>
        <v>324.86930206492627</v>
      </c>
      <c r="DU76" s="59">
        <f t="shared" si="98"/>
        <v>317.03005098025352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11.307030119508239</v>
      </c>
      <c r="EB76" s="21">
        <f>EXP(-LN(2)/25)*EB75+(1-EXP(-LN(2)/25))/(LN(2)/25)*Calculateur!DW76*Calculateur!DY76*VLOOKUP('Données projet'!$B$14,Paramètres!$A$1:$I$89,3,0)*0.475*44/12</f>
        <v>12.707814898502425</v>
      </c>
      <c r="EC76" s="21">
        <f>EXP(-LN(2)/2)*EC75+(1-EXP(-LN(2)/2))/(LN(2)/2)*DW76*DZ76*VLOOKUP('Données projet'!$B$14,Paramètres!$A$1:$I$89,3,0)*0.475*44/12</f>
        <v>0.90433964759481977</v>
      </c>
      <c r="ED76" s="22">
        <f t="shared" si="72"/>
        <v>24.919184665605485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302.00825291248458</v>
      </c>
      <c r="T77" s="59">
        <f t="shared" si="88"/>
        <v>307.35115839449355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105.24310448288477</v>
      </c>
      <c r="AA77" s="21">
        <f>EXP(-LN(2)/25)*AA76+(1-EXP(-LN(2)/25))/(LN(2)/25)*Calculateur!V77*Calculateur!X77*VLOOKUP('Données projet'!$B$9,Paramètres!$A$1:$I$89,3,0)*0.475*44/12</f>
        <v>32.857308011123855</v>
      </c>
      <c r="AB77" s="21">
        <f>EXP(-LN(2)/2)*AB76+(1-EXP(-LN(2)/2))/(LN(2)/2)*V77*Y77*VLOOKUP('Données projet'!$B$9,Paramètres!$A$1:$I$89,3,0)*0.475*44/12</f>
        <v>0.46844877205744867</v>
      </c>
      <c r="AC77" s="22">
        <f t="shared" si="57"/>
        <v>138.56886126606608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15.8</v>
      </c>
      <c r="AI77" s="13">
        <f>IF('Données projet'!$A$62&gt;35,AI76+AH77-AQ76,IF(A77&lt;'Données projet'!$A$62,$AF$205^A77,IF(A77='Données projet'!$A$62,'Données projet'!$B$62,AI76+AH77-AQ76)))</f>
        <v>730.2</v>
      </c>
      <c r="AJ77" s="13">
        <f>AI77*VLOOKUP('Données projet'!$B$10,Paramètres!$A$1:$I$89,3,0)*VLOOKUP('Données projet'!$B$10,Paramètres!$A$1:$I$89,5,0)</f>
        <v>322.74840000000006</v>
      </c>
      <c r="AK77" s="13">
        <f t="shared" si="89"/>
        <v>75.924926790688417</v>
      </c>
      <c r="AL77" s="20">
        <f t="shared" si="58"/>
        <v>694.35604416044907</v>
      </c>
      <c r="AM77" s="59">
        <f t="shared" si="59"/>
        <v>987.68937749378233</v>
      </c>
      <c r="AN77" s="59">
        <f ca="1">AVERAGE(OFFSET($AM$3,0,0,'Données projet'!$E$10+1,1))-AVERAGE(OFFSET($H$3,0,0,'Données projet'!$E$10+1,1))</f>
        <v>394.37446333077651</v>
      </c>
      <c r="AO77" s="59">
        <f t="shared" si="90"/>
        <v>335.44327961212963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55.123370497977248</v>
      </c>
      <c r="AV77" s="21">
        <f>EXP(-LN(2)/25)*AV76+(1-EXP(-LN(2)/25))/(LN(2)/25)*Calculateur!AQ77*Calculateur!AS77*VLOOKUP('Données projet'!$B$10,Paramètres!$A$1:$I$89,3,0)*0.475*44/12</f>
        <v>23.192339670049208</v>
      </c>
      <c r="AW77" s="21">
        <f>EXP(-LN(2)/2)*AW76+(1-EXP(-LN(2)/2))/(LN(2)/2)*AQ77*AT77*VLOOKUP('Données projet'!$B$10,Paramètres!$A$1:$I$89,3,0)*0.475*44/12</f>
        <v>1.3899861460699119</v>
      </c>
      <c r="AX77" s="21">
        <f t="shared" si="60"/>
        <v>79.705696314096372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8.2474999999999987</v>
      </c>
      <c r="BD77" s="12">
        <f>IF('Données projet'!$A$88&gt;35,BD76+BC77-BL76,IF(A77&lt;'Données projet'!$A$88,$BA$205^A77,IF(A77='Données projet'!$A$88,'Données projet'!$B$88,BD76+BC77-BL76)))</f>
        <v>246.64250000000027</v>
      </c>
      <c r="BE77" s="13">
        <f>BD77*VLOOKUP('Données projet'!$B$11,Paramètres!$A$1:$I$89,3,0)*VLOOKUP('Données projet'!$B$11,Paramètres!$A$1:$I$89,5,0)</f>
        <v>223.16213400000024</v>
      </c>
      <c r="BF77" s="13">
        <f t="shared" si="91"/>
        <v>54.801588049746073</v>
      </c>
      <c r="BG77" s="20">
        <f t="shared" si="61"/>
        <v>484.12014923664145</v>
      </c>
      <c r="BH77" s="59">
        <f t="shared" si="62"/>
        <v>777.45348256997477</v>
      </c>
      <c r="BI77" s="59">
        <f ca="1">AVERAGE(OFFSET($BH$3,0,0,'Données projet'!$E$11+1,1))-AVERAGE(OFFSET($H$3,0,0,'Données projet'!$E$11+1,1))</f>
        <v>490.06222615476065</v>
      </c>
      <c r="BJ77" s="59">
        <f t="shared" si="92"/>
        <v>310.43914804089906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11.68830333382607</v>
      </c>
      <c r="BQ77" s="21">
        <f>EXP(-LN(2)/25)*BQ76+(1-EXP(-LN(2)/25))/(LN(2)/25)*Calculateur!BL77*Calculateur!BN77*VLOOKUP('Données projet'!$B$11,Paramètres!$A$1:$I$89,3,0)*0.475*44/12</f>
        <v>26.37170366330497</v>
      </c>
      <c r="BR77" s="21">
        <f>EXP(-LN(2)/2)*BR76+(1-EXP(-LN(2)/2))/(LN(2)/2)*BL77*BO77*VLOOKUP('Données projet'!$B$11,Paramètres!$A$1:$I$89,3,0)*0.475*44/12</f>
        <v>0.36144734300072906</v>
      </c>
      <c r="BS77" s="22">
        <f t="shared" si="63"/>
        <v>38.421454340131767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254.43287999999995</v>
      </c>
      <c r="CA77" s="13">
        <f t="shared" si="93"/>
        <v>61.534202204620392</v>
      </c>
      <c r="CB77" s="20">
        <f t="shared" si="64"/>
        <v>550.30933483971376</v>
      </c>
      <c r="CC77" s="59">
        <f t="shared" si="65"/>
        <v>843.64266817304701</v>
      </c>
      <c r="CD77" s="59">
        <f ca="1">AVERAGE(OFFSET($CC$3,0,0,'Données projet'!$E$12+1,1))-AVERAGE(OFFSET($H$3,0,0,'Données projet'!$E$12+1,1))</f>
        <v>353.37479213497227</v>
      </c>
      <c r="CE77" s="59">
        <f t="shared" si="94"/>
        <v>345.4750813433123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13.805563841892811</v>
      </c>
      <c r="CL77" s="21">
        <f>EXP(-LN(2)/25)*CL76+(1-EXP(-LN(2)/25))/(LN(2)/25)*Calculateur!CG77*Calculateur!CI77*VLOOKUP('Données projet'!$B$12,Paramètres!$A$1:$I$89,3,0)*0.475*44/12</f>
        <v>13.942666093677076</v>
      </c>
      <c r="CM77" s="21">
        <f>EXP(-LN(2)/2)*CM76+(1-EXP(-LN(2)/2))/(LN(2)/2)*CG77*CJ77*VLOOKUP('Données projet'!$B$12,Paramètres!$A$1:$I$89,3,0)*0.475*44/12</f>
        <v>0.74353774272023654</v>
      </c>
      <c r="CN77" s="22">
        <f t="shared" si="66"/>
        <v>28.491767678290124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10.526999999999997</v>
      </c>
      <c r="CT77" s="12">
        <f>IF('Données projet'!$A$140&gt;35,CT76+CS77-DB76,IF(A77&lt;'Données projet'!$A$140,$CQ$205^A77,IF(A77='Données projet'!$A$140,'Données projet'!$B$140,CT76+CS77-DB76)))</f>
        <v>356.23799999999932</v>
      </c>
      <c r="CU77" s="17">
        <f>CT77*VLOOKUP('Données projet'!$B$13,Paramètres!$A$1:$I$89,3,0)*VLOOKUP('Données projet'!$B$13,Paramètres!$A$1:$I$89,5,0)</f>
        <v>171.3504779999997</v>
      </c>
      <c r="CV77" s="13">
        <f t="shared" si="95"/>
        <v>43.392346304073584</v>
      </c>
      <c r="CW77" s="20">
        <f t="shared" si="67"/>
        <v>374.01041899626097</v>
      </c>
      <c r="CX77" s="59">
        <f t="shared" si="68"/>
        <v>667.34375232959428</v>
      </c>
      <c r="CY77" s="59">
        <f ca="1">AVERAGE(OFFSET($CX$3,0,0,'Données projet'!$E$13+1,1))-AVERAGE(OFFSET($H$3,0,0,'Données projet'!$E$13+1,1))</f>
        <v>314.18760071409162</v>
      </c>
      <c r="CZ77" s="59">
        <f t="shared" si="96"/>
        <v>267.72650645201787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31.452527126872443</v>
      </c>
      <c r="DG77" s="21">
        <f>EXP(-LN(2)/25)*DG76+(1-EXP(-LN(2)/25))/(LN(2)/25)*Calculateur!DB77*Calculateur!DD77*VLOOKUP('Données projet'!$B$13,Paramètres!$A$1:$I$89,3,0)*0.475*44/12</f>
        <v>15.407305463623645</v>
      </c>
      <c r="DH77" s="21">
        <f>EXP(-LN(2)/2)*DH76+(1-EXP(-LN(2)/2))/(LN(2)/2)*DB77*DE77*VLOOKUP('Données projet'!$B$13,Paramètres!$A$1:$I$89,3,0)*0.475*44/12</f>
        <v>1.6389267043796729</v>
      </c>
      <c r="DI77" s="22">
        <f t="shared" si="69"/>
        <v>48.498759294875761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232.90175999999985</v>
      </c>
      <c r="DQ77" s="13">
        <f t="shared" si="97"/>
        <v>56.909651332233778</v>
      </c>
      <c r="DR77" s="20">
        <f t="shared" si="70"/>
        <v>504.75487473697353</v>
      </c>
      <c r="DS77" s="59">
        <f t="shared" si="71"/>
        <v>798.08820807030679</v>
      </c>
      <c r="DT77" s="59">
        <f ca="1">AVERAGE(OFFSET($DS$3,0,0,'Données projet'!$E$14+1,1))-AVERAGE(OFFSET($H$3,0,0,'Données projet'!$E$14+1,1))</f>
        <v>324.86930206492627</v>
      </c>
      <c r="DU77" s="59">
        <f t="shared" si="98"/>
        <v>317.03005098025352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11.085306155472072</v>
      </c>
      <c r="EB77" s="21">
        <f>EXP(-LN(2)/25)*EB76+(1-EXP(-LN(2)/25))/(LN(2)/25)*Calculateur!DW77*Calculateur!DY77*VLOOKUP('Données projet'!$B$14,Paramètres!$A$1:$I$89,3,0)*0.475*44/12</f>
        <v>12.360319031827935</v>
      </c>
      <c r="EC77" s="21">
        <f>EXP(-LN(2)/2)*EC76+(1-EXP(-LN(2)/2))/(LN(2)/2)*DW77*DZ77*VLOOKUP('Données projet'!$B$14,Paramètres!$A$1:$I$89,3,0)*0.475*44/12</f>
        <v>0.63946469731014977</v>
      </c>
      <c r="ED77" s="22">
        <f t="shared" si="72"/>
        <v>24.085089884610156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302.00825291248458</v>
      </c>
      <c r="T78" s="59">
        <f t="shared" si="88"/>
        <v>307.35115839449355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103.17935139593071</v>
      </c>
      <c r="AA78" s="21">
        <f>EXP(-LN(2)/25)*AA77+(1-EXP(-LN(2)/25))/(LN(2)/25)*Calculateur!V78*Calculateur!X78*VLOOKUP('Données projet'!$B$9,Paramètres!$A$1:$I$89,3,0)*0.475*44/12</f>
        <v>31.958823195668941</v>
      </c>
      <c r="AB78" s="21">
        <f>EXP(-LN(2)/2)*AB77+(1-EXP(-LN(2)/2))/(LN(2)/2)*V78*Y78*VLOOKUP('Données projet'!$B$9,Paramètres!$A$1:$I$89,3,0)*0.475*44/12</f>
        <v>0.33124330336033325</v>
      </c>
      <c r="AC78" s="22">
        <f t="shared" si="57"/>
        <v>135.46941789495997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746</v>
      </c>
      <c r="AG78" s="12">
        <f>VLOOKUP(A78,'Données projet'!$A$61:$I$81,9,0)</f>
        <v>15.8</v>
      </c>
      <c r="AH78" s="12">
        <f t="array" ref="AH78">INDEX(AG:AG,MIN(IF(ISNUMBER(AG78:AG274),ROW(AG78:AG274),"")))</f>
        <v>15.8</v>
      </c>
      <c r="AI78" s="13">
        <f>IF('Données projet'!$A$62&gt;35,AI77+AH78-AQ77,IF(A78&lt;'Données projet'!$A$62,$AF$205^A78,IF(A78='Données projet'!$A$62,'Données projet'!$B$62,AI77+AH78-AQ77)))</f>
        <v>746</v>
      </c>
      <c r="AJ78" s="13">
        <f>AI78*VLOOKUP('Données projet'!$B$10,Paramètres!$A$1:$I$89,3,0)*VLOOKUP('Données projet'!$B$10,Paramètres!$A$1:$I$89,5,0)</f>
        <v>329.73200000000003</v>
      </c>
      <c r="AK78" s="13">
        <f t="shared" si="89"/>
        <v>77.374741307218997</v>
      </c>
      <c r="AL78" s="20">
        <f t="shared" si="58"/>
        <v>709.04424111007302</v>
      </c>
      <c r="AM78" s="59">
        <f t="shared" si="59"/>
        <v>1002.3775744434063</v>
      </c>
      <c r="AN78" s="59">
        <f ca="1">AVERAGE(OFFSET($AM$3,0,0,'Données projet'!$E$10+1,1))-AVERAGE(OFFSET($H$3,0,0,'Données projet'!$E$10+1,1))</f>
        <v>394.37446333077651</v>
      </c>
      <c r="AO78" s="59">
        <f t="shared" si="90"/>
        <v>335.44327961212963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43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62.362620557675719</v>
      </c>
      <c r="AV78" s="21">
        <f>EXP(-LN(2)/25)*AV77+(1-EXP(-LN(2)/25))/(LN(2)/25)*Calculateur!AQ78*Calculateur!AS78*VLOOKUP('Données projet'!$B$10,Paramètres!$A$1:$I$89,3,0)*0.475*44/12</f>
        <v>25.32061925272513</v>
      </c>
      <c r="AW78" s="21">
        <f>EXP(-LN(2)/2)*AW77+(1-EXP(-LN(2)/2))/(LN(2)/2)*AQ78*AT78*VLOOKUP('Données projet'!$B$10,Paramètres!$A$1:$I$89,3,0)*0.475*44/12</f>
        <v>5.2867100389989927</v>
      </c>
      <c r="AX78" s="21">
        <f t="shared" si="60"/>
        <v>92.969949849399839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8.2474999999999987</v>
      </c>
      <c r="BC78" s="12">
        <f t="array" ref="BC78">INDEX(BB:BB,MIN(IF(ISNUMBER(BB78:BB274),ROW(BB78:BB274),"")))</f>
        <v>8.2474999999999987</v>
      </c>
      <c r="BD78" s="12">
        <f>IF('Données projet'!$A$88&gt;35,BD77+BC78-BL77,IF(A78&lt;'Données projet'!$A$88,$BA$205^A78,IF(A78='Données projet'!$A$88,'Données projet'!$B$88,BD77+BC78-BL77)))</f>
        <v>254.89000000000027</v>
      </c>
      <c r="BE78" s="13">
        <f>BD78*VLOOKUP('Données projet'!$B$11,Paramètres!$A$1:$I$89,3,0)*VLOOKUP('Données projet'!$B$11,Paramètres!$A$1:$I$89,5,0)</f>
        <v>230.62447200000022</v>
      </c>
      <c r="BF78" s="13">
        <f t="shared" si="91"/>
        <v>56.417685662698347</v>
      </c>
      <c r="BG78" s="20">
        <f t="shared" si="61"/>
        <v>499.93175792920005</v>
      </c>
      <c r="BH78" s="59">
        <f t="shared" si="62"/>
        <v>793.26509126253336</v>
      </c>
      <c r="BI78" s="59">
        <f ca="1">AVERAGE(OFFSET($BH$3,0,0,'Données projet'!$E$11+1,1))-AVERAGE(OFFSET($H$3,0,0,'Données projet'!$E$11+1,1))</f>
        <v>490.06222615476065</v>
      </c>
      <c r="BJ78" s="59">
        <f t="shared" si="92"/>
        <v>310.43914804089906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43.289999999999992</v>
      </c>
      <c r="BM78" s="16">
        <f>IF(ISNA(VLOOKUP(A78,'Données projet'!$A$87:$I$107,5,0)),0%,VLOOKUP(A78,'Données projet'!$A$87:$I$107,5,0)*VLOOKUP('Données projet'!$B$11,Paramètres!$A$1:$I$89,7,0))</f>
        <v>0.15049999999999999</v>
      </c>
      <c r="BN78" s="16">
        <f>IF(ISNA(VLOOKUP(A78,'Données projet'!$A$87:$I$107,6,0)),0%,VLOOKUP(A78,'Données projet'!$A$87:$I$107,6,0)*VLOOKUP('Données projet'!$B$11,Paramètres!$A$1:$I$89,7,0))</f>
        <v>8.6000000000000007E-2</v>
      </c>
      <c r="BO78" s="16">
        <f>IF(ISNA(VLOOKUP(A78,'Données projet'!$A$87:$I$107,7,0)),0%,VLOOKUP(A78,'Données projet'!$A$87:$I$107,7,0))</f>
        <v>0.1</v>
      </c>
      <c r="BP78" s="21">
        <f>EXP(-LN(2)/35)*BP77+(1-EXP(-LN(2)/35))/(LN(2)/35)*BL78*BM78*VLOOKUP('Données projet'!$B$11,Paramètres!$A$1:$I$89,3,0)*0.475*44/12</f>
        <v>17.975743708002948</v>
      </c>
      <c r="BQ78" s="21">
        <f>EXP(-LN(2)/25)*BQ77+(1-EXP(-LN(2)/25))/(LN(2)/25)*Calculateur!BL78*Calculateur!BN78*VLOOKUP('Données projet'!$B$11,Paramètres!$A$1:$I$89,3,0)*0.475*44/12</f>
        <v>29.359700825654979</v>
      </c>
      <c r="BR78" s="21">
        <f>EXP(-LN(2)/2)*BR77+(1-EXP(-LN(2)/2))/(LN(2)/2)*BL78*BO78*VLOOKUP('Données projet'!$B$11,Paramètres!$A$1:$I$89,3,0)*0.475*44/12</f>
        <v>3.9512628137356964</v>
      </c>
      <c r="BS78" s="22">
        <f t="shared" si="63"/>
        <v>51.286707347393623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257.77439999999996</v>
      </c>
      <c r="CA78" s="13">
        <f t="shared" si="93"/>
        <v>62.247732872134293</v>
      </c>
      <c r="CB78" s="20">
        <f t="shared" si="64"/>
        <v>557.37188141896718</v>
      </c>
      <c r="CC78" s="59">
        <f t="shared" si="65"/>
        <v>850.70521475230044</v>
      </c>
      <c r="CD78" s="59">
        <f ca="1">AVERAGE(OFFSET($CC$3,0,0,'Données projet'!$E$12+1,1))-AVERAGE(OFFSET($H$3,0,0,'Données projet'!$E$12+1,1))</f>
        <v>353.37479213497227</v>
      </c>
      <c r="CE78" s="59">
        <f t="shared" si="94"/>
        <v>345.4750813433123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0.13250000000000001</v>
      </c>
      <c r="CI78" s="16">
        <f>IF(ISNA(VLOOKUP(A78,'Données projet'!$A$113:$I$133,6,0)),0%,VLOOKUP(A78,'Données projet'!$A$113:$I$133,6,0)*VLOOKUP('Données projet'!$B$12,Paramètres!$A$1:$I$89,7,0))</f>
        <v>0.13250000000000001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14.933269607506475</v>
      </c>
      <c r="CL78" s="21">
        <f>EXP(-LN(2)/25)*CL77+(1-EXP(-LN(2)/25))/(LN(2)/25)*Calculateur!CG78*Calculateur!CI78*VLOOKUP('Données projet'!$B$12,Paramètres!$A$1:$I$89,3,0)*0.475*44/12</f>
        <v>14.954321478214256</v>
      </c>
      <c r="CM78" s="21">
        <f>EXP(-LN(2)/2)*CM77+(1-EXP(-LN(2)/2))/(LN(2)/2)*CG78*CJ78*VLOOKUP('Données projet'!$B$12,Paramètres!$A$1:$I$89,3,0)*0.475*44/12</f>
        <v>2.7777706197257581</v>
      </c>
      <c r="CN78" s="22">
        <f t="shared" si="66"/>
        <v>32.665361705446486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10.526999999999997</v>
      </c>
      <c r="CT78" s="12">
        <f>IF('Données projet'!$A$140&gt;35,CT77+CS78-DB77,IF(A78&lt;'Données projet'!$A$140,$CQ$205^A78,IF(A78='Données projet'!$A$140,'Données projet'!$B$140,CT77+CS78-DB77)))</f>
        <v>366.7649999999993</v>
      </c>
      <c r="CU78" s="17">
        <f>CT78*VLOOKUP('Données projet'!$B$13,Paramètres!$A$1:$I$89,3,0)*VLOOKUP('Données projet'!$B$13,Paramètres!$A$1:$I$89,5,0)</f>
        <v>176.41396499999965</v>
      </c>
      <c r="CV78" s="13">
        <f t="shared" si="95"/>
        <v>44.523427448538499</v>
      </c>
      <c r="CW78" s="20">
        <f t="shared" si="67"/>
        <v>384.79929184787062</v>
      </c>
      <c r="CX78" s="59">
        <f t="shared" si="68"/>
        <v>678.13262518120393</v>
      </c>
      <c r="CY78" s="59">
        <f ca="1">AVERAGE(OFFSET($CX$3,0,0,'Données projet'!$E$13+1,1))-AVERAGE(OFFSET($H$3,0,0,'Données projet'!$E$13+1,1))</f>
        <v>314.18760071409162</v>
      </c>
      <c r="CZ78" s="59">
        <f t="shared" si="96"/>
        <v>267.72650645201787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30.835762254061745</v>
      </c>
      <c r="DG78" s="21">
        <f>EXP(-LN(2)/25)*DG77+(1-EXP(-LN(2)/25))/(LN(2)/25)*Calculateur!DB78*Calculateur!DD78*VLOOKUP('Données projet'!$B$13,Paramètres!$A$1:$I$89,3,0)*0.475*44/12</f>
        <v>14.985991885485877</v>
      </c>
      <c r="DH78" s="21">
        <f>EXP(-LN(2)/2)*DH77+(1-EXP(-LN(2)/2))/(LN(2)/2)*DB78*DE78*VLOOKUP('Données projet'!$B$13,Paramètres!$A$1:$I$89,3,0)*0.475*44/12</f>
        <v>1.1588961865345868</v>
      </c>
      <c r="DI78" s="22">
        <f t="shared" si="69"/>
        <v>46.980650326082205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235.87199999999982</v>
      </c>
      <c r="DQ78" s="13">
        <f t="shared" si="97"/>
        <v>57.55047634701522</v>
      </c>
      <c r="DR78" s="20">
        <f t="shared" si="70"/>
        <v>511.04414630438458</v>
      </c>
      <c r="DS78" s="59">
        <f t="shared" si="71"/>
        <v>804.3774796377179</v>
      </c>
      <c r="DT78" s="59">
        <f ca="1">AVERAGE(OFFSET($DS$3,0,0,'Données projet'!$E$14+1,1))-AVERAGE(OFFSET($H$3,0,0,'Données projet'!$E$14+1,1))</f>
        <v>324.86930206492627</v>
      </c>
      <c r="DU78" s="59">
        <f t="shared" si="98"/>
        <v>317.03005098025352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0.13250000000000001</v>
      </c>
      <c r="DY78" s="16">
        <f>IF(ISNA(VLOOKUP(A78,'Données projet'!$A$165:$I$185,6,0)),0%,VLOOKUP(A78,'Données projet'!$A$165:$I$185,6,0)*VLOOKUP('Données projet'!$B$14,Paramètres!$A$1:$I$89,7,0))</f>
        <v>0.13250000000000001</v>
      </c>
      <c r="DZ78" s="16">
        <f>IF(ISNA(VLOOKUP(A78,'Données projet'!$A$165:$I$185,7,0)),0%,VLOOKUP(A78,'Données projet'!$A$165:$I$185,7,0))</f>
        <v>0.25</v>
      </c>
      <c r="EA78" s="21">
        <f>EXP(-LN(2)/35)*EA77+(1-EXP(-LN(2)/35))/(LN(2)/35)*DW78*DX78*VLOOKUP('Données projet'!$B$14,Paramètres!$A$1:$I$89,3,0)*0.475*44/12</f>
        <v>12.019573729477672</v>
      </c>
      <c r="EB78" s="21">
        <f>EXP(-LN(2)/25)*EB77+(1-EXP(-LN(2)/25))/(LN(2)/25)*Calculateur!DW78*Calculateur!DY78*VLOOKUP('Données projet'!$B$14,Paramètres!$A$1:$I$89,3,0)*0.475*44/12</f>
        <v>13.169434664321916</v>
      </c>
      <c r="EC78" s="21">
        <f>EXP(-LN(2)/2)*EC77+(1-EXP(-LN(2)/2))/(LN(2)/2)*DW78*DZ78*VLOOKUP('Données projet'!$B$14,Paramètres!$A$1:$I$89,3,0)*0.475*44/12</f>
        <v>2.3067663271457612</v>
      </c>
      <c r="ED78" s="22">
        <f t="shared" si="72"/>
        <v>27.495774720945352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302.00825291248458</v>
      </c>
      <c r="T79" s="59">
        <f t="shared" si="88"/>
        <v>307.35115839449355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101.15606724824673</v>
      </c>
      <c r="AA79" s="21">
        <f>EXP(-LN(2)/25)*AA78+(1-EXP(-LN(2)/25))/(LN(2)/25)*Calculateur!V79*Calculateur!X79*VLOOKUP('Données projet'!$B$9,Paramètres!$A$1:$I$89,3,0)*0.475*44/12</f>
        <v>31.084907494741906</v>
      </c>
      <c r="AB79" s="21">
        <f>EXP(-LN(2)/2)*AB78+(1-EXP(-LN(2)/2))/(LN(2)/2)*V79*Y79*VLOOKUP('Données projet'!$B$9,Paramètres!$A$1:$I$89,3,0)*0.475*44/12</f>
        <v>0.23422438602872436</v>
      </c>
      <c r="AC79" s="22">
        <f t="shared" si="57"/>
        <v>132.47519912901737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14.6</v>
      </c>
      <c r="AI79" s="13">
        <f>IF('Données projet'!$A$62&gt;35,AI78+AH79-AQ78,IF(A79&lt;'Données projet'!$A$62,$AF$205^A79,IF(A79='Données projet'!$A$62,'Données projet'!$B$62,AI78+AH79-AQ78)))</f>
        <v>717.6</v>
      </c>
      <c r="AJ79" s="13">
        <f>AI79*VLOOKUP('Données projet'!$B$10,Paramètres!$A$1:$I$89,3,0)*VLOOKUP('Données projet'!$B$10,Paramètres!$A$1:$I$89,5,0)</f>
        <v>317.17920000000004</v>
      </c>
      <c r="AK79" s="13">
        <f t="shared" si="89"/>
        <v>74.766129261581426</v>
      </c>
      <c r="AL79" s="20">
        <f t="shared" si="58"/>
        <v>682.63811513058772</v>
      </c>
      <c r="AM79" s="59">
        <f t="shared" si="59"/>
        <v>975.97144846392098</v>
      </c>
      <c r="AN79" s="59">
        <f ca="1">AVERAGE(OFFSET($AM$3,0,0,'Données projet'!$E$10+1,1))-AVERAGE(OFFSET($H$3,0,0,'Données projet'!$E$10+1,1))</f>
        <v>394.37446333077651</v>
      </c>
      <c r="AO79" s="59">
        <f t="shared" si="90"/>
        <v>335.44327961212963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61.139727605982351</v>
      </c>
      <c r="AV79" s="21">
        <f>EXP(-LN(2)/25)*AV78+(1-EXP(-LN(2)/25))/(LN(2)/25)*Calculateur!AQ79*Calculateur!AS79*VLOOKUP('Données projet'!$B$10,Paramètres!$A$1:$I$89,3,0)*0.475*44/12</f>
        <v>24.628225587705867</v>
      </c>
      <c r="AW79" s="21">
        <f>EXP(-LN(2)/2)*AW78+(1-EXP(-LN(2)/2))/(LN(2)/2)*AQ79*AT79*VLOOKUP('Données projet'!$B$10,Paramètres!$A$1:$I$89,3,0)*0.475*44/12</f>
        <v>3.738268518743185</v>
      </c>
      <c r="AX79" s="21">
        <f t="shared" si="60"/>
        <v>89.506221712431397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8.0188888888888883</v>
      </c>
      <c r="BD79" s="12">
        <f>IF('Données projet'!$A$88&gt;35,BD78+BC79-BL78,IF(A79&lt;'Données projet'!$A$88,$BA$205^A79,IF(A79='Données projet'!$A$88,'Données projet'!$B$88,BD78+BC79-BL78)))</f>
        <v>219.61888888888919</v>
      </c>
      <c r="BE79" s="13">
        <f>BD79*VLOOKUP('Données projet'!$B$11,Paramètres!$A$1:$I$89,3,0)*VLOOKUP('Données projet'!$B$11,Paramètres!$A$1:$I$89,5,0)</f>
        <v>198.71117066666693</v>
      </c>
      <c r="BF79" s="13">
        <f t="shared" si="91"/>
        <v>49.460815560173565</v>
      </c>
      <c r="BG79" s="20">
        <f t="shared" si="61"/>
        <v>432.23287601174712</v>
      </c>
      <c r="BH79" s="59">
        <f t="shared" si="62"/>
        <v>725.56620934508044</v>
      </c>
      <c r="BI79" s="59">
        <f ca="1">AVERAGE(OFFSET($BH$3,0,0,'Données projet'!$E$11+1,1))-AVERAGE(OFFSET($H$3,0,0,'Données projet'!$E$11+1,1))</f>
        <v>490.06222615476065</v>
      </c>
      <c r="BJ79" s="59">
        <f t="shared" si="92"/>
        <v>310.43914804089906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17.623250338010056</v>
      </c>
      <c r="BQ79" s="21">
        <f>EXP(-LN(2)/25)*BQ78+(1-EXP(-LN(2)/25))/(LN(2)/25)*Calculateur!BL79*Calculateur!BN79*VLOOKUP('Données projet'!$B$11,Paramètres!$A$1:$I$89,3,0)*0.475*44/12</f>
        <v>28.55685826261788</v>
      </c>
      <c r="BR79" s="21">
        <f>EXP(-LN(2)/2)*BR78+(1-EXP(-LN(2)/2))/(LN(2)/2)*BL79*BO79*VLOOKUP('Données projet'!$B$11,Paramètres!$A$1:$I$89,3,0)*0.475*44/12</f>
        <v>2.7939647298427492</v>
      </c>
      <c r="BS79" s="22">
        <f t="shared" si="63"/>
        <v>48.974073330470681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251.09135999999995</v>
      </c>
      <c r="CA79" s="13">
        <f t="shared" si="93"/>
        <v>60.81957989149403</v>
      </c>
      <c r="CB79" s="20">
        <f t="shared" si="64"/>
        <v>543.24488697768527</v>
      </c>
      <c r="CC79" s="59">
        <f t="shared" si="65"/>
        <v>836.57822031101864</v>
      </c>
      <c r="CD79" s="59">
        <f ca="1">AVERAGE(OFFSET($CC$3,0,0,'Données projet'!$E$12+1,1))-AVERAGE(OFFSET($H$3,0,0,'Données projet'!$E$12+1,1))</f>
        <v>353.37479213497227</v>
      </c>
      <c r="CE79" s="59">
        <f t="shared" si="94"/>
        <v>345.4750813433123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14.640437298898354</v>
      </c>
      <c r="CL79" s="21">
        <f>EXP(-LN(2)/25)*CL78+(1-EXP(-LN(2)/25))/(LN(2)/25)*Calculateur!CG79*Calculateur!CI79*VLOOKUP('Données projet'!$B$12,Paramètres!$A$1:$I$89,3,0)*0.475*44/12</f>
        <v>14.545394770978898</v>
      </c>
      <c r="CM79" s="21">
        <f>EXP(-LN(2)/2)*CM78+(1-EXP(-LN(2)/2))/(LN(2)/2)*CG79*CJ79*VLOOKUP('Données projet'!$B$12,Paramètres!$A$1:$I$89,3,0)*0.475*44/12</f>
        <v>1.9641804417888422</v>
      </c>
      <c r="CN79" s="22">
        <f t="shared" si="66"/>
        <v>31.150012511666091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10.526999999999997</v>
      </c>
      <c r="CT79" s="12">
        <f>IF('Données projet'!$A$140&gt;35,CT78+CS79-DB78,IF(A79&lt;'Données projet'!$A$140,$CQ$205^A79,IF(A79='Données projet'!$A$140,'Données projet'!$B$140,CT78+CS79-DB78)))</f>
        <v>377.29199999999929</v>
      </c>
      <c r="CU79" s="17">
        <f>CT79*VLOOKUP('Données projet'!$B$13,Paramètres!$A$1:$I$89,3,0)*VLOOKUP('Données projet'!$B$13,Paramètres!$A$1:$I$89,5,0)</f>
        <v>181.47745199999966</v>
      </c>
      <c r="CV79" s="13">
        <f t="shared" si="95"/>
        <v>45.65073546778796</v>
      </c>
      <c r="CW79" s="20">
        <f t="shared" si="67"/>
        <v>395.58159317306337</v>
      </c>
      <c r="CX79" s="59">
        <f t="shared" si="68"/>
        <v>688.91492650639668</v>
      </c>
      <c r="CY79" s="59">
        <f ca="1">AVERAGE(OFFSET($CX$3,0,0,'Données projet'!$E$13+1,1))-AVERAGE(OFFSET($H$3,0,0,'Données projet'!$E$13+1,1))</f>
        <v>314.18760071409162</v>
      </c>
      <c r="CZ79" s="59">
        <f t="shared" si="96"/>
        <v>267.72650645201787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30.231091764217439</v>
      </c>
      <c r="DG79" s="21">
        <f>EXP(-LN(2)/25)*DG78+(1-EXP(-LN(2)/25))/(LN(2)/25)*Calculateur!DB79*Calculateur!DD79*VLOOKUP('Données projet'!$B$13,Paramètres!$A$1:$I$89,3,0)*0.475*44/12</f>
        <v>14.576199149298203</v>
      </c>
      <c r="DH79" s="21">
        <f>EXP(-LN(2)/2)*DH78+(1-EXP(-LN(2)/2))/(LN(2)/2)*DB79*DE79*VLOOKUP('Données projet'!$B$13,Paramètres!$A$1:$I$89,3,0)*0.475*44/12</f>
        <v>0.81946335218983646</v>
      </c>
      <c r="DI79" s="22">
        <f t="shared" si="69"/>
        <v>45.626754265705479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230.45567999999983</v>
      </c>
      <c r="DQ79" s="13">
        <f t="shared" si="97"/>
        <v>56.381198848277869</v>
      </c>
      <c r="DR79" s="20">
        <f t="shared" si="70"/>
        <v>499.57423066075035</v>
      </c>
      <c r="DS79" s="59">
        <f t="shared" si="71"/>
        <v>792.9075639940836</v>
      </c>
      <c r="DT79" s="59">
        <f ca="1">AVERAGE(OFFSET($DS$3,0,0,'Données projet'!$E$14+1,1))-AVERAGE(OFFSET($H$3,0,0,'Données projet'!$E$14+1,1))</f>
        <v>324.86930206492627</v>
      </c>
      <c r="DU79" s="59">
        <f t="shared" si="98"/>
        <v>317.03005098025352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11.783877219858693</v>
      </c>
      <c r="EB79" s="21">
        <f>EXP(-LN(2)/25)*EB78+(1-EXP(-LN(2)/25))/(LN(2)/25)*Calculateur!DW79*Calculateur!DY79*VLOOKUP('Données projet'!$B$14,Paramètres!$A$1:$I$89,3,0)*0.475*44/12</f>
        <v>12.809315780875563</v>
      </c>
      <c r="EC79" s="21">
        <f>EXP(-LN(2)/2)*EC78+(1-EXP(-LN(2)/2))/(LN(2)/2)*DW79*DZ79*VLOOKUP('Données projet'!$B$14,Paramètres!$A$1:$I$89,3,0)*0.475*44/12</f>
        <v>1.6311301125375539</v>
      </c>
      <c r="ED79" s="22">
        <f t="shared" si="72"/>
        <v>26.224323113271812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302.00825291248458</v>
      </c>
      <c r="T80" s="59">
        <f t="shared" si="88"/>
        <v>307.35115839449355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99.17245846861735</v>
      </c>
      <c r="AA80" s="21">
        <f>EXP(-LN(2)/25)*AA79+(1-EXP(-LN(2)/25))/(LN(2)/25)*Calculateur!V80*Calculateur!X80*VLOOKUP('Données projet'!$B$9,Paramètres!$A$1:$I$89,3,0)*0.475*44/12</f>
        <v>30.234889064613949</v>
      </c>
      <c r="AB80" s="21">
        <f>EXP(-LN(2)/2)*AB79+(1-EXP(-LN(2)/2))/(LN(2)/2)*V80*Y80*VLOOKUP('Données projet'!$B$9,Paramètres!$A$1:$I$89,3,0)*0.475*44/12</f>
        <v>0.16562165168016665</v>
      </c>
      <c r="AC80" s="22">
        <f t="shared" si="57"/>
        <v>129.57296918491147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14.6</v>
      </c>
      <c r="AI80" s="13">
        <f>IF('Données projet'!$A$62&gt;35,AI79+AH80-AQ79,IF(A80&lt;'Données projet'!$A$62,$AF$205^A80,IF(A80='Données projet'!$A$62,'Données projet'!$B$62,AI79+AH80-AQ79)))</f>
        <v>732.2</v>
      </c>
      <c r="AJ80" s="13">
        <f>AI80*VLOOKUP('Données projet'!$B$10,Paramètres!$A$1:$I$89,3,0)*VLOOKUP('Données projet'!$B$10,Paramètres!$A$1:$I$89,5,0)</f>
        <v>323.63240000000008</v>
      </c>
      <c r="AK80" s="13">
        <f t="shared" si="89"/>
        <v>76.108647913461411</v>
      </c>
      <c r="AL80" s="20">
        <f t="shared" si="58"/>
        <v>696.21565844927864</v>
      </c>
      <c r="AM80" s="59">
        <f t="shared" si="59"/>
        <v>989.54899178261189</v>
      </c>
      <c r="AN80" s="59">
        <f ca="1">AVERAGE(OFFSET($AM$3,0,0,'Données projet'!$E$10+1,1))-AVERAGE(OFFSET($H$3,0,0,'Données projet'!$E$10+1,1))</f>
        <v>394.37446333077651</v>
      </c>
      <c r="AO80" s="59">
        <f t="shared" si="90"/>
        <v>335.44327961212963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59.940814839180639</v>
      </c>
      <c r="AV80" s="21">
        <f>EXP(-LN(2)/25)*AV79+(1-EXP(-LN(2)/25))/(LN(2)/25)*Calculateur!AQ80*Calculateur!AS80*VLOOKUP('Données projet'!$B$10,Paramètres!$A$1:$I$89,3,0)*0.475*44/12</f>
        <v>23.954765463867954</v>
      </c>
      <c r="AW80" s="21">
        <f>EXP(-LN(2)/2)*AW79+(1-EXP(-LN(2)/2))/(LN(2)/2)*AQ80*AT80*VLOOKUP('Données projet'!$B$10,Paramètres!$A$1:$I$89,3,0)*0.475*44/12</f>
        <v>2.6433550194994968</v>
      </c>
      <c r="AX80" s="21">
        <f t="shared" si="60"/>
        <v>86.538935322548085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8.0188888888888883</v>
      </c>
      <c r="BD80" s="12">
        <f>IF('Données projet'!$A$88&gt;35,BD79+BC80-BL79,IF(A80&lt;'Données projet'!$A$88,$BA$205^A80,IF(A80='Données projet'!$A$88,'Données projet'!$B$88,BD79+BC80-BL79)))</f>
        <v>227.63777777777807</v>
      </c>
      <c r="BE80" s="13">
        <f>BD80*VLOOKUP('Données projet'!$B$11,Paramètres!$A$1:$I$89,3,0)*VLOOKUP('Données projet'!$B$11,Paramètres!$A$1:$I$89,5,0)</f>
        <v>205.96666133333358</v>
      </c>
      <c r="BF80" s="13">
        <f t="shared" si="91"/>
        <v>51.053207385228809</v>
      </c>
      <c r="BG80" s="20">
        <f t="shared" si="61"/>
        <v>447.64293801816285</v>
      </c>
      <c r="BH80" s="59">
        <f t="shared" si="62"/>
        <v>740.97627135149617</v>
      </c>
      <c r="BI80" s="59">
        <f ca="1">AVERAGE(OFFSET($BH$3,0,0,'Données projet'!$E$11+1,1))-AVERAGE(OFFSET($H$3,0,0,'Données projet'!$E$11+1,1))</f>
        <v>490.06222615476065</v>
      </c>
      <c r="BJ80" s="59">
        <f t="shared" si="92"/>
        <v>310.43914804089906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17.277669148002996</v>
      </c>
      <c r="BQ80" s="21">
        <f>EXP(-LN(2)/25)*BQ79+(1-EXP(-LN(2)/25))/(LN(2)/25)*Calculateur!BL80*Calculateur!BN80*VLOOKUP('Données projet'!$B$11,Paramètres!$A$1:$I$89,3,0)*0.475*44/12</f>
        <v>27.775969471686686</v>
      </c>
      <c r="BR80" s="21">
        <f>EXP(-LN(2)/2)*BR79+(1-EXP(-LN(2)/2))/(LN(2)/2)*BL80*BO80*VLOOKUP('Données projet'!$B$11,Paramètres!$A$1:$I$89,3,0)*0.475*44/12</f>
        <v>1.9756314068678484</v>
      </c>
      <c r="BS80" s="22">
        <f t="shared" si="63"/>
        <v>47.029270026557526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253.95551999999998</v>
      </c>
      <c r="CA80" s="13">
        <f t="shared" si="93"/>
        <v>61.432180511879253</v>
      </c>
      <c r="CB80" s="20">
        <f t="shared" si="64"/>
        <v>549.30024505818972</v>
      </c>
      <c r="CC80" s="59">
        <f t="shared" si="65"/>
        <v>842.63357839152309</v>
      </c>
      <c r="CD80" s="59">
        <f ca="1">AVERAGE(OFFSET($CC$3,0,0,'Données projet'!$E$12+1,1))-AVERAGE(OFFSET($H$3,0,0,'Données projet'!$E$12+1,1))</f>
        <v>353.37479213497227</v>
      </c>
      <c r="CE80" s="59">
        <f t="shared" si="94"/>
        <v>345.4750813433123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14.353347253251966</v>
      </c>
      <c r="CL80" s="21">
        <f>EXP(-LN(2)/25)*CL79+(1-EXP(-LN(2)/25))/(LN(2)/25)*Calculateur!CG80*Calculateur!CI80*VLOOKUP('Données projet'!$B$12,Paramètres!$A$1:$I$89,3,0)*0.475*44/12</f>
        <v>14.147650186057414</v>
      </c>
      <c r="CM80" s="21">
        <f>EXP(-LN(2)/2)*CM79+(1-EXP(-LN(2)/2))/(LN(2)/2)*CG80*CJ80*VLOOKUP('Données projet'!$B$12,Paramètres!$A$1:$I$89,3,0)*0.475*44/12</f>
        <v>1.3888853098628793</v>
      </c>
      <c r="CN80" s="22">
        <f t="shared" si="66"/>
        <v>29.889882749172259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10.526999999999997</v>
      </c>
      <c r="CT80" s="12">
        <f>IF('Données projet'!$A$140&gt;35,CT79+CS80-DB79,IF(A80&lt;'Données projet'!$A$140,$CQ$205^A80,IF(A80='Données projet'!$A$140,'Données projet'!$B$140,CT79+CS80-DB79)))</f>
        <v>387.81899999999928</v>
      </c>
      <c r="CU80" s="17">
        <f>CT80*VLOOKUP('Données projet'!$B$13,Paramètres!$A$1:$I$89,3,0)*VLOOKUP('Données projet'!$B$13,Paramètres!$A$1:$I$89,5,0)</f>
        <v>186.54093899999964</v>
      </c>
      <c r="CV80" s="13">
        <f t="shared" si="95"/>
        <v>46.774387731846574</v>
      </c>
      <c r="CW80" s="20">
        <f t="shared" si="67"/>
        <v>406.35752739129879</v>
      </c>
      <c r="CX80" s="59">
        <f t="shared" si="68"/>
        <v>699.6908607246321</v>
      </c>
      <c r="CY80" s="59">
        <f ca="1">AVERAGE(OFFSET($CX$3,0,0,'Données projet'!$E$13+1,1))-AVERAGE(OFFSET($H$3,0,0,'Données projet'!$E$13+1,1))</f>
        <v>314.18760071409162</v>
      </c>
      <c r="CZ80" s="59">
        <f t="shared" si="96"/>
        <v>267.72650645201787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29.638278493866398</v>
      </c>
      <c r="DG80" s="21">
        <f>EXP(-LN(2)/25)*DG79+(1-EXP(-LN(2)/25))/(LN(2)/25)*Calculateur!DB80*Calculateur!DD80*VLOOKUP('Données projet'!$B$13,Paramètres!$A$1:$I$89,3,0)*0.475*44/12</f>
        <v>14.177612217031644</v>
      </c>
      <c r="DH80" s="21">
        <f>EXP(-LN(2)/2)*DH79+(1-EXP(-LN(2)/2))/(LN(2)/2)*DB80*DE80*VLOOKUP('Données projet'!$B$13,Paramètres!$A$1:$I$89,3,0)*0.475*44/12</f>
        <v>0.57944809326729341</v>
      </c>
      <c r="DI80" s="22">
        <f t="shared" si="69"/>
        <v>44.395338804165341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232.90175999999985</v>
      </c>
      <c r="DQ80" s="13">
        <f t="shared" si="97"/>
        <v>56.909651332233778</v>
      </c>
      <c r="DR80" s="20">
        <f t="shared" si="70"/>
        <v>504.75487473697353</v>
      </c>
      <c r="DS80" s="59">
        <f t="shared" si="71"/>
        <v>798.08820807030679</v>
      </c>
      <c r="DT80" s="59">
        <f ca="1">AVERAGE(OFFSET($DS$3,0,0,'Données projet'!$E$14+1,1))-AVERAGE(OFFSET($H$3,0,0,'Données projet'!$E$14+1,1))</f>
        <v>324.86930206492627</v>
      </c>
      <c r="DU80" s="59">
        <f t="shared" si="98"/>
        <v>317.03005098025352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11.552802575032667</v>
      </c>
      <c r="EB80" s="21">
        <f>EXP(-LN(2)/25)*EB79+(1-EXP(-LN(2)/25))/(LN(2)/25)*Calculateur!DW80*Calculateur!DY80*VLOOKUP('Données projet'!$B$14,Paramètres!$A$1:$I$89,3,0)*0.475*44/12</f>
        <v>12.459044367234879</v>
      </c>
      <c r="EC80" s="21">
        <f>EXP(-LN(2)/2)*EC79+(1-EXP(-LN(2)/2))/(LN(2)/2)*DW80*DZ80*VLOOKUP('Données projet'!$B$14,Paramètres!$A$1:$I$89,3,0)*0.475*44/12</f>
        <v>1.1533831635728808</v>
      </c>
      <c r="ED80" s="22">
        <f t="shared" si="72"/>
        <v>25.165230105840426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302.00825291248458</v>
      </c>
      <c r="T81" s="59">
        <f t="shared" si="88"/>
        <v>307.35115839449355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97.227747047274619</v>
      </c>
      <c r="AA81" s="21">
        <f>EXP(-LN(2)/25)*AA80+(1-EXP(-LN(2)/25))/(LN(2)/25)*Calculateur!V81*Calculateur!X81*VLOOKUP('Données projet'!$B$9,Paramètres!$A$1:$I$89,3,0)*0.475*44/12</f>
        <v>29.408114433158367</v>
      </c>
      <c r="AB81" s="21">
        <f>EXP(-LN(2)/2)*AB80+(1-EXP(-LN(2)/2))/(LN(2)/2)*V81*Y81*VLOOKUP('Données projet'!$B$9,Paramètres!$A$1:$I$89,3,0)*0.475*44/12</f>
        <v>0.1171121930143622</v>
      </c>
      <c r="AC81" s="22">
        <f t="shared" si="57"/>
        <v>126.75297367344736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14.6</v>
      </c>
      <c r="AI81" s="13">
        <f>IF('Données projet'!$A$62&gt;35,AI80+AH81-AQ80,IF(A81&lt;'Données projet'!$A$62,$AF$205^A81,IF(A81='Données projet'!$A$62,'Données projet'!$B$62,AI80+AH81-AQ80)))</f>
        <v>746.80000000000007</v>
      </c>
      <c r="AJ81" s="13">
        <f>AI81*VLOOKUP('Données projet'!$B$10,Paramètres!$A$1:$I$89,3,0)*VLOOKUP('Données projet'!$B$10,Paramètres!$A$1:$I$89,5,0)</f>
        <v>330.08560000000006</v>
      </c>
      <c r="AK81" s="13">
        <f t="shared" si="89"/>
        <v>77.448053967870919</v>
      </c>
      <c r="AL81" s="20">
        <f t="shared" si="58"/>
        <v>709.78778066070856</v>
      </c>
      <c r="AM81" s="59">
        <f t="shared" si="59"/>
        <v>1003.1211139940419</v>
      </c>
      <c r="AN81" s="59">
        <f ca="1">AVERAGE(OFFSET($AM$3,0,0,'Données projet'!$E$10+1,1))-AVERAGE(OFFSET($H$3,0,0,'Données projet'!$E$10+1,1))</f>
        <v>394.37446333077651</v>
      </c>
      <c r="AO81" s="59">
        <f t="shared" si="90"/>
        <v>335.44327961212963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58.765412020471331</v>
      </c>
      <c r="AV81" s="21">
        <f>EXP(-LN(2)/25)*AV80+(1-EXP(-LN(2)/25))/(LN(2)/25)*Calculateur!AQ81*Calculateur!AS81*VLOOKUP('Données projet'!$B$10,Paramètres!$A$1:$I$89,3,0)*0.475*44/12</f>
        <v>23.299721142532118</v>
      </c>
      <c r="AW81" s="21">
        <f>EXP(-LN(2)/2)*AW80+(1-EXP(-LN(2)/2))/(LN(2)/2)*AQ81*AT81*VLOOKUP('Données projet'!$B$10,Paramètres!$A$1:$I$89,3,0)*0.475*44/12</f>
        <v>1.8691342593715929</v>
      </c>
      <c r="AX81" s="21">
        <f t="shared" si="60"/>
        <v>83.934267422375044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8.0188888888888883</v>
      </c>
      <c r="BD81" s="12">
        <f>IF('Données projet'!$A$88&gt;35,BD80+BC81-BL80,IF(A81&lt;'Données projet'!$A$88,$BA$205^A81,IF(A81='Données projet'!$A$88,'Données projet'!$B$88,BD80+BC81-BL80)))</f>
        <v>235.65666666666695</v>
      </c>
      <c r="BE81" s="13">
        <f>BD81*VLOOKUP('Données projet'!$B$11,Paramètres!$A$1:$I$89,3,0)*VLOOKUP('Données projet'!$B$11,Paramètres!$A$1:$I$89,5,0)</f>
        <v>213.22215200000025</v>
      </c>
      <c r="BF81" s="13">
        <f t="shared" si="91"/>
        <v>52.639081762048846</v>
      </c>
      <c r="BG81" s="20">
        <f t="shared" si="61"/>
        <v>463.04164880223556</v>
      </c>
      <c r="BH81" s="59">
        <f t="shared" si="62"/>
        <v>756.37498213556887</v>
      </c>
      <c r="BI81" s="59">
        <f ca="1">AVERAGE(OFFSET($BH$3,0,0,'Données projet'!$E$11+1,1))-AVERAGE(OFFSET($H$3,0,0,'Données projet'!$E$11+1,1))</f>
        <v>490.06222615476065</v>
      </c>
      <c r="BJ81" s="59">
        <f t="shared" si="92"/>
        <v>310.43914804089906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16.938864594348264</v>
      </c>
      <c r="BQ81" s="21">
        <f>EXP(-LN(2)/25)*BQ80+(1-EXP(-LN(2)/25))/(LN(2)/25)*Calculateur!BL81*Calculateur!BN81*VLOOKUP('Données projet'!$B$11,Paramètres!$A$1:$I$89,3,0)*0.475*44/12</f>
        <v>27.016434125808662</v>
      </c>
      <c r="BR81" s="21">
        <f>EXP(-LN(2)/2)*BR80+(1-EXP(-LN(2)/2))/(LN(2)/2)*BL81*BO81*VLOOKUP('Données projet'!$B$11,Paramètres!$A$1:$I$89,3,0)*0.475*44/12</f>
        <v>1.3969823649213748</v>
      </c>
      <c r="BS81" s="22">
        <f t="shared" si="63"/>
        <v>45.352281085078303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256.81968000000001</v>
      </c>
      <c r="CA81" s="13">
        <f t="shared" si="93"/>
        <v>62.043977430851903</v>
      </c>
      <c r="CB81" s="20">
        <f t="shared" si="64"/>
        <v>555.35420335873368</v>
      </c>
      <c r="CC81" s="59">
        <f t="shared" si="65"/>
        <v>848.68753669206694</v>
      </c>
      <c r="CD81" s="59">
        <f ca="1">AVERAGE(OFFSET($CC$3,0,0,'Données projet'!$E$12+1,1))-AVERAGE(OFFSET($H$3,0,0,'Données projet'!$E$12+1,1))</f>
        <v>353.37479213497227</v>
      </c>
      <c r="CE81" s="59">
        <f t="shared" si="94"/>
        <v>345.4750813433123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14.071886868293067</v>
      </c>
      <c r="CL81" s="21">
        <f>EXP(-LN(2)/25)*CL80+(1-EXP(-LN(2)/25))/(LN(2)/25)*Calculateur!CG81*Calculateur!CI81*VLOOKUP('Données projet'!$B$12,Paramètres!$A$1:$I$89,3,0)*0.475*44/12</f>
        <v>13.760781947727086</v>
      </c>
      <c r="CM81" s="21">
        <f>EXP(-LN(2)/2)*CM80+(1-EXP(-LN(2)/2))/(LN(2)/2)*CG81*CJ81*VLOOKUP('Données projet'!$B$12,Paramètres!$A$1:$I$89,3,0)*0.475*44/12</f>
        <v>0.98209022089442133</v>
      </c>
      <c r="CN81" s="22">
        <f t="shared" si="66"/>
        <v>28.814759036914573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10.526999999999997</v>
      </c>
      <c r="CT81" s="12">
        <f>IF('Données projet'!$A$140&gt;35,CT80+CS81-DB80,IF(A81&lt;'Données projet'!$A$140,$CQ$205^A81,IF(A81='Données projet'!$A$140,'Données projet'!$B$140,CT80+CS81-DB80)))</f>
        <v>398.34599999999926</v>
      </c>
      <c r="CU81" s="17">
        <f>CT81*VLOOKUP('Données projet'!$B$13,Paramètres!$A$1:$I$89,3,0)*VLOOKUP('Données projet'!$B$13,Paramètres!$A$1:$I$89,5,0)</f>
        <v>191.60442599999965</v>
      </c>
      <c r="CV81" s="13">
        <f t="shared" si="95"/>
        <v>47.894494876232983</v>
      </c>
      <c r="CW81" s="20">
        <f t="shared" si="67"/>
        <v>417.1272871927718</v>
      </c>
      <c r="CX81" s="59">
        <f t="shared" si="68"/>
        <v>710.46062052610512</v>
      </c>
      <c r="CY81" s="59">
        <f ca="1">AVERAGE(OFFSET($CX$3,0,0,'Données projet'!$E$13+1,1))-AVERAGE(OFFSET($H$3,0,0,'Données projet'!$E$13+1,1))</f>
        <v>314.18760071409162</v>
      </c>
      <c r="CZ81" s="59">
        <f t="shared" si="96"/>
        <v>267.72650645201787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29.057089930166548</v>
      </c>
      <c r="DG81" s="21">
        <f>EXP(-LN(2)/25)*DG80+(1-EXP(-LN(2)/25))/(LN(2)/25)*Calculateur!DB81*Calculateur!DD81*VLOOKUP('Données projet'!$B$13,Paramètres!$A$1:$I$89,3,0)*0.475*44/12</f>
        <v>13.789924665388691</v>
      </c>
      <c r="DH81" s="21">
        <f>EXP(-LN(2)/2)*DH80+(1-EXP(-LN(2)/2))/(LN(2)/2)*DB81*DE81*VLOOKUP('Données projet'!$B$13,Paramètres!$A$1:$I$89,3,0)*0.475*44/12</f>
        <v>0.40973167609491823</v>
      </c>
      <c r="DI81" s="22">
        <f t="shared" si="69"/>
        <v>43.256746271650158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235.34783999999988</v>
      </c>
      <c r="DQ81" s="13">
        <f t="shared" si="97"/>
        <v>57.437458162232033</v>
      </c>
      <c r="DR81" s="20">
        <f t="shared" si="70"/>
        <v>509.93439429922063</v>
      </c>
      <c r="DS81" s="59">
        <f t="shared" si="71"/>
        <v>803.26772763255394</v>
      </c>
      <c r="DT81" s="59">
        <f ca="1">AVERAGE(OFFSET($DS$3,0,0,'Données projet'!$E$14+1,1))-AVERAGE(OFFSET($H$3,0,0,'Données projet'!$E$14+1,1))</f>
        <v>324.86930206492627</v>
      </c>
      <c r="DU81" s="59">
        <f t="shared" si="98"/>
        <v>317.03005098025352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11.326259163050061</v>
      </c>
      <c r="EB81" s="21">
        <f>EXP(-LN(2)/25)*EB80+(1-EXP(-LN(2)/25))/(LN(2)/25)*Calculateur!DW81*Calculateur!DY81*VLOOKUP('Données projet'!$B$14,Paramètres!$A$1:$I$89,3,0)*0.475*44/12</f>
        <v>12.118351143820174</v>
      </c>
      <c r="EC81" s="21">
        <f>EXP(-LN(2)/2)*EC80+(1-EXP(-LN(2)/2))/(LN(2)/2)*DW81*DZ81*VLOOKUP('Données projet'!$B$14,Paramètres!$A$1:$I$89,3,0)*0.475*44/12</f>
        <v>0.81556505626877707</v>
      </c>
      <c r="ED81" s="22">
        <f t="shared" si="72"/>
        <v>24.260175363139012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302.00825291248458</v>
      </c>
      <c r="T82" s="59">
        <f t="shared" si="88"/>
        <v>307.35115839449355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95.321170230747569</v>
      </c>
      <c r="AA82" s="21">
        <f>EXP(-LN(2)/25)*AA81+(1-EXP(-LN(2)/25))/(LN(2)/25)*Calculateur!V82*Calculateur!X82*VLOOKUP('Données projet'!$B$9,Paramètres!$A$1:$I$89,3,0)*0.475*44/12</f>
        <v>28.603947997478127</v>
      </c>
      <c r="AB82" s="21">
        <f>EXP(-LN(2)/2)*AB81+(1-EXP(-LN(2)/2))/(LN(2)/2)*V82*Y82*VLOOKUP('Données projet'!$B$9,Paramètres!$A$1:$I$89,3,0)*0.475*44/12</f>
        <v>8.2810825840083341E-2</v>
      </c>
      <c r="AC82" s="22">
        <f t="shared" si="57"/>
        <v>124.00792905406578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14.6</v>
      </c>
      <c r="AI82" s="13">
        <f>IF('Données projet'!$A$62&gt;35,AI81+AH82-AQ81,IF(A82&lt;'Données projet'!$A$62,$AF$205^A82,IF(A82='Données projet'!$A$62,'Données projet'!$B$62,AI81+AH82-AQ81)))</f>
        <v>761.40000000000009</v>
      </c>
      <c r="AJ82" s="13">
        <f>AI82*VLOOKUP('Données projet'!$B$10,Paramètres!$A$1:$I$89,3,0)*VLOOKUP('Données projet'!$B$10,Paramètres!$A$1:$I$89,5,0)</f>
        <v>336.53880000000004</v>
      </c>
      <c r="AK82" s="13">
        <f t="shared" si="89"/>
        <v>78.784415290943599</v>
      </c>
      <c r="AL82" s="20">
        <f t="shared" si="58"/>
        <v>723.35459996506006</v>
      </c>
      <c r="AM82" s="59">
        <f t="shared" si="59"/>
        <v>1016.6879332983933</v>
      </c>
      <c r="AN82" s="59">
        <f ca="1">AVERAGE(OFFSET($AM$3,0,0,'Données projet'!$E$10+1,1))-AVERAGE(OFFSET($H$3,0,0,'Données projet'!$E$10+1,1))</f>
        <v>394.37446333077651</v>
      </c>
      <c r="AO82" s="59">
        <f t="shared" si="90"/>
        <v>335.44327961212963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57.613058134111981</v>
      </c>
      <c r="AV82" s="21">
        <f>EXP(-LN(2)/25)*AV81+(1-EXP(-LN(2)/25))/(LN(2)/25)*Calculateur!AQ82*Calculateur!AS82*VLOOKUP('Données projet'!$B$10,Paramètres!$A$1:$I$89,3,0)*0.475*44/12</f>
        <v>22.662589042610495</v>
      </c>
      <c r="AW82" s="21">
        <f>EXP(-LN(2)/2)*AW81+(1-EXP(-LN(2)/2))/(LN(2)/2)*AQ82*AT82*VLOOKUP('Données projet'!$B$10,Paramètres!$A$1:$I$89,3,0)*0.475*44/12</f>
        <v>1.3216775097497486</v>
      </c>
      <c r="AX82" s="21">
        <f t="shared" si="60"/>
        <v>81.59732468647222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8.0188888888888883</v>
      </c>
      <c r="BD82" s="12">
        <f>IF('Données projet'!$A$88&gt;35,BD81+BC82-BL81,IF(A82&lt;'Données projet'!$A$88,$BA$205^A82,IF(A82='Données projet'!$A$88,'Données projet'!$B$88,BD81+BC82-BL81)))</f>
        <v>243.67555555555583</v>
      </c>
      <c r="BE82" s="13">
        <f>BD82*VLOOKUP('Données projet'!$B$11,Paramètres!$A$1:$I$89,3,0)*VLOOKUP('Données projet'!$B$11,Paramètres!$A$1:$I$89,5,0)</f>
        <v>220.4776426666669</v>
      </c>
      <c r="BF82" s="13">
        <f t="shared" si="91"/>
        <v>54.21868588718452</v>
      </c>
      <c r="BG82" s="20">
        <f t="shared" si="61"/>
        <v>478.42943889795788</v>
      </c>
      <c r="BH82" s="59">
        <f t="shared" si="62"/>
        <v>771.76277223129114</v>
      </c>
      <c r="BI82" s="59">
        <f ca="1">AVERAGE(OFFSET($BH$3,0,0,'Données projet'!$E$11+1,1))-AVERAGE(OFFSET($H$3,0,0,'Données projet'!$E$11+1,1))</f>
        <v>490.06222615476065</v>
      </c>
      <c r="BJ82" s="59">
        <f t="shared" si="92"/>
        <v>310.43914804089906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16.606703791340326</v>
      </c>
      <c r="BQ82" s="21">
        <f>EXP(-LN(2)/25)*BQ81+(1-EXP(-LN(2)/25))/(LN(2)/25)*Calculateur!BL82*Calculateur!BN82*VLOOKUP('Données projet'!$B$11,Paramètres!$A$1:$I$89,3,0)*0.475*44/12</f>
        <v>26.277668313905899</v>
      </c>
      <c r="BR82" s="21">
        <f>EXP(-LN(2)/2)*BR81+(1-EXP(-LN(2)/2))/(LN(2)/2)*BL82*BO82*VLOOKUP('Données projet'!$B$11,Paramètres!$A$1:$I$89,3,0)*0.475*44/12</f>
        <v>0.98781570343392433</v>
      </c>
      <c r="BS82" s="22">
        <f t="shared" si="63"/>
        <v>43.872187808680152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259.68384000000003</v>
      </c>
      <c r="CA82" s="13">
        <f t="shared" si="93"/>
        <v>62.654980648867358</v>
      </c>
      <c r="CB82" s="20">
        <f t="shared" si="64"/>
        <v>561.40677929677736</v>
      </c>
      <c r="CC82" s="59">
        <f t="shared" si="65"/>
        <v>854.74011263011062</v>
      </c>
      <c r="CD82" s="59">
        <f ca="1">AVERAGE(OFFSET($CC$3,0,0,'Données projet'!$E$12+1,1))-AVERAGE(OFFSET($H$3,0,0,'Données projet'!$E$12+1,1))</f>
        <v>353.37479213497227</v>
      </c>
      <c r="CE82" s="59">
        <f t="shared" si="94"/>
        <v>345.4750813433123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13.795945749809329</v>
      </c>
      <c r="CL82" s="21">
        <f>EXP(-LN(2)/25)*CL81+(1-EXP(-LN(2)/25))/(LN(2)/25)*Calculateur!CG82*Calculateur!CI82*VLOOKUP('Données projet'!$B$12,Paramètres!$A$1:$I$89,3,0)*0.475*44/12</f>
        <v>13.384492641718417</v>
      </c>
      <c r="CM82" s="21">
        <f>EXP(-LN(2)/2)*CM81+(1-EXP(-LN(2)/2))/(LN(2)/2)*CG82*CJ82*VLOOKUP('Données projet'!$B$12,Paramètres!$A$1:$I$89,3,0)*0.475*44/12</f>
        <v>0.69444265493143975</v>
      </c>
      <c r="CN82" s="22">
        <f t="shared" si="66"/>
        <v>27.874881046459183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10.526999999999997</v>
      </c>
      <c r="CT82" s="12">
        <f>IF('Données projet'!$A$140&gt;35,CT81+CS82-DB81,IF(A82&lt;'Données projet'!$A$140,$CQ$205^A82,IF(A82='Données projet'!$A$140,'Données projet'!$B$140,CT81+CS82-DB81)))</f>
        <v>408.87299999999925</v>
      </c>
      <c r="CU82" s="17">
        <f>CT82*VLOOKUP('Données projet'!$B$13,Paramètres!$A$1:$I$89,3,0)*VLOOKUP('Données projet'!$B$13,Paramètres!$A$1:$I$89,5,0)</f>
        <v>196.66791299999966</v>
      </c>
      <c r="CV82" s="13">
        <f t="shared" si="95"/>
        <v>49.01116135599824</v>
      </c>
      <c r="CW82" s="20">
        <f t="shared" si="67"/>
        <v>427.89105450336297</v>
      </c>
      <c r="CX82" s="59">
        <f t="shared" si="68"/>
        <v>721.22438783669622</v>
      </c>
      <c r="CY82" s="59">
        <f ca="1">AVERAGE(OFFSET($CX$3,0,0,'Données projet'!$E$13+1,1))-AVERAGE(OFFSET($H$3,0,0,'Données projet'!$E$13+1,1))</f>
        <v>314.18760071409162</v>
      </c>
      <c r="CZ82" s="59">
        <f t="shared" si="96"/>
        <v>267.72650645201787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28.487298119710832</v>
      </c>
      <c r="DG82" s="21">
        <f>EXP(-LN(2)/25)*DG81+(1-EXP(-LN(2)/25))/(LN(2)/25)*Calculateur!DB82*Calculateur!DD82*VLOOKUP('Données projet'!$B$13,Paramètres!$A$1:$I$89,3,0)*0.475*44/12</f>
        <v>13.412838450233016</v>
      </c>
      <c r="DH82" s="21">
        <f>EXP(-LN(2)/2)*DH81+(1-EXP(-LN(2)/2))/(LN(2)/2)*DB82*DE82*VLOOKUP('Données projet'!$B$13,Paramètres!$A$1:$I$89,3,0)*0.475*44/12</f>
        <v>0.2897240466336467</v>
      </c>
      <c r="DI82" s="22">
        <f t="shared" si="69"/>
        <v>42.189860616577491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237.79391999999984</v>
      </c>
      <c r="DQ82" s="13">
        <f t="shared" si="97"/>
        <v>57.96462682570845</v>
      </c>
      <c r="DR82" s="20">
        <f t="shared" si="70"/>
        <v>515.11280238810866</v>
      </c>
      <c r="DS82" s="59">
        <f t="shared" si="71"/>
        <v>808.44613572144203</v>
      </c>
      <c r="DT82" s="59">
        <f ca="1">AVERAGE(OFFSET($DS$3,0,0,'Données projet'!$E$14+1,1))-AVERAGE(OFFSET($H$3,0,0,'Données projet'!$E$14+1,1))</f>
        <v>324.86930206492627</v>
      </c>
      <c r="DU82" s="59">
        <f t="shared" si="98"/>
        <v>317.03005098025352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11.104158129198597</v>
      </c>
      <c r="EB82" s="21">
        <f>EXP(-LN(2)/25)*EB81+(1-EXP(-LN(2)/25))/(LN(2)/25)*Calculateur!DW82*Calculateur!DY82*VLOOKUP('Données projet'!$B$14,Paramètres!$A$1:$I$89,3,0)*0.475*44/12</f>
        <v>11.786974194516022</v>
      </c>
      <c r="EC82" s="21">
        <f>EXP(-LN(2)/2)*EC81+(1-EXP(-LN(2)/2))/(LN(2)/2)*DW82*DZ82*VLOOKUP('Données projet'!$B$14,Paramètres!$A$1:$I$89,3,0)*0.475*44/12</f>
        <v>0.57669158178644053</v>
      </c>
      <c r="ED82" s="22">
        <f t="shared" si="72"/>
        <v>23.46782390550106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302.00825291248458</v>
      </c>
      <c r="T83" s="59">
        <f t="shared" si="88"/>
        <v>307.35115839449355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93.451980222695582</v>
      </c>
      <c r="AA83" s="21">
        <f>EXP(-LN(2)/25)*AA82+(1-EXP(-LN(2)/25))/(LN(2)/25)*Calculateur!V83*Calculateur!X83*VLOOKUP('Données projet'!$B$9,Paramètres!$A$1:$I$89,3,0)*0.475*44/12</f>
        <v>27.821771535270837</v>
      </c>
      <c r="AB83" s="21">
        <f>EXP(-LN(2)/2)*AB82+(1-EXP(-LN(2)/2))/(LN(2)/2)*V83*Y83*VLOOKUP('Données projet'!$B$9,Paramètres!$A$1:$I$89,3,0)*0.475*44/12</f>
        <v>5.8556096507181112E-2</v>
      </c>
      <c r="AC83" s="22">
        <f t="shared" si="57"/>
        <v>121.3323078544736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776</v>
      </c>
      <c r="AG83" s="12">
        <f>VLOOKUP(A83,'Données projet'!$A$61:$I$81,9,0)</f>
        <v>14.6</v>
      </c>
      <c r="AH83" s="12">
        <f t="array" ref="AH83">INDEX(AG:AG,MIN(IF(ISNUMBER(AG83:AG279),ROW(AG83:AG279),"")))</f>
        <v>14.6</v>
      </c>
      <c r="AI83" s="13">
        <f>IF('Données projet'!$A$62&gt;35,AI82+AH83-AQ82,IF(A83&lt;'Données projet'!$A$62,$AF$205^A83,IF(A83='Données projet'!$A$62,'Données projet'!$B$62,AI82+AH83-AQ82)))</f>
        <v>776.00000000000011</v>
      </c>
      <c r="AJ83" s="13">
        <f>AI83*VLOOKUP('Données projet'!$B$10,Paramètres!$A$1:$I$89,3,0)*VLOOKUP('Données projet'!$B$10,Paramètres!$A$1:$I$89,5,0)</f>
        <v>342.99200000000008</v>
      </c>
      <c r="AK83" s="13">
        <f t="shared" si="89"/>
        <v>80.117796997208558</v>
      </c>
      <c r="AL83" s="20">
        <f t="shared" si="58"/>
        <v>736.91622977013833</v>
      </c>
      <c r="AM83" s="59">
        <f t="shared" si="59"/>
        <v>1030.2495631034717</v>
      </c>
      <c r="AN83" s="59">
        <f ca="1">AVERAGE(OFFSET($AM$3,0,0,'Données projet'!$E$10+1,1))-AVERAGE(OFFSET($H$3,0,0,'Données projet'!$E$10+1,1))</f>
        <v>394.37446333077651</v>
      </c>
      <c r="AO83" s="59">
        <f t="shared" si="90"/>
        <v>335.44327961212963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776</v>
      </c>
      <c r="AR83" s="16">
        <f>IF(ISNA(VLOOKUP(A83,'Données projet'!$A$61:$I$81,5,0)),0%,VLOOKUP(A83,'Données projet'!$A$61:$I$81,5,0)*VLOOKUP('Données projet'!$B$10,Paramètres!$A$1:$I$89,7,0))</f>
        <v>0.33</v>
      </c>
      <c r="AS83" s="16">
        <f>IF(ISNA(VLOOKUP(A83,'Données projet'!$A$61:$I$81,6,0)),0%,VLOOKUP(A83,'Données projet'!$A$61:$I$81,6,0)*VLOOKUP('Données projet'!$B$10,Paramètres!$A$1:$I$89,7,0))</f>
        <v>0.11000000000000001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206.63362978563688</v>
      </c>
      <c r="AV83" s="21">
        <f>EXP(-LN(2)/25)*AV82+(1-EXP(-LN(2)/25))/(LN(2)/25)*Calculateur!AQ83*Calculateur!AS83*VLOOKUP('Données projet'!$B$10,Paramètres!$A$1:$I$89,3,0)*0.475*44/12</f>
        <v>71.895922528684935</v>
      </c>
      <c r="AW83" s="21">
        <f>EXP(-LN(2)/2)*AW82+(1-EXP(-LN(2)/2))/(LN(2)/2)*AQ83*AT83*VLOOKUP('Données projet'!$B$10,Paramètres!$A$1:$I$89,3,0)*0.475*44/12</f>
        <v>78.603891168325319</v>
      </c>
      <c r="AX83" s="21">
        <f t="shared" si="60"/>
        <v>357.13344348264712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8.0188888888888883</v>
      </c>
      <c r="BD83" s="12">
        <f>IF('Données projet'!$A$88&gt;35,BD82+BC83-BL82,IF(A83&lt;'Données projet'!$A$88,$BA$205^A83,IF(A83='Données projet'!$A$88,'Données projet'!$B$88,BD82+BC83-BL82)))</f>
        <v>251.69444444444471</v>
      </c>
      <c r="BE83" s="13">
        <f>BD83*VLOOKUP('Données projet'!$B$11,Paramètres!$A$1:$I$89,3,0)*VLOOKUP('Données projet'!$B$11,Paramètres!$A$1:$I$89,5,0)</f>
        <v>227.73313333333357</v>
      </c>
      <c r="BF83" s="13">
        <f t="shared" si="91"/>
        <v>55.792249764284776</v>
      </c>
      <c r="BG83" s="20">
        <f t="shared" si="61"/>
        <v>493.80670889501863</v>
      </c>
      <c r="BH83" s="59">
        <f t="shared" si="62"/>
        <v>787.14004222835194</v>
      </c>
      <c r="BI83" s="59">
        <f ca="1">AVERAGE(OFFSET($BH$3,0,0,'Données projet'!$E$11+1,1))-AVERAGE(OFFSET($H$3,0,0,'Données projet'!$E$11+1,1))</f>
        <v>490.06222615476065</v>
      </c>
      <c r="BJ83" s="59">
        <f t="shared" si="92"/>
        <v>310.43914804089906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16.281056459081292</v>
      </c>
      <c r="BQ83" s="21">
        <f>EXP(-LN(2)/25)*BQ82+(1-EXP(-LN(2)/25))/(LN(2)/25)*Calculateur!BL83*Calculateur!BN83*VLOOKUP('Données projet'!$B$11,Paramètres!$A$1:$I$89,3,0)*0.475*44/12</f>
        <v>25.559104091979624</v>
      </c>
      <c r="BR83" s="21">
        <f>EXP(-LN(2)/2)*BR82+(1-EXP(-LN(2)/2))/(LN(2)/2)*BL83*BO83*VLOOKUP('Données projet'!$B$11,Paramètres!$A$1:$I$89,3,0)*0.475*44/12</f>
        <v>0.69849118246068753</v>
      </c>
      <c r="BS83" s="22">
        <f t="shared" si="63"/>
        <v>42.538651733521604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262.548</v>
      </c>
      <c r="CA83" s="13">
        <f t="shared" si="93"/>
        <v>63.265199933079444</v>
      </c>
      <c r="CB83" s="20">
        <f t="shared" si="64"/>
        <v>567.45798988344666</v>
      </c>
      <c r="CC83" s="59">
        <f t="shared" si="65"/>
        <v>860.79132321678003</v>
      </c>
      <c r="CD83" s="59">
        <f ca="1">AVERAGE(OFFSET($CC$3,0,0,'Données projet'!$E$12+1,1))-AVERAGE(OFFSET($H$3,0,0,'Données projet'!$E$12+1,1))</f>
        <v>353.37479213497227</v>
      </c>
      <c r="CE83" s="59">
        <f t="shared" si="94"/>
        <v>345.4750813433123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330</v>
      </c>
      <c r="CH83" s="16">
        <f>IF(ISNA(VLOOKUP(A83,'Données projet'!$A$113:$I$133,5,0)),0%,VLOOKUP(A83,'Données projet'!$A$113:$I$133,5,0)*VLOOKUP('Données projet'!$B$12,Paramètres!$A$1:$I$89,7,0))</f>
        <v>0.13250000000000001</v>
      </c>
      <c r="CI83" s="16">
        <f>IF(ISNA(VLOOKUP(A83,'Données projet'!$A$113:$I$133,6,0)),0%,VLOOKUP(A83,'Données projet'!$A$113:$I$133,6,0)*VLOOKUP('Données projet'!$B$12,Paramètres!$A$1:$I$89,7,0))</f>
        <v>0.13250000000000001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51.982088098095851</v>
      </c>
      <c r="CL83" s="21">
        <f>EXP(-LN(2)/25)*CL82+(1-EXP(-LN(2)/25))/(LN(2)/25)*Calculateur!CG83*Calculateur!CI83*VLOOKUP('Données projet'!$B$12,Paramètres!$A$1:$I$89,3,0)*0.475*44/12</f>
        <v>51.323746843818121</v>
      </c>
      <c r="CM83" s="21">
        <f>EXP(-LN(2)/2)*CM82+(1-EXP(-LN(2)/2))/(LN(2)/2)*CG83*CJ83*VLOOKUP('Données projet'!$B$12,Paramètres!$A$1:$I$89,3,0)*0.475*44/12</f>
        <v>62.421321204401075</v>
      </c>
      <c r="CN83" s="22">
        <f t="shared" si="66"/>
        <v>165.72715614631505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419.4</v>
      </c>
      <c r="CR83" s="12">
        <f>VLOOKUP(A83,'Données projet'!$A$139:$I$159,9,0)</f>
        <v>10.526999999999997</v>
      </c>
      <c r="CS83" s="12">
        <f t="array" ref="CS83">INDEX(CR:CR,MIN(IF(ISNUMBER(CR83:CR279),ROW(CR83:CR279),"")))</f>
        <v>10.526999999999997</v>
      </c>
      <c r="CT83" s="12">
        <f>IF('Données projet'!$A$140&gt;35,CT82+CS83-DB82,IF(A83&lt;'Données projet'!$A$140,$CQ$205^A83,IF(A83='Données projet'!$A$140,'Données projet'!$B$140,CT82+CS83-DB82)))</f>
        <v>419.39999999999924</v>
      </c>
      <c r="CU83" s="17">
        <f>CT83*VLOOKUP('Données projet'!$B$13,Paramètres!$A$1:$I$89,3,0)*VLOOKUP('Données projet'!$B$13,Paramètres!$A$1:$I$89,5,0)</f>
        <v>201.73139999999964</v>
      </c>
      <c r="CV83" s="13">
        <f t="shared" si="95"/>
        <v>50.124485941100275</v>
      </c>
      <c r="CW83" s="20">
        <f t="shared" si="67"/>
        <v>438.64900134741566</v>
      </c>
      <c r="CX83" s="59">
        <f t="shared" si="68"/>
        <v>731.98233468074898</v>
      </c>
      <c r="CY83" s="59">
        <f ca="1">AVERAGE(OFFSET($CX$3,0,0,'Données projet'!$E$13+1,1))-AVERAGE(OFFSET($H$3,0,0,'Données projet'!$E$13+1,1))</f>
        <v>314.18760071409162</v>
      </c>
      <c r="CZ83" s="59">
        <f t="shared" si="96"/>
        <v>267.72650645201787</v>
      </c>
      <c r="DA83" s="15">
        <f>IF(ISNA(VLOOKUP(A83,'Données projet'!$A$139:$I$159,3,0)),0,VLOOKUP(A83,'Données projet'!$A$139:$I$159,3,0))</f>
        <v>4</v>
      </c>
      <c r="DB83" s="15">
        <f>IF(ISNA(VLOOKUP(A83,'Données projet'!$A$139:$I$159,4,0)),0,VLOOKUP(A83,'Données projet'!$A$139:$I$159,4,0))</f>
        <v>88.079999999999984</v>
      </c>
      <c r="DC83" s="16">
        <f>IF(ISNA(VLOOKUP(A83,'Données projet'!$A$139:$I$159,5,0)),0%,VLOOKUP(A83,'Données projet'!$A$139:$I$159,5,0)*VLOOKUP('Données projet'!$B$13,Paramètres!$A$1:$I$89,7,0))</f>
        <v>0.22000000000000003</v>
      </c>
      <c r="DD83" s="16">
        <f>IF(ISNA(VLOOKUP(A83,'Données projet'!$A$139:$I$159,6,0)),0%,VLOOKUP(A83,'Données projet'!$A$139:$I$159,6,0)*VLOOKUP('Données projet'!$B$13,Paramètres!$A$1:$I$89,7,0))</f>
        <v>5.5000000000000007E-2</v>
      </c>
      <c r="DE83" s="16">
        <f>IF(ISNA(VLOOKUP(A83,'Données projet'!$A$139:$I$159,7,0)),0%,VLOOKUP(A83,'Données projet'!$A$139:$I$159,7,0))</f>
        <v>0.1</v>
      </c>
      <c r="DF83" s="21">
        <f>EXP(-LN(2)/35)*DF82+(1-EXP(-LN(2)/35))/(LN(2)/35)*DB83*DC83*VLOOKUP('Données projet'!$B$13,Paramètres!$A$1:$I$89,3,0)*0.475*44/12</f>
        <v>40.293090202539304</v>
      </c>
      <c r="DG83" s="21">
        <f>EXP(-LN(2)/25)*DG82+(1-EXP(-LN(2)/25))/(LN(2)/25)*Calculateur!DB83*Calculateur!DD83*VLOOKUP('Données projet'!$B$13,Paramètres!$A$1:$I$89,3,0)*0.475*44/12</f>
        <v>16.124995484357285</v>
      </c>
      <c r="DH83" s="21">
        <f>EXP(-LN(2)/2)*DH82+(1-EXP(-LN(2)/2))/(LN(2)/2)*DB83*DE83*VLOOKUP('Données projet'!$B$13,Paramètres!$A$1:$I$89,3,0)*0.475*44/12</f>
        <v>5.0017355368983649</v>
      </c>
      <c r="DI83" s="22">
        <f t="shared" si="69"/>
        <v>61.419821223794955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240.23999999999987</v>
      </c>
      <c r="DQ83" s="13">
        <f t="shared" si="97"/>
        <v>58.491164647183084</v>
      </c>
      <c r="DR83" s="20">
        <f t="shared" si="70"/>
        <v>520.29011176051029</v>
      </c>
      <c r="DS83" s="59">
        <f t="shared" si="71"/>
        <v>813.62344509384366</v>
      </c>
      <c r="DT83" s="59">
        <f ca="1">AVERAGE(OFFSET($DS$3,0,0,'Données projet'!$E$14+1,1))-AVERAGE(OFFSET($H$3,0,0,'Données projet'!$E$14+1,1))</f>
        <v>324.86930206492627</v>
      </c>
      <c r="DU83" s="59">
        <f t="shared" si="98"/>
        <v>317.03005098025352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275</v>
      </c>
      <c r="DX83" s="16">
        <f>IF(ISNA(VLOOKUP(A83,'Données projet'!$A$165:$I$185,5,0)),0%,VLOOKUP(A83,'Données projet'!$A$165:$I$185,5,0)*VLOOKUP('Données projet'!$B$14,Paramètres!$A$1:$I$89,7,0))</f>
        <v>0.13250000000000001</v>
      </c>
      <c r="DY83" s="16">
        <f>IF(ISNA(VLOOKUP(A83,'Données projet'!$A$165:$I$185,6,0)),0%,VLOOKUP(A83,'Données projet'!$A$165:$I$185,6,0)*VLOOKUP('Données projet'!$B$14,Paramètres!$A$1:$I$89,7,0))</f>
        <v>0.13250000000000001</v>
      </c>
      <c r="DZ83" s="16">
        <f>IF(ISNA(VLOOKUP(A83,'Données projet'!$A$165:$I$185,7,0)),0%,VLOOKUP(A83,'Données projet'!$A$165:$I$185,7,0))</f>
        <v>0.25</v>
      </c>
      <c r="EA83" s="21">
        <f>EXP(-LN(2)/35)*EA82+(1-EXP(-LN(2)/35))/(LN(2)/35)*DW83*DX83*VLOOKUP('Données projet'!$B$14,Paramètres!$A$1:$I$89,3,0)*0.475*44/12</f>
        <v>46.075524388369679</v>
      </c>
      <c r="EB83" s="21">
        <f>EXP(-LN(2)/25)*EB82+(1-EXP(-LN(2)/25))/(LN(2)/25)*Calculateur!DW83*Calculateur!DY83*VLOOKUP('Données projet'!$B$14,Paramètres!$A$1:$I$89,3,0)*0.475*44/12</f>
        <v>46.515217850379898</v>
      </c>
      <c r="EC83" s="21">
        <f>EXP(-LN(2)/2)*EC82+(1-EXP(-LN(2)/2))/(LN(2)/2)*DW83*DZ83*VLOOKUP('Données projet'!$B$14,Paramètres!$A$1:$I$89,3,0)*0.475*44/12</f>
        <v>57.076009019334002</v>
      </c>
      <c r="ED83" s="22">
        <f t="shared" si="72"/>
        <v>149.66675125808359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302.00825291248458</v>
      </c>
      <c r="T84" s="59">
        <f t="shared" si="88"/>
        <v>307.35115839449355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91.619443890608167</v>
      </c>
      <c r="AA84" s="21">
        <f>EXP(-LN(2)/25)*AA83+(1-EXP(-LN(2)/25))/(LN(2)/25)*Calculateur!V84*Calculateur!X84*VLOOKUP('Données projet'!$B$9,Paramètres!$A$1:$I$89,3,0)*0.475*44/12</f>
        <v>27.060983729555478</v>
      </c>
      <c r="AB84" s="21">
        <f>EXP(-LN(2)/2)*AB83+(1-EXP(-LN(2)/2))/(LN(2)/2)*V84*Y84*VLOOKUP('Données projet'!$B$9,Paramètres!$A$1:$I$89,3,0)*0.475*44/12</f>
        <v>4.1405412920041677E-2</v>
      </c>
      <c r="AC84" s="22">
        <f t="shared" si="57"/>
        <v>118.72183303308368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5.0249582272954292E-14</v>
      </c>
      <c r="AK84" s="13">
        <f t="shared" si="89"/>
        <v>8.1784820119191593E-13</v>
      </c>
      <c r="AL84" s="20">
        <f t="shared" si="58"/>
        <v>1.5119369728679821E-12</v>
      </c>
      <c r="AM84" s="59">
        <f t="shared" si="59"/>
        <v>293.33333333333485</v>
      </c>
      <c r="AN84" s="59">
        <f ca="1">AVERAGE(OFFSET($AM$3,0,0,'Données projet'!$E$10+1,1))-AVERAGE(OFFSET($H$3,0,0,'Données projet'!$E$10+1,1))</f>
        <v>394.37446333077651</v>
      </c>
      <c r="AO84" s="59">
        <f t="shared" si="90"/>
        <v>335.44327961212963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202.58167033960987</v>
      </c>
      <c r="AV84" s="21">
        <f>EXP(-LN(2)/25)*AV83+(1-EXP(-LN(2)/25))/(LN(2)/25)*Calculateur!AQ84*Calculateur!AS84*VLOOKUP('Données projet'!$B$10,Paramètres!$A$1:$I$89,3,0)*0.475*44/12</f>
        <v>69.929924746295796</v>
      </c>
      <c r="AW84" s="21">
        <f>EXP(-LN(2)/2)*AW83+(1-EXP(-LN(2)/2))/(LN(2)/2)*AQ84*AT84*VLOOKUP('Données projet'!$B$10,Paramètres!$A$1:$I$89,3,0)*0.475*44/12</f>
        <v>55.581344472772209</v>
      </c>
      <c r="AX84" s="21">
        <f t="shared" si="60"/>
        <v>328.09293955867793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8.0188888888888883</v>
      </c>
      <c r="BD84" s="12">
        <f>IF('Données projet'!$A$88&gt;35,BD83+BC84-BL83,IF(A84&lt;'Données projet'!$A$88,$BA$205^A84,IF(A84='Données projet'!$A$88,'Données projet'!$B$88,BD83+BC84-BL83)))</f>
        <v>259.71333333333359</v>
      </c>
      <c r="BE84" s="13">
        <f>BD84*VLOOKUP('Données projet'!$B$11,Paramètres!$A$1:$I$89,3,0)*VLOOKUP('Données projet'!$B$11,Paramètres!$A$1:$I$89,5,0)</f>
        <v>234.98862400000024</v>
      </c>
      <c r="BF84" s="13">
        <f t="shared" si="91"/>
        <v>57.359987909148515</v>
      </c>
      <c r="BG84" s="20">
        <f t="shared" si="61"/>
        <v>509.17383240843407</v>
      </c>
      <c r="BH84" s="59">
        <f t="shared" si="62"/>
        <v>802.50716574176738</v>
      </c>
      <c r="BI84" s="59">
        <f ca="1">AVERAGE(OFFSET($BH$3,0,0,'Données projet'!$E$11+1,1))-AVERAGE(OFFSET($H$3,0,0,'Données projet'!$E$11+1,1))</f>
        <v>490.06222615476065</v>
      </c>
      <c r="BJ84" s="59">
        <f t="shared" si="92"/>
        <v>310.43914804089906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15.961794872382596</v>
      </c>
      <c r="BQ84" s="21">
        <f>EXP(-LN(2)/25)*BQ83+(1-EXP(-LN(2)/25))/(LN(2)/25)*Calculateur!BL84*Calculateur!BN84*VLOOKUP('Données projet'!$B$11,Paramètres!$A$1:$I$89,3,0)*0.475*44/12</f>
        <v>24.860189046489573</v>
      </c>
      <c r="BR84" s="21">
        <f>EXP(-LN(2)/2)*BR83+(1-EXP(-LN(2)/2))/(LN(2)/2)*BL84*BO84*VLOOKUP('Données projet'!$B$11,Paramètres!$A$1:$I$89,3,0)*0.475*44/12</f>
        <v>0.49390785171696228</v>
      </c>
      <c r="BS84" s="22">
        <f t="shared" si="63"/>
        <v>41.315891770589133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353.37479213497227</v>
      </c>
      <c r="CE84" s="59">
        <f t="shared" si="94"/>
        <v>345.4750813433123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50.962751056435231</v>
      </c>
      <c r="CL84" s="21">
        <f>EXP(-LN(2)/25)*CL83+(1-EXP(-LN(2)/25))/(LN(2)/25)*Calculateur!CG84*Calculateur!CI84*VLOOKUP('Données projet'!$B$12,Paramètres!$A$1:$I$89,3,0)*0.475*44/12</f>
        <v>49.920296287375372</v>
      </c>
      <c r="CM84" s="21">
        <f>EXP(-LN(2)/2)*CM83+(1-EXP(-LN(2)/2))/(LN(2)/2)*CG84*CJ84*VLOOKUP('Données projet'!$B$12,Paramètres!$A$1:$I$89,3,0)*0.475*44/12</f>
        <v>44.138539514255633</v>
      </c>
      <c r="CN84" s="22">
        <f t="shared" si="66"/>
        <v>145.02158685806623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9.1059999999999999</v>
      </c>
      <c r="CT84" s="12">
        <f>IF('Données projet'!$A$140&gt;35,CT83+CS84-DB83,IF(A84&lt;'Données projet'!$A$140,$CQ$205^A84,IF(A84='Données projet'!$A$140,'Données projet'!$B$140,CT83+CS84-DB83)))</f>
        <v>340.42599999999925</v>
      </c>
      <c r="CU84" s="17">
        <f>CT84*VLOOKUP('Données projet'!$B$13,Paramètres!$A$1:$I$89,3,0)*VLOOKUP('Données projet'!$B$13,Paramètres!$A$1:$I$89,5,0)</f>
        <v>163.74490599999965</v>
      </c>
      <c r="CV84" s="13">
        <f t="shared" si="95"/>
        <v>41.686048684907625</v>
      </c>
      <c r="CW84" s="20">
        <f t="shared" si="67"/>
        <v>357.79224607621353</v>
      </c>
      <c r="CX84" s="59">
        <f t="shared" si="68"/>
        <v>651.12557940954684</v>
      </c>
      <c r="CY84" s="59">
        <f ca="1">AVERAGE(OFFSET($CX$3,0,0,'Données projet'!$E$13+1,1))-AVERAGE(OFFSET($H$3,0,0,'Données projet'!$E$13+1,1))</f>
        <v>314.18760071409162</v>
      </c>
      <c r="CZ84" s="59">
        <f t="shared" si="96"/>
        <v>267.72650645201787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39.502967280025821</v>
      </c>
      <c r="DG84" s="21">
        <f>EXP(-LN(2)/25)*DG83+(1-EXP(-LN(2)/25))/(LN(2)/25)*Calculateur!DB84*Calculateur!DD84*VLOOKUP('Données projet'!$B$13,Paramètres!$A$1:$I$89,3,0)*0.475*44/12</f>
        <v>15.684056634860877</v>
      </c>
      <c r="DH84" s="21">
        <f>EXP(-LN(2)/2)*DH83+(1-EXP(-LN(2)/2))/(LN(2)/2)*DB84*DE84*VLOOKUP('Données projet'!$B$13,Paramètres!$A$1:$I$89,3,0)*0.475*44/12</f>
        <v>3.5367611158425714</v>
      </c>
      <c r="DI84" s="22">
        <f t="shared" si="69"/>
        <v>58.723785030729267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-1.7053025658242404E-13</v>
      </c>
      <c r="DP84" s="17">
        <f>DO84*VLOOKUP('Données projet'!$B$14,Paramètres!$A$1:$I$89,3,0)*VLOOKUP('Données projet'!$B$14,Paramètres!$A$1:$I$89,5,0)</f>
        <v>-1.4897523215040567E-13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324.86930206492627</v>
      </c>
      <c r="DU84" s="59">
        <f t="shared" si="98"/>
        <v>317.03005098025352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45.172011458408655</v>
      </c>
      <c r="EB84" s="21">
        <f>EXP(-LN(2)/25)*EB83+(1-EXP(-LN(2)/25))/(LN(2)/25)*Calculateur!DW84*Calculateur!DY84*VLOOKUP('Données projet'!$B$14,Paramètres!$A$1:$I$89,3,0)*0.475*44/12</f>
        <v>45.243256772132263</v>
      </c>
      <c r="EC84" s="21">
        <f>EXP(-LN(2)/2)*EC83+(1-EXP(-LN(2)/2))/(LN(2)/2)*DW84*DZ84*VLOOKUP('Données projet'!$B$14,Paramètres!$A$1:$I$89,3,0)*0.475*44/12</f>
        <v>40.358833020635622</v>
      </c>
      <c r="ED84" s="22">
        <f t="shared" si="72"/>
        <v>130.77410125117655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302.00825291248458</v>
      </c>
      <c r="T85" s="59">
        <f t="shared" si="88"/>
        <v>307.35115839449355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89.822842478256192</v>
      </c>
      <c r="AA85" s="21">
        <f>EXP(-LN(2)/25)*AA84+(1-EXP(-LN(2)/25))/(LN(2)/25)*Calculateur!V85*Calculateur!X85*VLOOKUP('Données projet'!$B$9,Paramètres!$A$1:$I$89,3,0)*0.475*44/12</f>
        <v>26.320999706395497</v>
      </c>
      <c r="AB85" s="21">
        <f>EXP(-LN(2)/2)*AB84+(1-EXP(-LN(2)/2))/(LN(2)/2)*V85*Y85*VLOOKUP('Données projet'!$B$9,Paramètres!$A$1:$I$89,3,0)*0.475*44/12</f>
        <v>2.9278048253590559E-2</v>
      </c>
      <c r="AC85" s="22">
        <f t="shared" si="57"/>
        <v>116.17312023290528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5.0249582272954292E-14</v>
      </c>
      <c r="AK85" s="13">
        <f t="shared" si="89"/>
        <v>8.1784820119191593E-13</v>
      </c>
      <c r="AL85" s="20">
        <f t="shared" si="58"/>
        <v>1.5119369728679821E-12</v>
      </c>
      <c r="AM85" s="59">
        <f t="shared" si="59"/>
        <v>293.33333333333485</v>
      </c>
      <c r="AN85" s="59">
        <f ca="1">AVERAGE(OFFSET($AM$3,0,0,'Données projet'!$E$10+1,1))-AVERAGE(OFFSET($H$3,0,0,'Données projet'!$E$10+1,1))</f>
        <v>394.37446333077651</v>
      </c>
      <c r="AO85" s="59">
        <f t="shared" si="90"/>
        <v>335.44327961212963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198.60916734686825</v>
      </c>
      <c r="AV85" s="21">
        <f>EXP(-LN(2)/25)*AV84+(1-EXP(-LN(2)/25))/(LN(2)/25)*Calculateur!AQ85*Calculateur!AS85*VLOOKUP('Données projet'!$B$10,Paramètres!$A$1:$I$89,3,0)*0.475*44/12</f>
        <v>68.017687276653419</v>
      </c>
      <c r="AW85" s="21">
        <f>EXP(-LN(2)/2)*AW84+(1-EXP(-LN(2)/2))/(LN(2)/2)*AQ85*AT85*VLOOKUP('Données projet'!$B$10,Paramètres!$A$1:$I$89,3,0)*0.475*44/12</f>
        <v>39.301945584162667</v>
      </c>
      <c r="AX85" s="21">
        <f t="shared" si="60"/>
        <v>305.92880020768439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8.0188888888888883</v>
      </c>
      <c r="BD85" s="12">
        <f>IF('Données projet'!$A$88&gt;35,BD84+BC85-BL84,IF(A85&lt;'Données projet'!$A$88,$BA$205^A85,IF(A85='Données projet'!$A$88,'Données projet'!$B$88,BD84+BC85-BL84)))</f>
        <v>267.7322222222225</v>
      </c>
      <c r="BE85" s="13">
        <f>BD85*VLOOKUP('Données projet'!$B$11,Paramètres!$A$1:$I$89,3,0)*VLOOKUP('Données projet'!$B$11,Paramètres!$A$1:$I$89,5,0)</f>
        <v>242.24411466666692</v>
      </c>
      <c r="BF85" s="13">
        <f t="shared" si="91"/>
        <v>58.922100838280507</v>
      </c>
      <c r="BG85" s="20">
        <f t="shared" si="61"/>
        <v>524.53115867111683</v>
      </c>
      <c r="BH85" s="59">
        <f t="shared" si="62"/>
        <v>817.86449200445009</v>
      </c>
      <c r="BI85" s="59">
        <f ca="1">AVERAGE(OFFSET($BH$3,0,0,'Données projet'!$E$11+1,1))-AVERAGE(OFFSET($H$3,0,0,'Données projet'!$E$11+1,1))</f>
        <v>490.06222615476065</v>
      </c>
      <c r="BJ85" s="59">
        <f t="shared" si="92"/>
        <v>310.43914804089906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15.648793810668721</v>
      </c>
      <c r="BQ85" s="21">
        <f>EXP(-LN(2)/25)*BQ84+(1-EXP(-LN(2)/25))/(LN(2)/25)*Calculateur!BL85*Calculateur!BN85*VLOOKUP('Données projet'!$B$11,Paramètres!$A$1:$I$89,3,0)*0.475*44/12</f>
        <v>24.180385869672794</v>
      </c>
      <c r="BR85" s="21">
        <f>EXP(-LN(2)/2)*BR84+(1-EXP(-LN(2)/2))/(LN(2)/2)*BL85*BO85*VLOOKUP('Données projet'!$B$11,Paramètres!$A$1:$I$89,3,0)*0.475*44/12</f>
        <v>0.34924559123034382</v>
      </c>
      <c r="BS85" s="22">
        <f t="shared" si="63"/>
        <v>40.178425271571854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353.37479213497227</v>
      </c>
      <c r="CE85" s="59">
        <f t="shared" si="94"/>
        <v>345.4750813433123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49.963402592427371</v>
      </c>
      <c r="CL85" s="21">
        <f>EXP(-LN(2)/25)*CL84+(1-EXP(-LN(2)/25))/(LN(2)/25)*Calculateur!CG85*Calculateur!CI85*VLOOKUP('Données projet'!$B$12,Paramètres!$A$1:$I$89,3,0)*0.475*44/12</f>
        <v>48.555223160202807</v>
      </c>
      <c r="CM85" s="21">
        <f>EXP(-LN(2)/2)*CM84+(1-EXP(-LN(2)/2))/(LN(2)/2)*CG85*CJ85*VLOOKUP('Données projet'!$B$12,Paramètres!$A$1:$I$89,3,0)*0.475*44/12</f>
        <v>31.210660602200541</v>
      </c>
      <c r="CN85" s="22">
        <f t="shared" si="66"/>
        <v>129.72928635483072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9.1059999999999999</v>
      </c>
      <c r="CT85" s="12">
        <f>IF('Données projet'!$A$140&gt;35,CT84+CS85-DB84,IF(A85&lt;'Données projet'!$A$140,$CQ$205^A85,IF(A85='Données projet'!$A$140,'Données projet'!$B$140,CT84+CS85-DB84)))</f>
        <v>349.53199999999924</v>
      </c>
      <c r="CU85" s="17">
        <f>CT85*VLOOKUP('Données projet'!$B$13,Paramètres!$A$1:$I$89,3,0)*VLOOKUP('Données projet'!$B$13,Paramètres!$A$1:$I$89,5,0)</f>
        <v>168.12489199999965</v>
      </c>
      <c r="CV85" s="13">
        <f t="shared" si="95"/>
        <v>42.669791062944348</v>
      </c>
      <c r="CW85" s="20">
        <f t="shared" si="67"/>
        <v>367.1340730012941</v>
      </c>
      <c r="CX85" s="59">
        <f t="shared" si="68"/>
        <v>660.46740633462741</v>
      </c>
      <c r="CY85" s="59">
        <f ca="1">AVERAGE(OFFSET($CX$3,0,0,'Données projet'!$E$13+1,1))-AVERAGE(OFFSET($H$3,0,0,'Données projet'!$E$13+1,1))</f>
        <v>314.18760071409162</v>
      </c>
      <c r="CZ85" s="59">
        <f t="shared" si="96"/>
        <v>267.72650645201787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38.728338186095428</v>
      </c>
      <c r="DG85" s="21">
        <f>EXP(-LN(2)/25)*DG84+(1-EXP(-LN(2)/25))/(LN(2)/25)*Calculateur!DB85*Calculateur!DD85*VLOOKUP('Données projet'!$B$13,Paramètres!$A$1:$I$89,3,0)*0.475*44/12</f>
        <v>15.255175281391914</v>
      </c>
      <c r="DH85" s="21">
        <f>EXP(-LN(2)/2)*DH84+(1-EXP(-LN(2)/2))/(LN(2)/2)*DB85*DE85*VLOOKUP('Données projet'!$B$13,Paramètres!$A$1:$I$89,3,0)*0.475*44/12</f>
        <v>2.5008677684491829</v>
      </c>
      <c r="DI85" s="22">
        <f t="shared" si="69"/>
        <v>56.484381235936524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-1.7053025658242404E-13</v>
      </c>
      <c r="DP85" s="17">
        <f>DO85*VLOOKUP('Données projet'!$B$14,Paramètres!$A$1:$I$89,3,0)*VLOOKUP('Données projet'!$B$14,Paramètres!$A$1:$I$89,5,0)</f>
        <v>-1.4897523215040567E-13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324.86930206492627</v>
      </c>
      <c r="DU85" s="59">
        <f t="shared" si="98"/>
        <v>317.03005098025352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44.286215865915693</v>
      </c>
      <c r="EB85" s="21">
        <f>EXP(-LN(2)/25)*EB84+(1-EXP(-LN(2)/25))/(LN(2)/25)*Calculateur!DW85*Calculateur!DY85*VLOOKUP('Données projet'!$B$14,Paramètres!$A$1:$I$89,3,0)*0.475*44/12</f>
        <v>44.006077536458839</v>
      </c>
      <c r="EC85" s="21">
        <f>EXP(-LN(2)/2)*EC84+(1-EXP(-LN(2)/2))/(LN(2)/2)*DW85*DZ85*VLOOKUP('Données projet'!$B$14,Paramètres!$A$1:$I$89,3,0)*0.475*44/12</f>
        <v>28.538004509667005</v>
      </c>
      <c r="ED85" s="22">
        <f t="shared" si="72"/>
        <v>116.83029791204153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302.00825291248458</v>
      </c>
      <c r="T86" s="59">
        <f t="shared" si="88"/>
        <v>307.35115839449355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88.061471323781774</v>
      </c>
      <c r="AA86" s="21">
        <f>EXP(-LN(2)/25)*AA85+(1-EXP(-LN(2)/25))/(LN(2)/25)*Calculateur!V86*Calculateur!X86*VLOOKUP('Données projet'!$B$9,Paramètres!$A$1:$I$89,3,0)*0.475*44/12</f>
        <v>25.601250585262896</v>
      </c>
      <c r="AB86" s="21">
        <f>EXP(-LN(2)/2)*AB85+(1-EXP(-LN(2)/2))/(LN(2)/2)*V86*Y86*VLOOKUP('Données projet'!$B$9,Paramètres!$A$1:$I$89,3,0)*0.475*44/12</f>
        <v>2.0702706460020842E-2</v>
      </c>
      <c r="AC86" s="22">
        <f t="shared" si="57"/>
        <v>113.68342461550469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5.0249582272954292E-14</v>
      </c>
      <c r="AK86" s="13">
        <f t="shared" si="89"/>
        <v>8.1784820119191593E-13</v>
      </c>
      <c r="AL86" s="20">
        <f t="shared" si="58"/>
        <v>1.5119369728679821E-12</v>
      </c>
      <c r="AM86" s="59">
        <f t="shared" si="59"/>
        <v>293.33333333333485</v>
      </c>
      <c r="AN86" s="59">
        <f ca="1">AVERAGE(OFFSET($AM$3,0,0,'Données projet'!$E$10+1,1))-AVERAGE(OFFSET($H$3,0,0,'Données projet'!$E$10+1,1))</f>
        <v>394.37446333077651</v>
      </c>
      <c r="AO86" s="59">
        <f t="shared" si="90"/>
        <v>335.44327961212963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194.71456271482668</v>
      </c>
      <c r="AV86" s="21">
        <f>EXP(-LN(2)/25)*AV85+(1-EXP(-LN(2)/25))/(LN(2)/25)*Calculateur!AQ86*Calculateur!AS86*VLOOKUP('Données projet'!$B$10,Paramètres!$A$1:$I$89,3,0)*0.475*44/12</f>
        <v>66.157740041178613</v>
      </c>
      <c r="AW86" s="21">
        <f>EXP(-LN(2)/2)*AW85+(1-EXP(-LN(2)/2))/(LN(2)/2)*AQ86*AT86*VLOOKUP('Données projet'!$B$10,Paramètres!$A$1:$I$89,3,0)*0.475*44/12</f>
        <v>27.790672236386111</v>
      </c>
      <c r="AX86" s="21">
        <f t="shared" si="60"/>
        <v>288.66297499239141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8.0188888888888883</v>
      </c>
      <c r="BD86" s="12">
        <f>IF('Données projet'!$A$88&gt;35,BD85+BC86-BL85,IF(A86&lt;'Données projet'!$A$88,$BA$205^A86,IF(A86='Données projet'!$A$88,'Données projet'!$B$88,BD85+BC86-BL85)))</f>
        <v>275.75111111111141</v>
      </c>
      <c r="BE86" s="13">
        <f>BD86*VLOOKUP('Données projet'!$B$11,Paramètres!$A$1:$I$89,3,0)*VLOOKUP('Données projet'!$B$11,Paramètres!$A$1:$I$89,5,0)</f>
        <v>249.49960533333362</v>
      </c>
      <c r="BF86" s="13">
        <f t="shared" si="91"/>
        <v>60.478776374100285</v>
      </c>
      <c r="BG86" s="20">
        <f t="shared" si="61"/>
        <v>539.879014807114</v>
      </c>
      <c r="BH86" s="59">
        <f t="shared" si="62"/>
        <v>833.21234814044738</v>
      </c>
      <c r="BI86" s="59">
        <f ca="1">AVERAGE(OFFSET($BH$3,0,0,'Données projet'!$E$11+1,1))-AVERAGE(OFFSET($H$3,0,0,'Données projet'!$E$11+1,1))</f>
        <v>490.06222615476065</v>
      </c>
      <c r="BJ86" s="59">
        <f t="shared" si="92"/>
        <v>310.43914804089906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15.341930508863259</v>
      </c>
      <c r="BQ86" s="21">
        <f>EXP(-LN(2)/25)*BQ85+(1-EXP(-LN(2)/25))/(LN(2)/25)*Calculateur!BL86*Calculateur!BN86*VLOOKUP('Données projet'!$B$11,Paramètres!$A$1:$I$89,3,0)*0.475*44/12</f>
        <v>23.519171946475364</v>
      </c>
      <c r="BR86" s="21">
        <f>EXP(-LN(2)/2)*BR85+(1-EXP(-LN(2)/2))/(LN(2)/2)*BL86*BO86*VLOOKUP('Données projet'!$B$11,Paramètres!$A$1:$I$89,3,0)*0.475*44/12</f>
        <v>0.24695392585848117</v>
      </c>
      <c r="BS86" s="22">
        <f t="shared" si="63"/>
        <v>39.108056381197109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353.37479213497227</v>
      </c>
      <c r="CE86" s="59">
        <f t="shared" si="94"/>
        <v>345.4750813433123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48.98365074225633</v>
      </c>
      <c r="CL86" s="21">
        <f>EXP(-LN(2)/25)*CL85+(1-EXP(-LN(2)/25))/(LN(2)/25)*Calculateur!CG86*Calculateur!CI86*VLOOKUP('Données projet'!$B$12,Paramètres!$A$1:$I$89,3,0)*0.475*44/12</f>
        <v>47.227478029478853</v>
      </c>
      <c r="CM86" s="21">
        <f>EXP(-LN(2)/2)*CM85+(1-EXP(-LN(2)/2))/(LN(2)/2)*CG86*CJ86*VLOOKUP('Données projet'!$B$12,Paramètres!$A$1:$I$89,3,0)*0.475*44/12</f>
        <v>22.06926975712782</v>
      </c>
      <c r="CN86" s="22">
        <f t="shared" si="66"/>
        <v>118.280398528863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9.1059999999999999</v>
      </c>
      <c r="CT86" s="12">
        <f>IF('Données projet'!$A$140&gt;35,CT85+CS86-DB85,IF(A86&lt;'Données projet'!$A$140,$CQ$205^A86,IF(A86='Données projet'!$A$140,'Données projet'!$B$140,CT85+CS86-DB85)))</f>
        <v>358.63799999999924</v>
      </c>
      <c r="CU86" s="17">
        <f>CT86*VLOOKUP('Données projet'!$B$13,Paramètres!$A$1:$I$89,3,0)*VLOOKUP('Données projet'!$B$13,Paramètres!$A$1:$I$89,5,0)</f>
        <v>172.50487799999962</v>
      </c>
      <c r="CV86" s="13">
        <f t="shared" si="95"/>
        <v>43.650554453615094</v>
      </c>
      <c r="CW86" s="20">
        <f t="shared" si="67"/>
        <v>376.4707115233789</v>
      </c>
      <c r="CX86" s="59">
        <f t="shared" si="68"/>
        <v>669.80404485671215</v>
      </c>
      <c r="CY86" s="59">
        <f ca="1">AVERAGE(OFFSET($CX$3,0,0,'Données projet'!$E$13+1,1))-AVERAGE(OFFSET($H$3,0,0,'Données projet'!$E$13+1,1))</f>
        <v>314.18760071409162</v>
      </c>
      <c r="CZ86" s="59">
        <f t="shared" si="96"/>
        <v>267.72650645201787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37.968899096219914</v>
      </c>
      <c r="DG86" s="21">
        <f>EXP(-LN(2)/25)*DG85+(1-EXP(-LN(2)/25))/(LN(2)/25)*Calculateur!DB86*Calculateur!DD86*VLOOKUP('Données projet'!$B$13,Paramètres!$A$1:$I$89,3,0)*0.475*44/12</f>
        <v>14.83802171108745</v>
      </c>
      <c r="DH86" s="21">
        <f>EXP(-LN(2)/2)*DH85+(1-EXP(-LN(2)/2))/(LN(2)/2)*DB86*DE86*VLOOKUP('Données projet'!$B$13,Paramètres!$A$1:$I$89,3,0)*0.475*44/12</f>
        <v>1.7683805579212859</v>
      </c>
      <c r="DI86" s="22">
        <f t="shared" si="69"/>
        <v>54.575301365228647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-1.7053025658242404E-13</v>
      </c>
      <c r="DP86" s="17">
        <f>DO86*VLOOKUP('Données projet'!$B$14,Paramètres!$A$1:$I$89,3,0)*VLOOKUP('Données projet'!$B$14,Paramètres!$A$1:$I$89,5,0)</f>
        <v>-1.4897523215040567E-13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324.86930206492627</v>
      </c>
      <c r="DU86" s="59">
        <f t="shared" si="98"/>
        <v>317.03005098025352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43.41779018470956</v>
      </c>
      <c r="EB86" s="21">
        <f>EXP(-LN(2)/25)*EB85+(1-EXP(-LN(2)/25))/(LN(2)/25)*Calculateur!DW86*Calculateur!DY86*VLOOKUP('Données projet'!$B$14,Paramètres!$A$1:$I$89,3,0)*0.475*44/12</f>
        <v>42.802729032045335</v>
      </c>
      <c r="EC86" s="21">
        <f>EXP(-LN(2)/2)*EC85+(1-EXP(-LN(2)/2))/(LN(2)/2)*DW86*DZ86*VLOOKUP('Données projet'!$B$14,Paramètres!$A$1:$I$89,3,0)*0.475*44/12</f>
        <v>20.179416510317814</v>
      </c>
      <c r="ED86" s="22">
        <f t="shared" si="72"/>
        <v>106.39993572707272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302.00825291248458</v>
      </c>
      <c r="T87" s="59">
        <f t="shared" si="88"/>
        <v>307.35115839449355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86.334639583316289</v>
      </c>
      <c r="AA87" s="21">
        <f>EXP(-LN(2)/25)*AA86+(1-EXP(-LN(2)/25))/(LN(2)/25)*Calculateur!V87*Calculateur!X87*VLOOKUP('Données projet'!$B$9,Paramètres!$A$1:$I$89,3,0)*0.475*44/12</f>
        <v>24.901183041697628</v>
      </c>
      <c r="AB87" s="21">
        <f>EXP(-LN(2)/2)*AB86+(1-EXP(-LN(2)/2))/(LN(2)/2)*V87*Y87*VLOOKUP('Données projet'!$B$9,Paramètres!$A$1:$I$89,3,0)*0.475*44/12</f>
        <v>1.4639024126795283E-2</v>
      </c>
      <c r="AC87" s="22">
        <f t="shared" si="57"/>
        <v>111.25046164914072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5.0249582272954292E-14</v>
      </c>
      <c r="AK87" s="13">
        <f t="shared" si="89"/>
        <v>8.1784820119191593E-13</v>
      </c>
      <c r="AL87" s="20">
        <f t="shared" si="58"/>
        <v>1.5119369728679821E-12</v>
      </c>
      <c r="AM87" s="59">
        <f t="shared" si="59"/>
        <v>293.33333333333485</v>
      </c>
      <c r="AN87" s="59">
        <f ca="1">AVERAGE(OFFSET($AM$3,0,0,'Données projet'!$E$10+1,1))-AVERAGE(OFFSET($H$3,0,0,'Données projet'!$E$10+1,1))</f>
        <v>394.37446333077651</v>
      </c>
      <c r="AO87" s="59">
        <f t="shared" si="90"/>
        <v>335.44327961212963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190.89632890414521</v>
      </c>
      <c r="AV87" s="21">
        <f>EXP(-LN(2)/25)*AV86+(1-EXP(-LN(2)/25))/(LN(2)/25)*Calculateur!AQ87*Calculateur!AS87*VLOOKUP('Données projet'!$B$10,Paramètres!$A$1:$I$89,3,0)*0.475*44/12</f>
        <v>64.348653160668235</v>
      </c>
      <c r="AW87" s="21">
        <f>EXP(-LN(2)/2)*AW86+(1-EXP(-LN(2)/2))/(LN(2)/2)*AQ87*AT87*VLOOKUP('Données projet'!$B$10,Paramètres!$A$1:$I$89,3,0)*0.475*44/12</f>
        <v>19.650972792081337</v>
      </c>
      <c r="AX87" s="21">
        <f t="shared" si="60"/>
        <v>274.89595485689478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8.0188888888888883</v>
      </c>
      <c r="BC87" s="12">
        <f t="array" ref="BC87">INDEX(BB:BB,MIN(IF(ISNUMBER(BB87:BB283),ROW(BB87:BB283),"")))</f>
        <v>8.0188888888888883</v>
      </c>
      <c r="BD87" s="12">
        <f>IF('Données projet'!$A$88&gt;35,BD86+BC87-BL86,IF(A87&lt;'Données projet'!$A$88,$BA$205^A87,IF(A87='Données projet'!$A$88,'Données projet'!$B$88,BD86+BC87-BL86)))</f>
        <v>283.77000000000032</v>
      </c>
      <c r="BE87" s="13">
        <f>BD87*VLOOKUP('Données projet'!$B$11,Paramètres!$A$1:$I$89,3,0)*VLOOKUP('Données projet'!$B$11,Paramètres!$A$1:$I$89,5,0)</f>
        <v>256.75509600000026</v>
      </c>
      <c r="BF87" s="13">
        <f t="shared" si="91"/>
        <v>62.030190794062349</v>
      </c>
      <c r="BG87" s="20">
        <f t="shared" si="61"/>
        <v>555.21770783299235</v>
      </c>
      <c r="BH87" s="59">
        <f t="shared" si="62"/>
        <v>848.5510411663256</v>
      </c>
      <c r="BI87" s="59">
        <f ca="1">AVERAGE(OFFSET($BH$3,0,0,'Données projet'!$E$11+1,1))-AVERAGE(OFFSET($H$3,0,0,'Données projet'!$E$11+1,1))</f>
        <v>490.06222615476065</v>
      </c>
      <c r="BJ87" s="59">
        <f t="shared" si="92"/>
        <v>310.43914804089906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49.669999999999987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22.518135941679432</v>
      </c>
      <c r="BQ87" s="21">
        <f>EXP(-LN(2)/25)*BQ86+(1-EXP(-LN(2)/25))/(LN(2)/25)*Calculateur!BL87*Calculateur!BN87*VLOOKUP('Données projet'!$B$11,Paramètres!$A$1:$I$89,3,0)*0.475*44/12</f>
        <v>27.131816856988426</v>
      </c>
      <c r="BR87" s="21">
        <f>EXP(-LN(2)/2)*BR86+(1-EXP(-LN(2)/2))/(LN(2)/2)*BL87*BO87*VLOOKUP('Données projet'!$B$11,Paramètres!$A$1:$I$89,3,0)*0.475*44/12</f>
        <v>4.4149663532628933</v>
      </c>
      <c r="BS87" s="22">
        <f t="shared" si="63"/>
        <v>54.064919151930745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353.37479213497227</v>
      </c>
      <c r="CE87" s="59">
        <f t="shared" si="94"/>
        <v>345.4750813433123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48.023111228277521</v>
      </c>
      <c r="CL87" s="21">
        <f>EXP(-LN(2)/25)*CL86+(1-EXP(-LN(2)/25))/(LN(2)/25)*Calculateur!CG87*Calculateur!CI87*VLOOKUP('Données projet'!$B$12,Paramètres!$A$1:$I$89,3,0)*0.475*44/12</f>
        <v>45.936040159177622</v>
      </c>
      <c r="CM87" s="21">
        <f>EXP(-LN(2)/2)*CM86+(1-EXP(-LN(2)/2))/(LN(2)/2)*CG87*CJ87*VLOOKUP('Données projet'!$B$12,Paramètres!$A$1:$I$89,3,0)*0.475*44/12</f>
        <v>15.605330301100274</v>
      </c>
      <c r="CN87" s="22">
        <f t="shared" si="66"/>
        <v>109.56448168855542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9.1059999999999999</v>
      </c>
      <c r="CT87" s="12">
        <f>IF('Données projet'!$A$140&gt;35,CT86+CS87-DB86,IF(A87&lt;'Données projet'!$A$140,$CQ$205^A87,IF(A87='Données projet'!$A$140,'Données projet'!$B$140,CT86+CS87-DB86)))</f>
        <v>367.74399999999923</v>
      </c>
      <c r="CU87" s="17">
        <f>CT87*VLOOKUP('Données projet'!$B$13,Paramètres!$A$1:$I$89,3,0)*VLOOKUP('Données projet'!$B$13,Paramètres!$A$1:$I$89,5,0)</f>
        <v>176.88486399999965</v>
      </c>
      <c r="CV87" s="13">
        <f t="shared" si="95"/>
        <v>44.628423192851926</v>
      </c>
      <c r="CW87" s="20">
        <f t="shared" si="67"/>
        <v>385.80230852754977</v>
      </c>
      <c r="CX87" s="59">
        <f t="shared" si="68"/>
        <v>679.13564186088308</v>
      </c>
      <c r="CY87" s="59">
        <f ca="1">AVERAGE(OFFSET($CX$3,0,0,'Données projet'!$E$13+1,1))-AVERAGE(OFFSET($H$3,0,0,'Données projet'!$E$13+1,1))</f>
        <v>314.18760071409162</v>
      </c>
      <c r="CZ87" s="59">
        <f t="shared" si="96"/>
        <v>267.72650645201787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37.224352143684754</v>
      </c>
      <c r="DG87" s="21">
        <f>EXP(-LN(2)/25)*DG86+(1-EXP(-LN(2)/25))/(LN(2)/25)*Calculateur!DB87*Calculateur!DD87*VLOOKUP('Données projet'!$B$13,Paramètres!$A$1:$I$89,3,0)*0.475*44/12</f>
        <v>14.432275227100114</v>
      </c>
      <c r="DH87" s="21">
        <f>EXP(-LN(2)/2)*DH86+(1-EXP(-LN(2)/2))/(LN(2)/2)*DB87*DE87*VLOOKUP('Données projet'!$B$13,Paramètres!$A$1:$I$89,3,0)*0.475*44/12</f>
        <v>1.2504338842245917</v>
      </c>
      <c r="DI87" s="22">
        <f t="shared" si="69"/>
        <v>52.907061255009459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-1.7053025658242404E-13</v>
      </c>
      <c r="DP87" s="17">
        <f>DO87*VLOOKUP('Données projet'!$B$14,Paramètres!$A$1:$I$89,3,0)*VLOOKUP('Données projet'!$B$14,Paramètres!$A$1:$I$89,5,0)</f>
        <v>-1.4897523215040567E-13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324.86930206492627</v>
      </c>
      <c r="DU87" s="59">
        <f t="shared" si="98"/>
        <v>317.03005098025352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42.566393801424518</v>
      </c>
      <c r="EB87" s="21">
        <f>EXP(-LN(2)/25)*EB86+(1-EXP(-LN(2)/25))/(LN(2)/25)*Calculateur!DW87*Calculateur!DY87*VLOOKUP('Données projet'!$B$14,Paramètres!$A$1:$I$89,3,0)*0.475*44/12</f>
        <v>41.632286155766359</v>
      </c>
      <c r="EC87" s="21">
        <f>EXP(-LN(2)/2)*EC86+(1-EXP(-LN(2)/2))/(LN(2)/2)*DW87*DZ87*VLOOKUP('Données projet'!$B$14,Paramètres!$A$1:$I$89,3,0)*0.475*44/12</f>
        <v>14.269002254833504</v>
      </c>
      <c r="ED87" s="22">
        <f t="shared" si="72"/>
        <v>98.467682212024386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302.00825291248458</v>
      </c>
      <c r="T88" s="59">
        <f t="shared" si="88"/>
        <v>307.35115839449355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84.641669960017964</v>
      </c>
      <c r="AA88" s="21">
        <f>EXP(-LN(2)/25)*AA87+(1-EXP(-LN(2)/25))/(LN(2)/25)*Calculateur!V88*Calculateur!X88*VLOOKUP('Données projet'!$B$9,Paramètres!$A$1:$I$89,3,0)*0.475*44/12</f>
        <v>24.220258881926103</v>
      </c>
      <c r="AB88" s="21">
        <f>EXP(-LN(2)/2)*AB87+(1-EXP(-LN(2)/2))/(LN(2)/2)*V88*Y88*VLOOKUP('Données projet'!$B$9,Paramètres!$A$1:$I$89,3,0)*0.475*44/12</f>
        <v>1.0351353230010423E-2</v>
      </c>
      <c r="AC88" s="22">
        <f t="shared" si="57"/>
        <v>108.87228019517407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5.0249582272954292E-14</v>
      </c>
      <c r="AK88" s="13">
        <f t="shared" si="89"/>
        <v>8.1784820119191593E-13</v>
      </c>
      <c r="AL88" s="20">
        <f t="shared" si="58"/>
        <v>1.5119369728679821E-12</v>
      </c>
      <c r="AM88" s="59">
        <f t="shared" si="59"/>
        <v>293.33333333333485</v>
      </c>
      <c r="AN88" s="59">
        <f ca="1">AVERAGE(OFFSET($AM$3,0,0,'Données projet'!$E$10+1,1))-AVERAGE(OFFSET($H$3,0,0,'Données projet'!$E$10+1,1))</f>
        <v>394.37446333077651</v>
      </c>
      <c r="AO88" s="59">
        <f t="shared" si="90"/>
        <v>335.44327961212963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187.15296832959854</v>
      </c>
      <c r="AV88" s="21">
        <f>EXP(-LN(2)/25)*AV87+(1-EXP(-LN(2)/25))/(LN(2)/25)*Calculateur!AQ88*Calculateur!AS88*VLOOKUP('Données projet'!$B$10,Paramètres!$A$1:$I$89,3,0)*0.475*44/12</f>
        <v>62.589035856041164</v>
      </c>
      <c r="AW88" s="21">
        <f>EXP(-LN(2)/2)*AW87+(1-EXP(-LN(2)/2))/(LN(2)/2)*AQ88*AT88*VLOOKUP('Données projet'!$B$10,Paramètres!$A$1:$I$89,3,0)*0.475*44/12</f>
        <v>13.895336118193057</v>
      </c>
      <c r="AX88" s="21">
        <f t="shared" si="60"/>
        <v>263.63734030383273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7.6966666666666681</v>
      </c>
      <c r="BD88" s="12">
        <f>IF('Données projet'!$A$88&gt;35,BD87+BC88-BL87,IF(A88&lt;'Données projet'!$A$88,$BA$205^A88,IF(A88='Données projet'!$A$88,'Données projet'!$B$88,BD87+BC88-BL87)))</f>
        <v>241.79666666666699</v>
      </c>
      <c r="BE88" s="13">
        <f>BD88*VLOOKUP('Données projet'!$B$11,Paramètres!$A$1:$I$89,3,0)*VLOOKUP('Données projet'!$B$11,Paramètres!$A$1:$I$89,5,0)</f>
        <v>218.77762400000032</v>
      </c>
      <c r="BF88" s="13">
        <f t="shared" si="91"/>
        <v>53.849122245192362</v>
      </c>
      <c r="BG88" s="20">
        <f t="shared" si="61"/>
        <v>474.82491637704396</v>
      </c>
      <c r="BH88" s="59">
        <f t="shared" si="62"/>
        <v>768.15824971037728</v>
      </c>
      <c r="BI88" s="59">
        <f ca="1">AVERAGE(OFFSET($BH$3,0,0,'Données projet'!$E$11+1,1))-AVERAGE(OFFSET($H$3,0,0,'Données projet'!$E$11+1,1))</f>
        <v>490.06222615476065</v>
      </c>
      <c r="BJ88" s="59">
        <f t="shared" si="92"/>
        <v>310.43914804089906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22.076569030569832</v>
      </c>
      <c r="BQ88" s="21">
        <f>EXP(-LN(2)/25)*BQ87+(1-EXP(-LN(2)/25))/(LN(2)/25)*Calculateur!BL88*Calculateur!BN88*VLOOKUP('Données projet'!$B$11,Paramètres!$A$1:$I$89,3,0)*0.475*44/12</f>
        <v>26.389895898233839</v>
      </c>
      <c r="BR88" s="21">
        <f>EXP(-LN(2)/2)*BR87+(1-EXP(-LN(2)/2))/(LN(2)/2)*BL88*BO88*VLOOKUP('Données projet'!$B$11,Paramètres!$A$1:$I$89,3,0)*0.475*44/12</f>
        <v>3.1218526471026347</v>
      </c>
      <c r="BS88" s="22">
        <f t="shared" si="63"/>
        <v>51.588317575906309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353.37479213497227</v>
      </c>
      <c r="CE88" s="59">
        <f t="shared" si="94"/>
        <v>345.4750813433123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47.081407308296583</v>
      </c>
      <c r="CL88" s="21">
        <f>EXP(-LN(2)/25)*CL87+(1-EXP(-LN(2)/25))/(LN(2)/25)*Calculateur!CG88*Calculateur!CI88*VLOOKUP('Données projet'!$B$12,Paramètres!$A$1:$I$89,3,0)*0.475*44/12</f>
        <v>44.67991672535355</v>
      </c>
      <c r="CM88" s="21">
        <f>EXP(-LN(2)/2)*CM87+(1-EXP(-LN(2)/2))/(LN(2)/2)*CG88*CJ88*VLOOKUP('Données projet'!$B$12,Paramètres!$A$1:$I$89,3,0)*0.475*44/12</f>
        <v>11.034634878563912</v>
      </c>
      <c r="CN88" s="22">
        <f t="shared" si="66"/>
        <v>102.79595891221405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9.1059999999999999</v>
      </c>
      <c r="CT88" s="12">
        <f>IF('Données projet'!$A$140&gt;35,CT87+CS88-DB87,IF(A88&lt;'Données projet'!$A$140,$CQ$205^A88,IF(A88='Données projet'!$A$140,'Données projet'!$B$140,CT87+CS88-DB87)))</f>
        <v>376.84999999999923</v>
      </c>
      <c r="CU88" s="17">
        <f>CT88*VLOOKUP('Données projet'!$B$13,Paramètres!$A$1:$I$89,3,0)*VLOOKUP('Données projet'!$B$13,Paramètres!$A$1:$I$89,5,0)</f>
        <v>181.26484999999963</v>
      </c>
      <c r="CV88" s="13">
        <f t="shared" si="95"/>
        <v>45.60347720189386</v>
      </c>
      <c r="CW88" s="20">
        <f t="shared" si="67"/>
        <v>395.12900320996442</v>
      </c>
      <c r="CX88" s="59">
        <f t="shared" si="68"/>
        <v>688.46233654329774</v>
      </c>
      <c r="CY88" s="59">
        <f ca="1">AVERAGE(OFFSET($CX$3,0,0,'Données projet'!$E$13+1,1))-AVERAGE(OFFSET($H$3,0,0,'Données projet'!$E$13+1,1))</f>
        <v>314.18760071409162</v>
      </c>
      <c r="CZ88" s="59">
        <f t="shared" si="96"/>
        <v>267.72650645201787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36.494405302760008</v>
      </c>
      <c r="DG88" s="21">
        <f>EXP(-LN(2)/25)*DG87+(1-EXP(-LN(2)/25))/(LN(2)/25)*Calculateur!DB88*Calculateur!DD88*VLOOKUP('Données projet'!$B$13,Paramètres!$A$1:$I$89,3,0)*0.475*44/12</f>
        <v>14.037623902054692</v>
      </c>
      <c r="DH88" s="21">
        <f>EXP(-LN(2)/2)*DH87+(1-EXP(-LN(2)/2))/(LN(2)/2)*DB88*DE88*VLOOKUP('Données projet'!$B$13,Paramètres!$A$1:$I$89,3,0)*0.475*44/12</f>
        <v>0.88419027896064306</v>
      </c>
      <c r="DI88" s="22">
        <f t="shared" si="69"/>
        <v>51.416219483775343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-1.7053025658242404E-13</v>
      </c>
      <c r="DP88" s="17">
        <f>DO88*VLOOKUP('Données projet'!$B$14,Paramètres!$A$1:$I$89,3,0)*VLOOKUP('Données projet'!$B$14,Paramètres!$A$1:$I$89,5,0)</f>
        <v>-1.4897523215040567E-13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324.86930206492627</v>
      </c>
      <c r="DU88" s="59">
        <f t="shared" si="98"/>
        <v>317.03005098025352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41.731692781915172</v>
      </c>
      <c r="EB88" s="21">
        <f>EXP(-LN(2)/25)*EB87+(1-EXP(-LN(2)/25))/(LN(2)/25)*Calculateur!DW88*Calculateur!DY88*VLOOKUP('Données projet'!$B$14,Paramètres!$A$1:$I$89,3,0)*0.475*44/12</f>
        <v>40.493849101490149</v>
      </c>
      <c r="EC88" s="21">
        <f>EXP(-LN(2)/2)*EC87+(1-EXP(-LN(2)/2))/(LN(2)/2)*DW88*DZ88*VLOOKUP('Données projet'!$B$14,Paramètres!$A$1:$I$89,3,0)*0.475*44/12</f>
        <v>10.089708255158909</v>
      </c>
      <c r="ED88" s="22">
        <f t="shared" si="72"/>
        <v>92.315250138564238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302.00825291248458</v>
      </c>
      <c r="T89" s="59">
        <f t="shared" si="88"/>
        <v>307.35115839449355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82.981898438423016</v>
      </c>
      <c r="AA89" s="21">
        <f>EXP(-LN(2)/25)*AA88+(1-EXP(-LN(2)/25))/(LN(2)/25)*Calculateur!V89*Calculateur!X89*VLOOKUP('Données projet'!$B$9,Paramètres!$A$1:$I$89,3,0)*0.475*44/12</f>
        <v>23.557954629111777</v>
      </c>
      <c r="AB89" s="21">
        <f>EXP(-LN(2)/2)*AB88+(1-EXP(-LN(2)/2))/(LN(2)/2)*V89*Y89*VLOOKUP('Données projet'!$B$9,Paramètres!$A$1:$I$89,3,0)*0.475*44/12</f>
        <v>7.3195120633976424E-3</v>
      </c>
      <c r="AC89" s="22">
        <f t="shared" si="57"/>
        <v>106.5471725795982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5.0249582272954292E-14</v>
      </c>
      <c r="AK89" s="13">
        <f t="shared" si="89"/>
        <v>8.1784820119191593E-13</v>
      </c>
      <c r="AL89" s="20">
        <f t="shared" si="58"/>
        <v>1.5119369728679821E-12</v>
      </c>
      <c r="AM89" s="59">
        <f t="shared" si="59"/>
        <v>293.33333333333485</v>
      </c>
      <c r="AN89" s="59">
        <f ca="1">AVERAGE(OFFSET($AM$3,0,0,'Données projet'!$E$10+1,1))-AVERAGE(OFFSET($H$3,0,0,'Données projet'!$E$10+1,1))</f>
        <v>394.37446333077651</v>
      </c>
      <c r="AO89" s="59">
        <f t="shared" si="90"/>
        <v>335.44327961212963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183.48301277269422</v>
      </c>
      <c r="AV89" s="21">
        <f>EXP(-LN(2)/25)*AV88+(1-EXP(-LN(2)/25))/(LN(2)/25)*Calculateur!AQ89*Calculateur!AS89*VLOOKUP('Données projet'!$B$10,Paramètres!$A$1:$I$89,3,0)*0.475*44/12</f>
        <v>60.877535379143374</v>
      </c>
      <c r="AW89" s="21">
        <f>EXP(-LN(2)/2)*AW88+(1-EXP(-LN(2)/2))/(LN(2)/2)*AQ89*AT89*VLOOKUP('Données projet'!$B$10,Paramètres!$A$1:$I$89,3,0)*0.475*44/12</f>
        <v>9.8254863960406702</v>
      </c>
      <c r="AX89" s="21">
        <f t="shared" si="60"/>
        <v>254.18603454787828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7.6966666666666681</v>
      </c>
      <c r="BD89" s="12">
        <f>IF('Données projet'!$A$88&gt;35,BD88+BC89-BL88,IF(A89&lt;'Données projet'!$A$88,$BA$205^A89,IF(A89='Données projet'!$A$88,'Données projet'!$B$88,BD88+BC89-BL88)))</f>
        <v>249.49333333333365</v>
      </c>
      <c r="BE89" s="13">
        <f>BD89*VLOOKUP('Données projet'!$B$11,Paramètres!$A$1:$I$89,3,0)*VLOOKUP('Données projet'!$B$11,Paramètres!$A$1:$I$89,5,0)</f>
        <v>225.74156800000026</v>
      </c>
      <c r="BF89" s="13">
        <f t="shared" si="91"/>
        <v>55.360909871129053</v>
      </c>
      <c r="BG89" s="20">
        <f t="shared" si="61"/>
        <v>489.58681562555012</v>
      </c>
      <c r="BH89" s="59">
        <f t="shared" si="62"/>
        <v>782.92014895888337</v>
      </c>
      <c r="BI89" s="59">
        <f ca="1">AVERAGE(OFFSET($BH$3,0,0,'Données projet'!$E$11+1,1))-AVERAGE(OFFSET($H$3,0,0,'Données projet'!$E$11+1,1))</f>
        <v>490.06222615476065</v>
      </c>
      <c r="BJ89" s="59">
        <f t="shared" si="92"/>
        <v>310.43914804089906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21.64366097725787</v>
      </c>
      <c r="BQ89" s="21">
        <f>EXP(-LN(2)/25)*BQ88+(1-EXP(-LN(2)/25))/(LN(2)/25)*Calculateur!BL89*Calculateur!BN89*VLOOKUP('Données projet'!$B$11,Paramètres!$A$1:$I$89,3,0)*0.475*44/12</f>
        <v>25.668262807112324</v>
      </c>
      <c r="BR89" s="21">
        <f>EXP(-LN(2)/2)*BR88+(1-EXP(-LN(2)/2))/(LN(2)/2)*BL89*BO89*VLOOKUP('Données projet'!$B$11,Paramètres!$A$1:$I$89,3,0)*0.475*44/12</f>
        <v>2.2074831766314471</v>
      </c>
      <c r="BS89" s="22">
        <f t="shared" si="63"/>
        <v>49.519406961001643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353.37479213497227</v>
      </c>
      <c r="CE89" s="59">
        <f t="shared" si="94"/>
        <v>345.4750813433123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46.158169627803794</v>
      </c>
      <c r="CL89" s="21">
        <f>EXP(-LN(2)/25)*CL88+(1-EXP(-LN(2)/25))/(LN(2)/25)*Calculateur!CG89*Calculateur!CI89*VLOOKUP('Données projet'!$B$12,Paramètres!$A$1:$I$89,3,0)*0.475*44/12</f>
        <v>43.458142052884057</v>
      </c>
      <c r="CM89" s="21">
        <f>EXP(-LN(2)/2)*CM88+(1-EXP(-LN(2)/2))/(LN(2)/2)*CG89*CJ89*VLOOKUP('Données projet'!$B$12,Paramètres!$A$1:$I$89,3,0)*0.475*44/12</f>
        <v>7.8026651505501379</v>
      </c>
      <c r="CN89" s="22">
        <f t="shared" si="66"/>
        <v>97.418976831237998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9.1059999999999999</v>
      </c>
      <c r="CT89" s="12">
        <f>IF('Données projet'!$A$140&gt;35,CT88+CS89-DB88,IF(A89&lt;'Données projet'!$A$140,$CQ$205^A89,IF(A89='Données projet'!$A$140,'Données projet'!$B$140,CT88+CS89-DB88)))</f>
        <v>385.95599999999922</v>
      </c>
      <c r="CU89" s="17">
        <f>CT89*VLOOKUP('Données projet'!$B$13,Paramètres!$A$1:$I$89,3,0)*VLOOKUP('Données projet'!$B$13,Paramètres!$A$1:$I$89,5,0)</f>
        <v>185.64483599999963</v>
      </c>
      <c r="CV89" s="13">
        <f t="shared" si="95"/>
        <v>46.575792319389699</v>
      </c>
      <c r="CW89" s="20">
        <f t="shared" si="67"/>
        <v>404.4509276562697</v>
      </c>
      <c r="CX89" s="59">
        <f t="shared" si="68"/>
        <v>697.78426098960301</v>
      </c>
      <c r="CY89" s="59">
        <f ca="1">AVERAGE(OFFSET($CX$3,0,0,'Données projet'!$E$13+1,1))-AVERAGE(OFFSET($H$3,0,0,'Données projet'!$E$13+1,1))</f>
        <v>314.18760071409162</v>
      </c>
      <c r="CZ89" s="59">
        <f t="shared" si="96"/>
        <v>267.72650645201787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35.778772274162186</v>
      </c>
      <c r="DG89" s="21">
        <f>EXP(-LN(2)/25)*DG88+(1-EXP(-LN(2)/25))/(LN(2)/25)*Calculateur!DB89*Calculateur!DD89*VLOOKUP('Données projet'!$B$13,Paramètres!$A$1:$I$89,3,0)*0.475*44/12</f>
        <v>13.653764338246448</v>
      </c>
      <c r="DH89" s="21">
        <f>EXP(-LN(2)/2)*DH88+(1-EXP(-LN(2)/2))/(LN(2)/2)*DB89*DE89*VLOOKUP('Données projet'!$B$13,Paramètres!$A$1:$I$89,3,0)*0.475*44/12</f>
        <v>0.62521694211229584</v>
      </c>
      <c r="DI89" s="22">
        <f t="shared" si="69"/>
        <v>50.057753554520929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-1.7053025658242404E-13</v>
      </c>
      <c r="DP89" s="17">
        <f>DO89*VLOOKUP('Données projet'!$B$14,Paramètres!$A$1:$I$89,3,0)*VLOOKUP('Données projet'!$B$14,Paramètres!$A$1:$I$89,5,0)</f>
        <v>-1.4897523215040567E-13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324.86930206492627</v>
      </c>
      <c r="DU89" s="59">
        <f t="shared" si="98"/>
        <v>317.03005098025352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40.913359740281059</v>
      </c>
      <c r="EB89" s="21">
        <f>EXP(-LN(2)/25)*EB88+(1-EXP(-LN(2)/25))/(LN(2)/25)*Calculateur!DW89*Calculateur!DY89*VLOOKUP('Données projet'!$B$14,Paramètres!$A$1:$I$89,3,0)*0.475*44/12</f>
        <v>39.386542668330925</v>
      </c>
      <c r="EC89" s="21">
        <f>EXP(-LN(2)/2)*EC88+(1-EXP(-LN(2)/2))/(LN(2)/2)*DW89*DZ89*VLOOKUP('Données projet'!$B$14,Paramètres!$A$1:$I$89,3,0)*0.475*44/12</f>
        <v>7.1345011274167538</v>
      </c>
      <c r="ED89" s="22">
        <f t="shared" si="72"/>
        <v>87.434403536028739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302.00825291248458</v>
      </c>
      <c r="T90" s="59">
        <f t="shared" si="88"/>
        <v>307.35115839449355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81.354674024005874</v>
      </c>
      <c r="AA90" s="21">
        <f>EXP(-LN(2)/25)*AA89+(1-EXP(-LN(2)/25))/(LN(2)/25)*Calculateur!V90*Calculateur!X90*VLOOKUP('Données projet'!$B$9,Paramètres!$A$1:$I$89,3,0)*0.475*44/12</f>
        <v>22.913761120919723</v>
      </c>
      <c r="AB90" s="21">
        <f>EXP(-LN(2)/2)*AB89+(1-EXP(-LN(2)/2))/(LN(2)/2)*V90*Y90*VLOOKUP('Données projet'!$B$9,Paramètres!$A$1:$I$89,3,0)*0.475*44/12</f>
        <v>5.1756766150052123E-3</v>
      </c>
      <c r="AC90" s="22">
        <f t="shared" si="57"/>
        <v>104.27361082154061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5.0249582272954292E-14</v>
      </c>
      <c r="AK90" s="13">
        <f t="shared" si="89"/>
        <v>8.1784820119191593E-13</v>
      </c>
      <c r="AL90" s="20">
        <f t="shared" si="58"/>
        <v>1.5119369728679821E-12</v>
      </c>
      <c r="AM90" s="59">
        <f t="shared" si="59"/>
        <v>293.33333333333485</v>
      </c>
      <c r="AN90" s="59">
        <f ca="1">AVERAGE(OFFSET($AM$3,0,0,'Données projet'!$E$10+1,1))-AVERAGE(OFFSET($H$3,0,0,'Données projet'!$E$10+1,1))</f>
        <v>394.37446333077651</v>
      </c>
      <c r="AO90" s="59">
        <f t="shared" si="90"/>
        <v>335.44327961212963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179.88502280580894</v>
      </c>
      <c r="AV90" s="21">
        <f>EXP(-LN(2)/25)*AV89+(1-EXP(-LN(2)/25))/(LN(2)/25)*Calculateur!AQ90*Calculateur!AS90*VLOOKUP('Données projet'!$B$10,Paramètres!$A$1:$I$89,3,0)*0.475*44/12</f>
        <v>59.212835972790252</v>
      </c>
      <c r="AW90" s="21">
        <f>EXP(-LN(2)/2)*AW89+(1-EXP(-LN(2)/2))/(LN(2)/2)*AQ90*AT90*VLOOKUP('Données projet'!$B$10,Paramètres!$A$1:$I$89,3,0)*0.475*44/12</f>
        <v>6.9476680590965305</v>
      </c>
      <c r="AX90" s="21">
        <f t="shared" si="60"/>
        <v>246.04552683769575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7.6966666666666681</v>
      </c>
      <c r="BD90" s="12">
        <f>IF('Données projet'!$A$88&gt;35,BD89+BC90-BL89,IF(A90&lt;'Données projet'!$A$88,$BA$205^A90,IF(A90='Données projet'!$A$88,'Données projet'!$B$88,BD89+BC90-BL89)))</f>
        <v>257.19000000000034</v>
      </c>
      <c r="BE90" s="13">
        <f>BD90*VLOOKUP('Données projet'!$B$11,Paramètres!$A$1:$I$89,3,0)*VLOOKUP('Données projet'!$B$11,Paramètres!$A$1:$I$89,5,0)</f>
        <v>232.70551200000031</v>
      </c>
      <c r="BF90" s="13">
        <f t="shared" si="91"/>
        <v>56.867277728071947</v>
      </c>
      <c r="BG90" s="20">
        <f t="shared" si="61"/>
        <v>504.33927544305925</v>
      </c>
      <c r="BH90" s="59">
        <f t="shared" si="62"/>
        <v>797.67260877639251</v>
      </c>
      <c r="BI90" s="59">
        <f ca="1">AVERAGE(OFFSET($BH$3,0,0,'Données projet'!$E$11+1,1))-AVERAGE(OFFSET($H$3,0,0,'Données projet'!$E$11+1,1))</f>
        <v>490.06222615476065</v>
      </c>
      <c r="BJ90" s="59">
        <f t="shared" si="92"/>
        <v>310.43914804089906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21.219241986823516</v>
      </c>
      <c r="BQ90" s="21">
        <f>EXP(-LN(2)/25)*BQ89+(1-EXP(-LN(2)/25))/(LN(2)/25)*Calculateur!BL90*Calculateur!BN90*VLOOKUP('Données projet'!$B$11,Paramètres!$A$1:$I$89,3,0)*0.475*44/12</f>
        <v>24.966362810816563</v>
      </c>
      <c r="BR90" s="21">
        <f>EXP(-LN(2)/2)*BR89+(1-EXP(-LN(2)/2))/(LN(2)/2)*BL90*BO90*VLOOKUP('Données projet'!$B$11,Paramètres!$A$1:$I$89,3,0)*0.475*44/12</f>
        <v>1.5609263235513176</v>
      </c>
      <c r="BS90" s="22">
        <f t="shared" si="63"/>
        <v>47.746531121191396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353.37479213497227</v>
      </c>
      <c r="CE90" s="59">
        <f t="shared" si="94"/>
        <v>345.4750813433123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45.253036075106088</v>
      </c>
      <c r="CL90" s="21">
        <f>EXP(-LN(2)/25)*CL89+(1-EXP(-LN(2)/25))/(LN(2)/25)*Calculateur!CG90*Calculateur!CI90*VLOOKUP('Données projet'!$B$12,Paramètres!$A$1:$I$89,3,0)*0.475*44/12</f>
        <v>42.269776873083579</v>
      </c>
      <c r="CM90" s="21">
        <f>EXP(-LN(2)/2)*CM89+(1-EXP(-LN(2)/2))/(LN(2)/2)*CG90*CJ90*VLOOKUP('Données projet'!$B$12,Paramètres!$A$1:$I$89,3,0)*0.475*44/12</f>
        <v>5.5173174392819568</v>
      </c>
      <c r="CN90" s="22">
        <f t="shared" si="66"/>
        <v>93.040130387471621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9.1059999999999999</v>
      </c>
      <c r="CT90" s="12">
        <f>IF('Données projet'!$A$140&gt;35,CT89+CS90-DB89,IF(A90&lt;'Données projet'!$A$140,$CQ$205^A90,IF(A90='Données projet'!$A$140,'Données projet'!$B$140,CT89+CS90-DB89)))</f>
        <v>395.06199999999922</v>
      </c>
      <c r="CU90" s="17">
        <f>CT90*VLOOKUP('Données projet'!$B$13,Paramètres!$A$1:$I$89,3,0)*VLOOKUP('Données projet'!$B$13,Paramètres!$A$1:$I$89,5,0)</f>
        <v>190.0248219999996</v>
      </c>
      <c r="CV90" s="13">
        <f t="shared" si="95"/>
        <v>47.545440601276226</v>
      </c>
      <c r="CW90" s="20">
        <f t="shared" si="67"/>
        <v>413.76820736388873</v>
      </c>
      <c r="CX90" s="59">
        <f t="shared" si="68"/>
        <v>707.10154069722205</v>
      </c>
      <c r="CY90" s="59">
        <f ca="1">AVERAGE(OFFSET($CX$3,0,0,'Données projet'!$E$13+1,1))-AVERAGE(OFFSET($H$3,0,0,'Données projet'!$E$13+1,1))</f>
        <v>314.18760071409162</v>
      </c>
      <c r="CZ90" s="59">
        <f t="shared" si="96"/>
        <v>267.72650645201787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35.077172372762121</v>
      </c>
      <c r="DG90" s="21">
        <f>EXP(-LN(2)/25)*DG89+(1-EXP(-LN(2)/25))/(LN(2)/25)*Calculateur!DB90*Calculateur!DD90*VLOOKUP('Données projet'!$B$13,Paramètres!$A$1:$I$89,3,0)*0.475*44/12</f>
        <v>13.280401434396838</v>
      </c>
      <c r="DH90" s="21">
        <f>EXP(-LN(2)/2)*DH89+(1-EXP(-LN(2)/2))/(LN(2)/2)*DB90*DE90*VLOOKUP('Données projet'!$B$13,Paramètres!$A$1:$I$89,3,0)*0.475*44/12</f>
        <v>0.44209513948032153</v>
      </c>
      <c r="DI90" s="22">
        <f t="shared" si="69"/>
        <v>48.799668946639279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-1.7053025658242404E-13</v>
      </c>
      <c r="DP90" s="17">
        <f>DO90*VLOOKUP('Données projet'!$B$14,Paramètres!$A$1:$I$89,3,0)*VLOOKUP('Données projet'!$B$14,Paramètres!$A$1:$I$89,5,0)</f>
        <v>-1.4897523215040567E-13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324.86930206492627</v>
      </c>
      <c r="DU90" s="59">
        <f t="shared" si="98"/>
        <v>317.03005098025352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40.111073710459522</v>
      </c>
      <c r="EB90" s="21">
        <f>EXP(-LN(2)/25)*EB89+(1-EXP(-LN(2)/25))/(LN(2)/25)*Calculateur!DW90*Calculateur!DY90*VLOOKUP('Données projet'!$B$14,Paramètres!$A$1:$I$89,3,0)*0.475*44/12</f>
        <v>38.30951558781716</v>
      </c>
      <c r="EC90" s="21">
        <f>EXP(-LN(2)/2)*EC89+(1-EXP(-LN(2)/2))/(LN(2)/2)*DW90*DZ90*VLOOKUP('Données projet'!$B$14,Paramètres!$A$1:$I$89,3,0)*0.475*44/12</f>
        <v>5.0448541275794554</v>
      </c>
      <c r="ED90" s="22">
        <f t="shared" si="72"/>
        <v>83.465443425856137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302.00825291248458</v>
      </c>
      <c r="T91" s="59">
        <f t="shared" si="88"/>
        <v>307.35115839449355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79.759358487846555</v>
      </c>
      <c r="AA91" s="21">
        <f>EXP(-LN(2)/25)*AA90+(1-EXP(-LN(2)/25))/(LN(2)/25)*Calculateur!V91*Calculateur!X91*VLOOKUP('Données projet'!$B$9,Paramètres!$A$1:$I$89,3,0)*0.475*44/12</f>
        <v>22.287183118085846</v>
      </c>
      <c r="AB91" s="21">
        <f>EXP(-LN(2)/2)*AB90+(1-EXP(-LN(2)/2))/(LN(2)/2)*V91*Y91*VLOOKUP('Données projet'!$B$9,Paramètres!$A$1:$I$89,3,0)*0.475*44/12</f>
        <v>3.6597560316988216E-3</v>
      </c>
      <c r="AC91" s="22">
        <f t="shared" si="57"/>
        <v>102.0502013619641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5.0249582272954292E-14</v>
      </c>
      <c r="AK91" s="13">
        <f t="shared" si="89"/>
        <v>8.1784820119191593E-13</v>
      </c>
      <c r="AL91" s="20">
        <f t="shared" si="58"/>
        <v>1.5119369728679821E-12</v>
      </c>
      <c r="AM91" s="59">
        <f t="shared" si="59"/>
        <v>293.33333333333485</v>
      </c>
      <c r="AN91" s="59">
        <f ca="1">AVERAGE(OFFSET($AM$3,0,0,'Données projet'!$E$10+1,1))-AVERAGE(OFFSET($H$3,0,0,'Données projet'!$E$10+1,1))</f>
        <v>394.37446333077651</v>
      </c>
      <c r="AO91" s="59">
        <f t="shared" si="90"/>
        <v>335.44327961212963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176.35758722761707</v>
      </c>
      <c r="AV91" s="21">
        <f>EXP(-LN(2)/25)*AV90+(1-EXP(-LN(2)/25))/(LN(2)/25)*Calculateur!AQ91*Calculateur!AS91*VLOOKUP('Données projet'!$B$10,Paramètres!$A$1:$I$89,3,0)*0.475*44/12</f>
        <v>57.593657859246591</v>
      </c>
      <c r="AW91" s="21">
        <f>EXP(-LN(2)/2)*AW90+(1-EXP(-LN(2)/2))/(LN(2)/2)*AQ91*AT91*VLOOKUP('Données projet'!$B$10,Paramètres!$A$1:$I$89,3,0)*0.475*44/12</f>
        <v>4.912743198020336</v>
      </c>
      <c r="AX91" s="21">
        <f t="shared" si="60"/>
        <v>238.86398828488399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7.6966666666666681</v>
      </c>
      <c r="BD91" s="12">
        <f>IF('Données projet'!$A$88&gt;35,BD90+BC91-BL90,IF(A91&lt;'Données projet'!$A$88,$BA$205^A91,IF(A91='Données projet'!$A$88,'Données projet'!$B$88,BD90+BC91-BL90)))</f>
        <v>264.886666666667</v>
      </c>
      <c r="BE91" s="13">
        <f>BD91*VLOOKUP('Données projet'!$B$11,Paramètres!$A$1:$I$89,3,0)*VLOOKUP('Données projet'!$B$11,Paramètres!$A$1:$I$89,5,0)</f>
        <v>239.66945600000031</v>
      </c>
      <c r="BF91" s="13">
        <f t="shared" si="91"/>
        <v>58.368406626869316</v>
      </c>
      <c r="BG91" s="20">
        <f t="shared" si="61"/>
        <v>519.08261074179791</v>
      </c>
      <c r="BH91" s="59">
        <f t="shared" si="62"/>
        <v>812.41594407513116</v>
      </c>
      <c r="BI91" s="59">
        <f ca="1">AVERAGE(OFFSET($BH$3,0,0,'Données projet'!$E$11+1,1))-AVERAGE(OFFSET($H$3,0,0,'Données projet'!$E$11+1,1))</f>
        <v>490.06222615476065</v>
      </c>
      <c r="BJ91" s="59">
        <f t="shared" si="92"/>
        <v>310.43914804089906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20.803145593921556</v>
      </c>
      <c r="BQ91" s="21">
        <f>EXP(-LN(2)/25)*BQ90+(1-EXP(-LN(2)/25))/(LN(2)/25)*Calculateur!BL91*Calculateur!BN91*VLOOKUP('Données projet'!$B$11,Paramètres!$A$1:$I$89,3,0)*0.475*44/12</f>
        <v>24.283656306830824</v>
      </c>
      <c r="BR91" s="21">
        <f>EXP(-LN(2)/2)*BR90+(1-EXP(-LN(2)/2))/(LN(2)/2)*BL91*BO91*VLOOKUP('Données projet'!$B$11,Paramètres!$A$1:$I$89,3,0)*0.475*44/12</f>
        <v>1.1037415883157236</v>
      </c>
      <c r="BS91" s="22">
        <f t="shared" si="63"/>
        <v>46.190543489068098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353.37479213497227</v>
      </c>
      <c r="CE91" s="59">
        <f t="shared" si="94"/>
        <v>345.4750813433123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44.365651639299827</v>
      </c>
      <c r="CL91" s="21">
        <f>EXP(-LN(2)/25)*CL90+(1-EXP(-LN(2)/25))/(LN(2)/25)*Calculateur!CG91*Calculateur!CI91*VLOOKUP('Données projet'!$B$12,Paramètres!$A$1:$I$89,3,0)*0.475*44/12</f>
        <v>41.113907601618152</v>
      </c>
      <c r="CM91" s="21">
        <f>EXP(-LN(2)/2)*CM90+(1-EXP(-LN(2)/2))/(LN(2)/2)*CG91*CJ91*VLOOKUP('Données projet'!$B$12,Paramètres!$A$1:$I$89,3,0)*0.475*44/12</f>
        <v>3.9013325752750698</v>
      </c>
      <c r="CN91" s="22">
        <f t="shared" si="66"/>
        <v>89.380891816193042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9.1059999999999999</v>
      </c>
      <c r="CT91" s="12">
        <f>IF('Données projet'!$A$140&gt;35,CT90+CS91-DB90,IF(A91&lt;'Données projet'!$A$140,$CQ$205^A91,IF(A91='Données projet'!$A$140,'Données projet'!$B$140,CT90+CS91-DB90)))</f>
        <v>404.16799999999921</v>
      </c>
      <c r="CU91" s="17">
        <f>CT91*VLOOKUP('Données projet'!$B$13,Paramètres!$A$1:$I$89,3,0)*VLOOKUP('Données projet'!$B$13,Paramètres!$A$1:$I$89,5,0)</f>
        <v>194.40480799999963</v>
      </c>
      <c r="CV91" s="13">
        <f t="shared" si="95"/>
        <v>48.512490592228609</v>
      </c>
      <c r="CW91" s="20">
        <f t="shared" si="67"/>
        <v>423.08096171479747</v>
      </c>
      <c r="CX91" s="59">
        <f t="shared" si="68"/>
        <v>716.41429504813073</v>
      </c>
      <c r="CY91" s="59">
        <f ca="1">AVERAGE(OFFSET($CX$3,0,0,'Données projet'!$E$13+1,1))-AVERAGE(OFFSET($H$3,0,0,'Données projet'!$E$13+1,1))</f>
        <v>314.18760071409162</v>
      </c>
      <c r="CZ91" s="59">
        <f t="shared" si="96"/>
        <v>267.72650645201787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34.389330417494826</v>
      </c>
      <c r="DG91" s="21">
        <f>EXP(-LN(2)/25)*DG90+(1-EXP(-LN(2)/25))/(LN(2)/25)*Calculateur!DB91*Calculateur!DD91*VLOOKUP('Données projet'!$B$13,Paramètres!$A$1:$I$89,3,0)*0.475*44/12</f>
        <v>12.917248158787297</v>
      </c>
      <c r="DH91" s="21">
        <f>EXP(-LN(2)/2)*DH90+(1-EXP(-LN(2)/2))/(LN(2)/2)*DB91*DE91*VLOOKUP('Données projet'!$B$13,Paramètres!$A$1:$I$89,3,0)*0.475*44/12</f>
        <v>0.31260847105614792</v>
      </c>
      <c r="DI91" s="22">
        <f t="shared" si="69"/>
        <v>47.619187047338272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-1.7053025658242404E-13</v>
      </c>
      <c r="DP91" s="17">
        <f>DO91*VLOOKUP('Données projet'!$B$14,Paramètres!$A$1:$I$89,3,0)*VLOOKUP('Données projet'!$B$14,Paramètres!$A$1:$I$89,5,0)</f>
        <v>-1.4897523215040567E-13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324.86930206492627</v>
      </c>
      <c r="DU91" s="59">
        <f t="shared" si="98"/>
        <v>317.03005098025352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39.324520020336621</v>
      </c>
      <c r="EB91" s="21">
        <f>EXP(-LN(2)/25)*EB90+(1-EXP(-LN(2)/25))/(LN(2)/25)*Calculateur!DW91*Calculateur!DY91*VLOOKUP('Données projet'!$B$14,Paramètres!$A$1:$I$89,3,0)*0.475*44/12</f>
        <v>37.261939869458431</v>
      </c>
      <c r="EC91" s="21">
        <f>EXP(-LN(2)/2)*EC90+(1-EXP(-LN(2)/2))/(LN(2)/2)*DW91*DZ91*VLOOKUP('Données projet'!$B$14,Paramètres!$A$1:$I$89,3,0)*0.475*44/12</f>
        <v>3.5672505637083773</v>
      </c>
      <c r="ED91" s="22">
        <f t="shared" si="72"/>
        <v>80.153710453503436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302.00825291248458</v>
      </c>
      <c r="T92" s="59">
        <f t="shared" si="88"/>
        <v>307.35115839449355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78.195326116304926</v>
      </c>
      <c r="AA92" s="21">
        <f>EXP(-LN(2)/25)*AA91+(1-EXP(-LN(2)/25))/(LN(2)/25)*Calculateur!V92*Calculateur!X92*VLOOKUP('Données projet'!$B$9,Paramètres!$A$1:$I$89,3,0)*0.475*44/12</f>
        <v>21.677738923689766</v>
      </c>
      <c r="AB92" s="21">
        <f>EXP(-LN(2)/2)*AB91+(1-EXP(-LN(2)/2))/(LN(2)/2)*V92*Y92*VLOOKUP('Données projet'!$B$9,Paramètres!$A$1:$I$89,3,0)*0.475*44/12</f>
        <v>2.5878383075026061E-3</v>
      </c>
      <c r="AC92" s="22">
        <f t="shared" si="57"/>
        <v>99.875652878302191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5.0249582272954292E-14</v>
      </c>
      <c r="AK92" s="13">
        <f t="shared" si="89"/>
        <v>8.1784820119191593E-13</v>
      </c>
      <c r="AL92" s="20">
        <f t="shared" si="58"/>
        <v>1.5119369728679821E-12</v>
      </c>
      <c r="AM92" s="59">
        <f t="shared" si="59"/>
        <v>293.33333333333485</v>
      </c>
      <c r="AN92" s="59">
        <f ca="1">AVERAGE(OFFSET($AM$3,0,0,'Données projet'!$E$10+1,1))-AVERAGE(OFFSET($H$3,0,0,'Données projet'!$E$10+1,1))</f>
        <v>394.37446333077651</v>
      </c>
      <c r="AO92" s="59">
        <f t="shared" si="90"/>
        <v>335.44327961212963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172.89932250959029</v>
      </c>
      <c r="AV92" s="21">
        <f>EXP(-LN(2)/25)*AV91+(1-EXP(-LN(2)/25))/(LN(2)/25)*Calculateur!AQ92*Calculateur!AS92*VLOOKUP('Données projet'!$B$10,Paramètres!$A$1:$I$89,3,0)*0.475*44/12</f>
        <v>56.018756256366657</v>
      </c>
      <c r="AW92" s="21">
        <f>EXP(-LN(2)/2)*AW91+(1-EXP(-LN(2)/2))/(LN(2)/2)*AQ92*AT92*VLOOKUP('Données projet'!$B$10,Paramètres!$A$1:$I$89,3,0)*0.475*44/12</f>
        <v>3.4738340295482657</v>
      </c>
      <c r="AX92" s="21">
        <f t="shared" si="60"/>
        <v>232.39191279550522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7.6966666666666681</v>
      </c>
      <c r="BD92" s="12">
        <f>IF('Données projet'!$A$88&gt;35,BD91+BC92-BL91,IF(A92&lt;'Données projet'!$A$88,$BA$205^A92,IF(A92='Données projet'!$A$88,'Données projet'!$B$88,BD91+BC92-BL91)))</f>
        <v>272.58333333333366</v>
      </c>
      <c r="BE92" s="13">
        <f>BD92*VLOOKUP('Données projet'!$B$11,Paramètres!$A$1:$I$89,3,0)*VLOOKUP('Données projet'!$B$11,Paramètres!$A$1:$I$89,5,0)</f>
        <v>246.63340000000028</v>
      </c>
      <c r="BF92" s="13">
        <f t="shared" si="91"/>
        <v>59.864466273444549</v>
      </c>
      <c r="BG92" s="20">
        <f t="shared" si="61"/>
        <v>533.81711709291642</v>
      </c>
      <c r="BH92" s="59">
        <f t="shared" si="62"/>
        <v>827.15045042624979</v>
      </c>
      <c r="BI92" s="59">
        <f ca="1">AVERAGE(OFFSET($BH$3,0,0,'Données projet'!$E$11+1,1))-AVERAGE(OFFSET($H$3,0,0,'Données projet'!$E$11+1,1))</f>
        <v>490.06222615476065</v>
      </c>
      <c r="BJ92" s="59">
        <f t="shared" si="92"/>
        <v>310.43914804089906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20.395208597490665</v>
      </c>
      <c r="BQ92" s="21">
        <f>EXP(-LN(2)/25)*BQ91+(1-EXP(-LN(2)/25))/(LN(2)/25)*Calculateur!BL92*Calculateur!BN92*VLOOKUP('Données projet'!$B$11,Paramètres!$A$1:$I$89,3,0)*0.475*44/12</f>
        <v>23.619618448098553</v>
      </c>
      <c r="BR92" s="21">
        <f>EXP(-LN(2)/2)*BR91+(1-EXP(-LN(2)/2))/(LN(2)/2)*BL92*BO92*VLOOKUP('Données projet'!$B$11,Paramètres!$A$1:$I$89,3,0)*0.475*44/12</f>
        <v>0.78046316177565878</v>
      </c>
      <c r="BS92" s="22">
        <f t="shared" si="63"/>
        <v>44.795290207364872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353.37479213497227</v>
      </c>
      <c r="CE92" s="59">
        <f t="shared" si="94"/>
        <v>345.4750813433123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43.49566827102867</v>
      </c>
      <c r="CL92" s="21">
        <f>EXP(-LN(2)/25)*CL91+(1-EXP(-LN(2)/25))/(LN(2)/25)*Calculateur!CG92*Calculateur!CI92*VLOOKUP('Données projet'!$B$12,Paramètres!$A$1:$I$89,3,0)*0.475*44/12</f>
        <v>39.98964563616547</v>
      </c>
      <c r="CM92" s="21">
        <f>EXP(-LN(2)/2)*CM91+(1-EXP(-LN(2)/2))/(LN(2)/2)*CG92*CJ92*VLOOKUP('Données projet'!$B$12,Paramètres!$A$1:$I$89,3,0)*0.475*44/12</f>
        <v>2.7586587196409789</v>
      </c>
      <c r="CN92" s="22">
        <f t="shared" si="66"/>
        <v>86.243972626835117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9.1059999999999999</v>
      </c>
      <c r="CT92" s="12">
        <f>IF('Données projet'!$A$140&gt;35,CT91+CS92-DB91,IF(A92&lt;'Données projet'!$A$140,$CQ$205^A92,IF(A92='Données projet'!$A$140,'Données projet'!$B$140,CT91+CS92-DB91)))</f>
        <v>413.27399999999921</v>
      </c>
      <c r="CU92" s="17">
        <f>CT92*VLOOKUP('Données projet'!$B$13,Paramètres!$A$1:$I$89,3,0)*VLOOKUP('Données projet'!$B$13,Paramètres!$A$1:$I$89,5,0)</f>
        <v>198.78479399999961</v>
      </c>
      <c r="CV92" s="13">
        <f t="shared" si="95"/>
        <v>49.47700757195858</v>
      </c>
      <c r="CW92" s="20">
        <f t="shared" si="67"/>
        <v>432.38930440449377</v>
      </c>
      <c r="CX92" s="59">
        <f t="shared" si="68"/>
        <v>725.72263773782709</v>
      </c>
      <c r="CY92" s="59">
        <f ca="1">AVERAGE(OFFSET($CX$3,0,0,'Données projet'!$E$13+1,1))-AVERAGE(OFFSET($H$3,0,0,'Données projet'!$E$13+1,1))</f>
        <v>314.18760071409162</v>
      </c>
      <c r="CZ92" s="59">
        <f t="shared" si="96"/>
        <v>267.72650645201787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33.714976623428157</v>
      </c>
      <c r="DG92" s="21">
        <f>EXP(-LN(2)/25)*DG91+(1-EXP(-LN(2)/25))/(LN(2)/25)*Calculateur!DB92*Calculateur!DD92*VLOOKUP('Données projet'!$B$13,Paramètres!$A$1:$I$89,3,0)*0.475*44/12</f>
        <v>12.564025328596701</v>
      </c>
      <c r="DH92" s="21">
        <f>EXP(-LN(2)/2)*DH91+(1-EXP(-LN(2)/2))/(LN(2)/2)*DB92*DE92*VLOOKUP('Données projet'!$B$13,Paramètres!$A$1:$I$89,3,0)*0.475*44/12</f>
        <v>0.22104756974016077</v>
      </c>
      <c r="DI92" s="22">
        <f t="shared" si="69"/>
        <v>46.500049521765014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-1.7053025658242404E-13</v>
      </c>
      <c r="DP92" s="17">
        <f>DO92*VLOOKUP('Données projet'!$B$14,Paramètres!$A$1:$I$89,3,0)*VLOOKUP('Données projet'!$B$14,Paramètres!$A$1:$I$89,5,0)</f>
        <v>-1.4897523215040567E-13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324.86930206492627</v>
      </c>
      <c r="DU92" s="59">
        <f t="shared" si="98"/>
        <v>317.03005098025352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38.553390168326651</v>
      </c>
      <c r="EB92" s="21">
        <f>EXP(-LN(2)/25)*EB91+(1-EXP(-LN(2)/25))/(LN(2)/25)*Calculateur!DW92*Calculateur!DY92*VLOOKUP('Données projet'!$B$14,Paramètres!$A$1:$I$89,3,0)*0.475*44/12</f>
        <v>36.243010164207838</v>
      </c>
      <c r="EC92" s="21">
        <f>EXP(-LN(2)/2)*EC91+(1-EXP(-LN(2)/2))/(LN(2)/2)*DW92*DZ92*VLOOKUP('Données projet'!$B$14,Paramètres!$A$1:$I$89,3,0)*0.475*44/12</f>
        <v>2.5224270637897281</v>
      </c>
      <c r="ED92" s="22">
        <f t="shared" si="72"/>
        <v>77.318827396324224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302.00825291248458</v>
      </c>
      <c r="T93" s="59">
        <f t="shared" si="88"/>
        <v>307.35115839449355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76.661963465603677</v>
      </c>
      <c r="AA93" s="21">
        <f>EXP(-LN(2)/25)*AA92+(1-EXP(-LN(2)/25))/(LN(2)/25)*Calculateur!V93*Calculateur!X93*VLOOKUP('Données projet'!$B$9,Paramètres!$A$1:$I$89,3,0)*0.475*44/12</f>
        <v>21.084960012838724</v>
      </c>
      <c r="AB93" s="21">
        <f>EXP(-LN(2)/2)*AB92+(1-EXP(-LN(2)/2))/(LN(2)/2)*V93*Y93*VLOOKUP('Données projet'!$B$9,Paramètres!$A$1:$I$89,3,0)*0.475*44/12</f>
        <v>1.8298780158494108E-3</v>
      </c>
      <c r="AC93" s="22">
        <f t="shared" si="57"/>
        <v>97.748753356458252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5.0249582272954292E-14</v>
      </c>
      <c r="AK93" s="13">
        <f t="shared" si="89"/>
        <v>8.1784820119191593E-13</v>
      </c>
      <c r="AL93" s="20">
        <f t="shared" si="58"/>
        <v>1.5119369728679821E-12</v>
      </c>
      <c r="AM93" s="59">
        <f t="shared" si="59"/>
        <v>293.33333333333485</v>
      </c>
      <c r="AN93" s="59">
        <f ca="1">AVERAGE(OFFSET($AM$3,0,0,'Données projet'!$E$10+1,1))-AVERAGE(OFFSET($H$3,0,0,'Données projet'!$E$10+1,1))</f>
        <v>394.37446333077651</v>
      </c>
      <c r="AO93" s="59">
        <f t="shared" si="90"/>
        <v>335.44327961212963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169.50887225335083</v>
      </c>
      <c r="AV93" s="21">
        <f>EXP(-LN(2)/25)*AV92+(1-EXP(-LN(2)/25))/(LN(2)/25)*Calculateur!AQ93*Calculateur!AS93*VLOOKUP('Données projet'!$B$10,Paramètres!$A$1:$I$89,3,0)*0.475*44/12</f>
        <v>54.486920420637951</v>
      </c>
      <c r="AW93" s="21">
        <f>EXP(-LN(2)/2)*AW92+(1-EXP(-LN(2)/2))/(LN(2)/2)*AQ93*AT93*VLOOKUP('Données projet'!$B$10,Paramètres!$A$1:$I$89,3,0)*0.475*44/12</f>
        <v>2.4563715990101684</v>
      </c>
      <c r="AX93" s="21">
        <f t="shared" si="60"/>
        <v>226.45216427299894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7.6966666666666681</v>
      </c>
      <c r="BD93" s="12">
        <f>IF('Données projet'!$A$88&gt;35,BD92+BC93-BL92,IF(A93&lt;'Données projet'!$A$88,$BA$205^A93,IF(A93='Données projet'!$A$88,'Données projet'!$B$88,BD92+BC93-BL92)))</f>
        <v>280.28000000000031</v>
      </c>
      <c r="BE93" s="13">
        <f>BD93*VLOOKUP('Données projet'!$B$11,Paramètres!$A$1:$I$89,3,0)*VLOOKUP('Données projet'!$B$11,Paramètres!$A$1:$I$89,5,0)</f>
        <v>253.59734400000028</v>
      </c>
      <c r="BF93" s="13">
        <f t="shared" si="91"/>
        <v>61.355616244892218</v>
      </c>
      <c r="BG93" s="20">
        <f t="shared" si="61"/>
        <v>548.54307242652112</v>
      </c>
      <c r="BH93" s="59">
        <f t="shared" si="62"/>
        <v>841.87640575985438</v>
      </c>
      <c r="BI93" s="59">
        <f ca="1">AVERAGE(OFFSET($BH$3,0,0,'Données projet'!$E$11+1,1))-AVERAGE(OFFSET($H$3,0,0,'Données projet'!$E$11+1,1))</f>
        <v>490.06222615476065</v>
      </c>
      <c r="BJ93" s="59">
        <f t="shared" si="92"/>
        <v>310.43914804089906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19.995270996742786</v>
      </c>
      <c r="BQ93" s="21">
        <f>EXP(-LN(2)/25)*BQ92+(1-EXP(-LN(2)/25))/(LN(2)/25)*Calculateur!BL93*Calculateur!BN93*VLOOKUP('Données projet'!$B$11,Paramètres!$A$1:$I$89,3,0)*0.475*44/12</f>
        <v>22.973738739533548</v>
      </c>
      <c r="BR93" s="21">
        <f>EXP(-LN(2)/2)*BR92+(1-EXP(-LN(2)/2))/(LN(2)/2)*BL93*BO93*VLOOKUP('Données projet'!$B$11,Paramètres!$A$1:$I$89,3,0)*0.475*44/12</f>
        <v>0.55187079415786178</v>
      </c>
      <c r="BS93" s="22">
        <f t="shared" si="63"/>
        <v>43.520880530434198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353.37479213497227</v>
      </c>
      <c r="CE93" s="59">
        <f t="shared" si="94"/>
        <v>345.4750813433123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42.642744745971846</v>
      </c>
      <c r="CL93" s="21">
        <f>EXP(-LN(2)/25)*CL92+(1-EXP(-LN(2)/25))/(LN(2)/25)*Calculateur!CG93*Calculateur!CI93*VLOOKUP('Données projet'!$B$12,Paramètres!$A$1:$I$89,3,0)*0.475*44/12</f>
        <v>38.896126673280456</v>
      </c>
      <c r="CM93" s="21">
        <f>EXP(-LN(2)/2)*CM92+(1-EXP(-LN(2)/2))/(LN(2)/2)*CG93*CJ93*VLOOKUP('Données projet'!$B$12,Paramètres!$A$1:$I$89,3,0)*0.475*44/12</f>
        <v>1.9506662876375351</v>
      </c>
      <c r="CN93" s="22">
        <f t="shared" si="66"/>
        <v>83.489537706889834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422.38</v>
      </c>
      <c r="CR93" s="12">
        <f>VLOOKUP(A93,'Données projet'!$A$139:$I$159,9,0)</f>
        <v>9.1059999999999999</v>
      </c>
      <c r="CS93" s="12">
        <f t="array" ref="CS93">INDEX(CR:CR,MIN(IF(ISNUMBER(CR93:CR289),ROW(CR93:CR289),"")))</f>
        <v>9.1059999999999999</v>
      </c>
      <c r="CT93" s="12">
        <f>IF('Données projet'!$A$140&gt;35,CT92+CS93-DB92,IF(A93&lt;'Données projet'!$A$140,$CQ$205^A93,IF(A93='Données projet'!$A$140,'Données projet'!$B$140,CT92+CS93-DB92)))</f>
        <v>422.3799999999992</v>
      </c>
      <c r="CU93" s="17">
        <f>CT93*VLOOKUP('Données projet'!$B$13,Paramètres!$A$1:$I$89,3,0)*VLOOKUP('Données projet'!$B$13,Paramètres!$A$1:$I$89,5,0)</f>
        <v>203.16477999999964</v>
      </c>
      <c r="CV93" s="13">
        <f t="shared" si="95"/>
        <v>50.439053779192228</v>
      </c>
      <c r="CW93" s="20">
        <f t="shared" si="67"/>
        <v>441.69334383209247</v>
      </c>
      <c r="CX93" s="59">
        <f t="shared" si="68"/>
        <v>735.02667716542578</v>
      </c>
      <c r="CY93" s="59">
        <f ca="1">AVERAGE(OFFSET($CX$3,0,0,'Données projet'!$E$13+1,1))-AVERAGE(OFFSET($H$3,0,0,'Données projet'!$E$13+1,1))</f>
        <v>314.18760071409162</v>
      </c>
      <c r="CZ93" s="59">
        <f t="shared" si="96"/>
        <v>267.72650645201787</v>
      </c>
      <c r="DA93" s="15">
        <f>IF(ISNA(VLOOKUP(A93,'Données projet'!$A$139:$I$159,3,0)),0,VLOOKUP(A93,'Données projet'!$A$139:$I$159,3,0))</f>
        <v>5</v>
      </c>
      <c r="DB93" s="15">
        <f>IF(ISNA(VLOOKUP(A93,'Données projet'!$A$139:$I$159,4,0)),0,VLOOKUP(A93,'Données projet'!$A$139:$I$159,4,0))</f>
        <v>63.949999999999989</v>
      </c>
      <c r="DC93" s="16">
        <f>IF(ISNA(VLOOKUP(A93,'Données projet'!$A$139:$I$159,5,0)),0%,VLOOKUP(A93,'Données projet'!$A$139:$I$159,5,0)*VLOOKUP('Données projet'!$B$13,Paramètres!$A$1:$I$89,7,0))</f>
        <v>0.22000000000000003</v>
      </c>
      <c r="DD93" s="16">
        <f>IF(ISNA(VLOOKUP(A93,'Données projet'!$A$139:$I$159,6,0)),0%,VLOOKUP(A93,'Données projet'!$A$139:$I$159,6,0)*VLOOKUP('Données projet'!$B$13,Paramètres!$A$1:$I$89,7,0))</f>
        <v>5.5000000000000007E-2</v>
      </c>
      <c r="DE93" s="16">
        <f>IF(ISNA(VLOOKUP(A93,'Données projet'!$A$139:$I$159,7,0)),0%,VLOOKUP(A93,'Données projet'!$A$139:$I$159,7,0))</f>
        <v>0.1</v>
      </c>
      <c r="DF93" s="21">
        <f>EXP(-LN(2)/35)*DF92+(1-EXP(-LN(2)/35))/(LN(2)/35)*DB93*DC93*VLOOKUP('Données projet'!$B$13,Paramètres!$A$1:$I$89,3,0)*0.475*44/12</f>
        <v>42.030958886589382</v>
      </c>
      <c r="DG93" s="21">
        <f>EXP(-LN(2)/25)*DG92+(1-EXP(-LN(2)/25))/(LN(2)/25)*Calculateur!DB93*Calculateur!DD93*VLOOKUP('Données projet'!$B$13,Paramètres!$A$1:$I$89,3,0)*0.475*44/12</f>
        <v>14.455902914925723</v>
      </c>
      <c r="DH93" s="21">
        <f>EXP(-LN(2)/2)*DH92+(1-EXP(-LN(2)/2))/(LN(2)/2)*DB93*DE93*VLOOKUP('Données projet'!$B$13,Paramètres!$A$1:$I$89,3,0)*0.475*44/12</f>
        <v>3.6390451215579946</v>
      </c>
      <c r="DI93" s="22">
        <f t="shared" si="69"/>
        <v>60.125906923073096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-1.7053025658242404E-13</v>
      </c>
      <c r="DP93" s="17">
        <f>DO93*VLOOKUP('Données projet'!$B$14,Paramètres!$A$1:$I$89,3,0)*VLOOKUP('Données projet'!$B$14,Paramètres!$A$1:$I$89,5,0)</f>
        <v>-1.4897523215040567E-13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324.86930206492627</v>
      </c>
      <c r="DU93" s="59">
        <f t="shared" si="98"/>
        <v>317.03005098025352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37.79738170237183</v>
      </c>
      <c r="EB93" s="21">
        <f>EXP(-LN(2)/25)*EB92+(1-EXP(-LN(2)/25))/(LN(2)/25)*Calculateur!DW93*Calculateur!DY93*VLOOKUP('Données projet'!$B$14,Paramètres!$A$1:$I$89,3,0)*0.475*44/12</f>
        <v>35.251943145330507</v>
      </c>
      <c r="EC93" s="21">
        <f>EXP(-LN(2)/2)*EC92+(1-EXP(-LN(2)/2))/(LN(2)/2)*DW93*DZ93*VLOOKUP('Données projet'!$B$14,Paramètres!$A$1:$I$89,3,0)*0.475*44/12</f>
        <v>1.7836252818541889</v>
      </c>
      <c r="ED93" s="22">
        <f t="shared" si="72"/>
        <v>74.832950129556522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302.00825291248458</v>
      </c>
      <c r="T94" s="59">
        <f t="shared" si="88"/>
        <v>307.35115839449355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75.158669121223824</v>
      </c>
      <c r="AA94" s="21">
        <f>EXP(-LN(2)/25)*AA93+(1-EXP(-LN(2)/25))/(LN(2)/25)*Calculateur!V94*Calculateur!X94*VLOOKUP('Données projet'!$B$9,Paramètres!$A$1:$I$89,3,0)*0.475*44/12</f>
        <v>20.508390672477791</v>
      </c>
      <c r="AB94" s="21">
        <f>EXP(-LN(2)/2)*AB93+(1-EXP(-LN(2)/2))/(LN(2)/2)*V94*Y94*VLOOKUP('Données projet'!$B$9,Paramètres!$A$1:$I$89,3,0)*0.475*44/12</f>
        <v>1.2939191537513031E-3</v>
      </c>
      <c r="AC94" s="22">
        <f t="shared" si="57"/>
        <v>95.668353712855364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5.0249582272954292E-14</v>
      </c>
      <c r="AK94" s="13">
        <f t="shared" si="89"/>
        <v>8.1784820119191593E-13</v>
      </c>
      <c r="AL94" s="20">
        <f t="shared" si="58"/>
        <v>1.5119369728679821E-12</v>
      </c>
      <c r="AM94" s="59">
        <f t="shared" si="59"/>
        <v>293.33333333333485</v>
      </c>
      <c r="AN94" s="59">
        <f ca="1">AVERAGE(OFFSET($AM$3,0,0,'Données projet'!$E$10+1,1))-AVERAGE(OFFSET($H$3,0,0,'Données projet'!$E$10+1,1))</f>
        <v>394.37446333077651</v>
      </c>
      <c r="AO94" s="59">
        <f t="shared" si="90"/>
        <v>335.44327961212963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166.18490665866577</v>
      </c>
      <c r="AV94" s="21">
        <f>EXP(-LN(2)/25)*AV93+(1-EXP(-LN(2)/25))/(LN(2)/25)*Calculateur!AQ94*Calculateur!AS94*VLOOKUP('Données projet'!$B$10,Paramètres!$A$1:$I$89,3,0)*0.475*44/12</f>
        <v>52.996972716392996</v>
      </c>
      <c r="AW94" s="21">
        <f>EXP(-LN(2)/2)*AW93+(1-EXP(-LN(2)/2))/(LN(2)/2)*AQ94*AT94*VLOOKUP('Données projet'!$B$10,Paramètres!$A$1:$I$89,3,0)*0.475*44/12</f>
        <v>1.7369170147741331</v>
      </c>
      <c r="AX94" s="21">
        <f t="shared" si="60"/>
        <v>220.91879638983289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7.6966666666666681</v>
      </c>
      <c r="BD94" s="12">
        <f>IF('Données projet'!$A$88&gt;35,BD93+BC94-BL93,IF(A94&lt;'Données projet'!$A$88,$BA$205^A94,IF(A94='Données projet'!$A$88,'Données projet'!$B$88,BD93+BC94-BL93)))</f>
        <v>287.97666666666697</v>
      </c>
      <c r="BE94" s="13">
        <f>BD94*VLOOKUP('Données projet'!$B$11,Paramètres!$A$1:$I$89,3,0)*VLOOKUP('Données projet'!$B$11,Paramètres!$A$1:$I$89,5,0)</f>
        <v>260.56128800000027</v>
      </c>
      <c r="BF94" s="13">
        <f t="shared" si="91"/>
        <v>62.842006855343143</v>
      </c>
      <c r="BG94" s="20">
        <f t="shared" si="61"/>
        <v>563.26073853972309</v>
      </c>
      <c r="BH94" s="59">
        <f t="shared" si="62"/>
        <v>856.59407187305646</v>
      </c>
      <c r="BI94" s="59">
        <f ca="1">AVERAGE(OFFSET($BH$3,0,0,'Données projet'!$E$11+1,1))-AVERAGE(OFFSET($H$3,0,0,'Données projet'!$E$11+1,1))</f>
        <v>490.06222615476065</v>
      </c>
      <c r="BJ94" s="59">
        <f t="shared" si="92"/>
        <v>310.43914804089906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19.603175928407722</v>
      </c>
      <c r="BQ94" s="21">
        <f>EXP(-LN(2)/25)*BQ93+(1-EXP(-LN(2)/25))/(LN(2)/25)*Calculateur!BL94*Calculateur!BN94*VLOOKUP('Données projet'!$B$11,Paramètres!$A$1:$I$89,3,0)*0.475*44/12</f>
        <v>22.345520645564591</v>
      </c>
      <c r="BR94" s="21">
        <f>EXP(-LN(2)/2)*BR93+(1-EXP(-LN(2)/2))/(LN(2)/2)*BL94*BO94*VLOOKUP('Données projet'!$B$11,Paramètres!$A$1:$I$89,3,0)*0.475*44/12</f>
        <v>0.39023158088782939</v>
      </c>
      <c r="BS94" s="22">
        <f t="shared" si="63"/>
        <v>42.338928154860142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353.37479213497227</v>
      </c>
      <c r="CE94" s="59">
        <f t="shared" si="94"/>
        <v>345.4750813433123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41.80654653100941</v>
      </c>
      <c r="CL94" s="21">
        <f>EXP(-LN(2)/25)*CL93+(1-EXP(-LN(2)/25))/(LN(2)/25)*Calculateur!CG94*Calculateur!CI94*VLOOKUP('Données projet'!$B$12,Paramètres!$A$1:$I$89,3,0)*0.475*44/12</f>
        <v>37.832510043941198</v>
      </c>
      <c r="CM94" s="21">
        <f>EXP(-LN(2)/2)*CM93+(1-EXP(-LN(2)/2))/(LN(2)/2)*CG94*CJ94*VLOOKUP('Données projet'!$B$12,Paramètres!$A$1:$I$89,3,0)*0.475*44/12</f>
        <v>1.3793293598204897</v>
      </c>
      <c r="CN94" s="22">
        <f t="shared" si="66"/>
        <v>81.018385934771104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7.8379999999999992</v>
      </c>
      <c r="CT94" s="12">
        <f>IF('Données projet'!$A$140&gt;35,CT93+CS94-DB93,IF(A94&lt;'Données projet'!$A$140,$CQ$205^A94,IF(A94='Données projet'!$A$140,'Données projet'!$B$140,CT93+CS94-DB93)))</f>
        <v>366.26799999999923</v>
      </c>
      <c r="CU94" s="17">
        <f>CT94*VLOOKUP('Données projet'!$B$13,Paramètres!$A$1:$I$89,3,0)*VLOOKUP('Données projet'!$B$13,Paramètres!$A$1:$I$89,5,0)</f>
        <v>176.17490799999965</v>
      </c>
      <c r="CV94" s="13">
        <f t="shared" si="95"/>
        <v>44.470112736526339</v>
      </c>
      <c r="CW94" s="20">
        <f t="shared" si="67"/>
        <v>384.29007778278282</v>
      </c>
      <c r="CX94" s="59">
        <f t="shared" si="68"/>
        <v>677.62341111611613</v>
      </c>
      <c r="CY94" s="59">
        <f ca="1">AVERAGE(OFFSET($CX$3,0,0,'Données projet'!$E$13+1,1))-AVERAGE(OFFSET($H$3,0,0,'Données projet'!$E$13+1,1))</f>
        <v>314.18760071409162</v>
      </c>
      <c r="CZ94" s="59">
        <f t="shared" si="96"/>
        <v>267.72650645201787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41.206757419176903</v>
      </c>
      <c r="DG94" s="21">
        <f>EXP(-LN(2)/25)*DG93+(1-EXP(-LN(2)/25))/(LN(2)/25)*Calculateur!DB94*Calculateur!DD94*VLOOKUP('Données projet'!$B$13,Paramètres!$A$1:$I$89,3,0)*0.475*44/12</f>
        <v>14.060605489514185</v>
      </c>
      <c r="DH94" s="21">
        <f>EXP(-LN(2)/2)*DH93+(1-EXP(-LN(2)/2))/(LN(2)/2)*DB94*DE94*VLOOKUP('Données projet'!$B$13,Paramètres!$A$1:$I$89,3,0)*0.475*44/12</f>
        <v>2.5731934824974823</v>
      </c>
      <c r="DI94" s="22">
        <f t="shared" si="69"/>
        <v>57.840556391188564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-1.7053025658242404E-13</v>
      </c>
      <c r="DP94" s="17">
        <f>DO94*VLOOKUP('Données projet'!$B$14,Paramètres!$A$1:$I$89,3,0)*VLOOKUP('Données projet'!$B$14,Paramètres!$A$1:$I$89,5,0)</f>
        <v>-1.4897523215040567E-13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324.86930206492627</v>
      </c>
      <c r="DU94" s="59">
        <f t="shared" si="98"/>
        <v>317.03005098025352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37.056198101314749</v>
      </c>
      <c r="EB94" s="21">
        <f>EXP(-LN(2)/25)*EB93+(1-EXP(-LN(2)/25))/(LN(2)/25)*Calculateur!DW94*Calculateur!DY94*VLOOKUP('Données projet'!$B$14,Paramètres!$A$1:$I$89,3,0)*0.475*44/12</f>
        <v>34.287976906202324</v>
      </c>
      <c r="EC94" s="21">
        <f>EXP(-LN(2)/2)*EC93+(1-EXP(-LN(2)/2))/(LN(2)/2)*DW94*DZ94*VLOOKUP('Données projet'!$B$14,Paramètres!$A$1:$I$89,3,0)*0.475*44/12</f>
        <v>1.2612135318948643</v>
      </c>
      <c r="ED94" s="22">
        <f t="shared" si="72"/>
        <v>72.605388539411933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302.00825291248458</v>
      </c>
      <c r="T95" s="59">
        <f t="shared" si="88"/>
        <v>307.35115839449355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73.684853462018239</v>
      </c>
      <c r="AA95" s="21">
        <f>EXP(-LN(2)/25)*AA94+(1-EXP(-LN(2)/25))/(LN(2)/25)*Calculateur!V95*Calculateur!X95*VLOOKUP('Données projet'!$B$9,Paramètres!$A$1:$I$89,3,0)*0.475*44/12</f>
        <v>19.947587651049492</v>
      </c>
      <c r="AB95" s="21">
        <f>EXP(-LN(2)/2)*AB94+(1-EXP(-LN(2)/2))/(LN(2)/2)*V95*Y95*VLOOKUP('Données projet'!$B$9,Paramètres!$A$1:$I$89,3,0)*0.475*44/12</f>
        <v>9.1493900792470541E-4</v>
      </c>
      <c r="AC95" s="22">
        <f t="shared" si="57"/>
        <v>93.633356052075655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5.0249582272954292E-14</v>
      </c>
      <c r="AK95" s="13">
        <f t="shared" si="89"/>
        <v>8.1784820119191593E-13</v>
      </c>
      <c r="AL95" s="20">
        <f t="shared" si="58"/>
        <v>1.5119369728679821E-12</v>
      </c>
      <c r="AM95" s="59">
        <f t="shared" si="59"/>
        <v>293.33333333333485</v>
      </c>
      <c r="AN95" s="59">
        <f ca="1">AVERAGE(OFFSET($AM$3,0,0,'Données projet'!$E$10+1,1))-AVERAGE(OFFSET($H$3,0,0,'Données projet'!$E$10+1,1))</f>
        <v>394.37446333077651</v>
      </c>
      <c r="AO95" s="59">
        <f t="shared" si="90"/>
        <v>335.44327961212963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162.92612200187364</v>
      </c>
      <c r="AV95" s="21">
        <f>EXP(-LN(2)/25)*AV94+(1-EXP(-LN(2)/25))/(LN(2)/25)*Calculateur!AQ95*Calculateur!AS95*VLOOKUP('Données projet'!$B$10,Paramètres!$A$1:$I$89,3,0)*0.475*44/12</f>
        <v>51.547767710473558</v>
      </c>
      <c r="AW95" s="21">
        <f>EXP(-LN(2)/2)*AW94+(1-EXP(-LN(2)/2))/(LN(2)/2)*AQ95*AT95*VLOOKUP('Données projet'!$B$10,Paramètres!$A$1:$I$89,3,0)*0.475*44/12</f>
        <v>1.2281857995050844</v>
      </c>
      <c r="AX95" s="21">
        <f t="shared" si="60"/>
        <v>215.70207551185229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7.6966666666666681</v>
      </c>
      <c r="BD95" s="12">
        <f>IF('Données projet'!$A$88&gt;35,BD94+BC95-BL94,IF(A95&lt;'Données projet'!$A$88,$BA$205^A95,IF(A95='Données projet'!$A$88,'Données projet'!$B$88,BD94+BC95-BL94)))</f>
        <v>295.67333333333363</v>
      </c>
      <c r="BE95" s="13">
        <f>BD95*VLOOKUP('Données projet'!$B$11,Paramètres!$A$1:$I$89,3,0)*VLOOKUP('Données projet'!$B$11,Paramètres!$A$1:$I$89,5,0)</f>
        <v>267.5252320000003</v>
      </c>
      <c r="BF95" s="13">
        <f t="shared" si="91"/>
        <v>64.323779926659213</v>
      </c>
      <c r="BG95" s="20">
        <f t="shared" si="61"/>
        <v>577.97036243893194</v>
      </c>
      <c r="BH95" s="59">
        <f t="shared" si="62"/>
        <v>871.3036957722652</v>
      </c>
      <c r="BI95" s="59">
        <f ca="1">AVERAGE(OFFSET($BH$3,0,0,'Données projet'!$E$11+1,1))-AVERAGE(OFFSET($H$3,0,0,'Données projet'!$E$11+1,1))</f>
        <v>490.06222615476065</v>
      </c>
      <c r="BJ95" s="59">
        <f t="shared" si="92"/>
        <v>310.43914804089906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19.218769605208333</v>
      </c>
      <c r="BQ95" s="21">
        <f>EXP(-LN(2)/25)*BQ94+(1-EXP(-LN(2)/25))/(LN(2)/25)*Calculateur!BL95*Calculateur!BN95*VLOOKUP('Données projet'!$B$11,Paramètres!$A$1:$I$89,3,0)*0.475*44/12</f>
        <v>21.734481208411768</v>
      </c>
      <c r="BR95" s="21">
        <f>EXP(-LN(2)/2)*BR94+(1-EXP(-LN(2)/2))/(LN(2)/2)*BL95*BO95*VLOOKUP('Données projet'!$B$11,Paramètres!$A$1:$I$89,3,0)*0.475*44/12</f>
        <v>0.27593539707893089</v>
      </c>
      <c r="BS95" s="22">
        <f t="shared" si="63"/>
        <v>41.229186210699034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353.37479213497227</v>
      </c>
      <c r="CE95" s="59">
        <f t="shared" si="94"/>
        <v>345.4750813433123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40.986745653011837</v>
      </c>
      <c r="CL95" s="21">
        <f>EXP(-LN(2)/25)*CL94+(1-EXP(-LN(2)/25))/(LN(2)/25)*Calculateur!CG95*Calculateur!CI95*VLOOKUP('Données projet'!$B$12,Paramètres!$A$1:$I$89,3,0)*0.475*44/12</f>
        <v>36.797978067264388</v>
      </c>
      <c r="CM95" s="21">
        <f>EXP(-LN(2)/2)*CM94+(1-EXP(-LN(2)/2))/(LN(2)/2)*CG95*CJ95*VLOOKUP('Données projet'!$B$12,Paramètres!$A$1:$I$89,3,0)*0.475*44/12</f>
        <v>0.97533314381876768</v>
      </c>
      <c r="CN95" s="22">
        <f t="shared" si="66"/>
        <v>78.760056864094992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7.8379999999999992</v>
      </c>
      <c r="CT95" s="12">
        <f>IF('Données projet'!$A$140&gt;35,CT94+CS95-DB94,IF(A95&lt;'Données projet'!$A$140,$CQ$205^A95,IF(A95='Données projet'!$A$140,'Données projet'!$B$140,CT94+CS95-DB94)))</f>
        <v>374.10599999999926</v>
      </c>
      <c r="CU95" s="17">
        <f>CT95*VLOOKUP('Données projet'!$B$13,Paramètres!$A$1:$I$89,3,0)*VLOOKUP('Données projet'!$B$13,Paramètres!$A$1:$I$89,5,0)</f>
        <v>179.94498599999963</v>
      </c>
      <c r="CV95" s="13">
        <f t="shared" si="95"/>
        <v>45.309946347395652</v>
      </c>
      <c r="CW95" s="20">
        <f t="shared" si="67"/>
        <v>392.31900717171339</v>
      </c>
      <c r="CX95" s="59">
        <f t="shared" si="68"/>
        <v>685.65234050504671</v>
      </c>
      <c r="CY95" s="59">
        <f ca="1">AVERAGE(OFFSET($CX$3,0,0,'Données projet'!$E$13+1,1))-AVERAGE(OFFSET($H$3,0,0,'Données projet'!$E$13+1,1))</f>
        <v>314.18760071409162</v>
      </c>
      <c r="CZ95" s="59">
        <f t="shared" si="96"/>
        <v>267.72650645201787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40.398718039827131</v>
      </c>
      <c r="DG95" s="21">
        <f>EXP(-LN(2)/25)*DG94+(1-EXP(-LN(2)/25))/(LN(2)/25)*Calculateur!DB95*Calculateur!DD95*VLOOKUP('Données projet'!$B$13,Paramètres!$A$1:$I$89,3,0)*0.475*44/12</f>
        <v>13.676117492988313</v>
      </c>
      <c r="DH95" s="21">
        <f>EXP(-LN(2)/2)*DH94+(1-EXP(-LN(2)/2))/(LN(2)/2)*DB95*DE95*VLOOKUP('Données projet'!$B$13,Paramètres!$A$1:$I$89,3,0)*0.475*44/12</f>
        <v>1.8195225607789975</v>
      </c>
      <c r="DI95" s="22">
        <f t="shared" si="69"/>
        <v>55.894358093594441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-1.7053025658242404E-13</v>
      </c>
      <c r="DP95" s="17">
        <f>DO95*VLOOKUP('Données projet'!$B$14,Paramètres!$A$1:$I$89,3,0)*VLOOKUP('Données projet'!$B$14,Paramètres!$A$1:$I$89,5,0)</f>
        <v>-1.4897523215040567E-13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324.86930206492627</v>
      </c>
      <c r="DU95" s="59">
        <f t="shared" si="98"/>
        <v>317.03005098025352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36.329548658597041</v>
      </c>
      <c r="EB95" s="21">
        <f>EXP(-LN(2)/25)*EB94+(1-EXP(-LN(2)/25))/(LN(2)/25)*Calculateur!DW95*Calculateur!DY95*VLOOKUP('Données projet'!$B$14,Paramètres!$A$1:$I$89,3,0)*0.475*44/12</f>
        <v>33.350370374575881</v>
      </c>
      <c r="EC95" s="21">
        <f>EXP(-LN(2)/2)*EC94+(1-EXP(-LN(2)/2))/(LN(2)/2)*DW95*DZ95*VLOOKUP('Données projet'!$B$14,Paramètres!$A$1:$I$89,3,0)*0.475*44/12</f>
        <v>0.89181264092709467</v>
      </c>
      <c r="ED95" s="22">
        <f t="shared" si="72"/>
        <v>70.571731674100022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302.00825291248458</v>
      </c>
      <c r="T96" s="59">
        <f t="shared" si="88"/>
        <v>307.35115839449355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72.239938428950893</v>
      </c>
      <c r="AA96" s="21">
        <f>EXP(-LN(2)/25)*AA95+(1-EXP(-LN(2)/25))/(LN(2)/25)*Calculateur!V96*Calculateur!X96*VLOOKUP('Données projet'!$B$9,Paramètres!$A$1:$I$89,3,0)*0.475*44/12</f>
        <v>19.402119817733499</v>
      </c>
      <c r="AB96" s="21">
        <f>EXP(-LN(2)/2)*AB95+(1-EXP(-LN(2)/2))/(LN(2)/2)*V96*Y96*VLOOKUP('Données projet'!$B$9,Paramètres!$A$1:$I$89,3,0)*0.475*44/12</f>
        <v>6.4695957687565153E-4</v>
      </c>
      <c r="AC96" s="22">
        <f t="shared" si="57"/>
        <v>91.642705206261269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5.0249582272954292E-14</v>
      </c>
      <c r="AK96" s="13">
        <f t="shared" si="89"/>
        <v>8.1784820119191593E-13</v>
      </c>
      <c r="AL96" s="20">
        <f t="shared" si="58"/>
        <v>1.5119369728679821E-12</v>
      </c>
      <c r="AM96" s="59">
        <f t="shared" si="59"/>
        <v>293.33333333333485</v>
      </c>
      <c r="AN96" s="59">
        <f ca="1">AVERAGE(OFFSET($AM$3,0,0,'Données projet'!$E$10+1,1))-AVERAGE(OFFSET($H$3,0,0,'Données projet'!$E$10+1,1))</f>
        <v>394.37446333077651</v>
      </c>
      <c r="AO96" s="59">
        <f t="shared" si="90"/>
        <v>335.44327961212963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159.73124012453883</v>
      </c>
      <c r="AV96" s="21">
        <f>EXP(-LN(2)/25)*AV95+(1-EXP(-LN(2)/25))/(LN(2)/25)*Calculateur!AQ96*Calculateur!AS96*VLOOKUP('Données projet'!$B$10,Paramètres!$A$1:$I$89,3,0)*0.475*44/12</f>
        <v>50.138191291651367</v>
      </c>
      <c r="AW96" s="21">
        <f>EXP(-LN(2)/2)*AW95+(1-EXP(-LN(2)/2))/(LN(2)/2)*AQ96*AT96*VLOOKUP('Données projet'!$B$10,Paramètres!$A$1:$I$89,3,0)*0.475*44/12</f>
        <v>0.86845850738706676</v>
      </c>
      <c r="AX96" s="21">
        <f t="shared" si="60"/>
        <v>210.73788992357726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7.6966666666666681</v>
      </c>
      <c r="BC96" s="12">
        <f t="array" ref="BC96">INDEX(BB:BB,MIN(IF(ISNUMBER(BB96:BB292),ROW(BB96:BB292),"")))</f>
        <v>7.6966666666666681</v>
      </c>
      <c r="BD96" s="12">
        <f>IF('Données projet'!$A$88&gt;35,BD95+BC96-BL95,IF(A96&lt;'Données projet'!$A$88,$BA$205^A96,IF(A96='Données projet'!$A$88,'Données projet'!$B$88,BD95+BC96-BL95)))</f>
        <v>303.37000000000029</v>
      </c>
      <c r="BE96" s="13">
        <f>BD96*VLOOKUP('Données projet'!$B$11,Paramètres!$A$1:$I$89,3,0)*VLOOKUP('Données projet'!$B$11,Paramètres!$A$1:$I$89,5,0)</f>
        <v>274.48917600000021</v>
      </c>
      <c r="BF96" s="13">
        <f t="shared" si="91"/>
        <v>65.801069476622146</v>
      </c>
      <c r="BG96" s="20">
        <f t="shared" si="61"/>
        <v>592.67217753845057</v>
      </c>
      <c r="BH96" s="59">
        <f t="shared" si="62"/>
        <v>886.00551087178383</v>
      </c>
      <c r="BI96" s="59">
        <f ca="1">AVERAGE(OFFSET($BH$3,0,0,'Données projet'!$E$11+1,1))-AVERAGE(OFFSET($H$3,0,0,'Données projet'!$E$11+1,1))</f>
        <v>490.06222615476065</v>
      </c>
      <c r="BJ96" s="59">
        <f t="shared" si="92"/>
        <v>310.43914804089906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42.910000000000025</v>
      </c>
      <c r="BM96" s="16">
        <f>IF(ISNA(VLOOKUP(A96,'Données projet'!$A$87:$I$107,5,0)),0%,VLOOKUP(A96,'Données projet'!$A$87:$I$107,5,0)*VLOOKUP('Données projet'!$B$11,Paramètres!$A$1:$I$89,7,0))</f>
        <v>0.15049999999999999</v>
      </c>
      <c r="BN96" s="16">
        <f>IF(ISNA(VLOOKUP(A96,'Données projet'!$A$87:$I$107,6,0)),0%,VLOOKUP(A96,'Données projet'!$A$87:$I$107,6,0)*VLOOKUP('Données projet'!$B$11,Paramètres!$A$1:$I$89,7,0))</f>
        <v>8.6000000000000007E-2</v>
      </c>
      <c r="BO96" s="16">
        <f>IF(ISNA(VLOOKUP(A96,'Données projet'!$A$87:$I$107,7,0)),0%,VLOOKUP(A96,'Données projet'!$A$87:$I$107,7,0))</f>
        <v>0.1</v>
      </c>
      <c r="BP96" s="21">
        <f>EXP(-LN(2)/35)*BP95+(1-EXP(-LN(2)/35))/(LN(2)/35)*BL96*BM96*VLOOKUP('Données projet'!$B$11,Paramètres!$A$1:$I$89,3,0)*0.475*44/12</f>
        <v>25.301338998144534</v>
      </c>
      <c r="BQ96" s="21">
        <f>EXP(-LN(2)/25)*BQ95+(1-EXP(-LN(2)/25))/(LN(2)/25)*Calculateur!BL96*Calculateur!BN96*VLOOKUP('Données projet'!$B$11,Paramètres!$A$1:$I$89,3,0)*0.475*44/12</f>
        <v>24.816724662498768</v>
      </c>
      <c r="BR96" s="21">
        <f>EXP(-LN(2)/2)*BR95+(1-EXP(-LN(2)/2))/(LN(2)/2)*BL96*BO96*VLOOKUP('Données projet'!$B$11,Paramètres!$A$1:$I$89,3,0)*0.475*44/12</f>
        <v>3.8583560171132096</v>
      </c>
      <c r="BS96" s="22">
        <f t="shared" si="63"/>
        <v>53.97641967775651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353.37479213497227</v>
      </c>
      <c r="CE96" s="59">
        <f t="shared" si="94"/>
        <v>345.4750813433123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40.183020570202636</v>
      </c>
      <c r="CL96" s="21">
        <f>EXP(-LN(2)/25)*CL95+(1-EXP(-LN(2)/25))/(LN(2)/25)*Calculateur!CG96*Calculateur!CI96*VLOOKUP('Données projet'!$B$12,Paramètres!$A$1:$I$89,3,0)*0.475*44/12</f>
        <v>35.791735421893478</v>
      </c>
      <c r="CM96" s="21">
        <f>EXP(-LN(2)/2)*CM95+(1-EXP(-LN(2)/2))/(LN(2)/2)*CG96*CJ96*VLOOKUP('Données projet'!$B$12,Paramètres!$A$1:$I$89,3,0)*0.475*44/12</f>
        <v>0.68966467991024494</v>
      </c>
      <c r="CN96" s="22">
        <f t="shared" si="66"/>
        <v>76.664420672006358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7.8379999999999992</v>
      </c>
      <c r="CT96" s="12">
        <f>IF('Données projet'!$A$140&gt;35,CT95+CS96-DB95,IF(A96&lt;'Données projet'!$A$140,$CQ$205^A96,IF(A96='Données projet'!$A$140,'Données projet'!$B$140,CT95+CS96-DB95)))</f>
        <v>381.94399999999928</v>
      </c>
      <c r="CU96" s="17">
        <f>CT96*VLOOKUP('Données projet'!$B$13,Paramètres!$A$1:$I$89,3,0)*VLOOKUP('Données projet'!$B$13,Paramètres!$A$1:$I$89,5,0)</f>
        <v>183.71506399999967</v>
      </c>
      <c r="CV96" s="13">
        <f t="shared" si="95"/>
        <v>46.147734168754617</v>
      </c>
      <c r="CW96" s="20">
        <f t="shared" si="67"/>
        <v>400.34437347724707</v>
      </c>
      <c r="CX96" s="59">
        <f t="shared" si="68"/>
        <v>693.67770681058039</v>
      </c>
      <c r="CY96" s="59">
        <f ca="1">AVERAGE(OFFSET($CX$3,0,0,'Données projet'!$E$13+1,1))-AVERAGE(OFFSET($H$3,0,0,'Données projet'!$E$13+1,1))</f>
        <v>314.18760071409162</v>
      </c>
      <c r="CZ96" s="59">
        <f t="shared" si="96"/>
        <v>267.72650645201787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39.606523819851049</v>
      </c>
      <c r="DG96" s="21">
        <f>EXP(-LN(2)/25)*DG95+(1-EXP(-LN(2)/25))/(LN(2)/25)*Calculateur!DB96*Calculateur!DD96*VLOOKUP('Données projet'!$B$13,Paramètres!$A$1:$I$89,3,0)*0.475*44/12</f>
        <v>13.302143340946786</v>
      </c>
      <c r="DH96" s="21">
        <f>EXP(-LN(2)/2)*DH95+(1-EXP(-LN(2)/2))/(LN(2)/2)*DB96*DE96*VLOOKUP('Données projet'!$B$13,Paramètres!$A$1:$I$89,3,0)*0.475*44/12</f>
        <v>1.2865967412487413</v>
      </c>
      <c r="DI96" s="22">
        <f t="shared" si="69"/>
        <v>54.195263902046577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-1.7053025658242404E-13</v>
      </c>
      <c r="DP96" s="17">
        <f>DO96*VLOOKUP('Données projet'!$B$14,Paramètres!$A$1:$I$89,3,0)*VLOOKUP('Données projet'!$B$14,Paramètres!$A$1:$I$89,5,0)</f>
        <v>-1.4897523215040567E-13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324.86930206492627</v>
      </c>
      <c r="DU96" s="59">
        <f t="shared" si="98"/>
        <v>317.03005098025352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35.617148368238631</v>
      </c>
      <c r="EB96" s="21">
        <f>EXP(-LN(2)/25)*EB95+(1-EXP(-LN(2)/25))/(LN(2)/25)*Calculateur!DW96*Calculateur!DY96*VLOOKUP('Données projet'!$B$14,Paramètres!$A$1:$I$89,3,0)*0.475*44/12</f>
        <v>32.438402742863346</v>
      </c>
      <c r="EC96" s="21">
        <f>EXP(-LN(2)/2)*EC95+(1-EXP(-LN(2)/2))/(LN(2)/2)*DW96*DZ96*VLOOKUP('Données projet'!$B$14,Paramètres!$A$1:$I$89,3,0)*0.475*44/12</f>
        <v>0.63060676594743226</v>
      </c>
      <c r="ED96" s="22">
        <f t="shared" si="72"/>
        <v>68.686157877049411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302.00825291248458</v>
      </c>
      <c r="T97" s="59">
        <f t="shared" si="88"/>
        <v>307.35115839449355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70.823357298370851</v>
      </c>
      <c r="AA97" s="21">
        <f>EXP(-LN(2)/25)*AA96+(1-EXP(-LN(2)/25))/(LN(2)/25)*Calculateur!V97*Calculateur!X97*VLOOKUP('Données projet'!$B$9,Paramètres!$A$1:$I$89,3,0)*0.475*44/12</f>
        <v>18.871567831004441</v>
      </c>
      <c r="AB97" s="21">
        <f>EXP(-LN(2)/2)*AB96+(1-EXP(-LN(2)/2))/(LN(2)/2)*V97*Y97*VLOOKUP('Données projet'!$B$9,Paramètres!$A$1:$I$89,3,0)*0.475*44/12</f>
        <v>4.574695039623527E-4</v>
      </c>
      <c r="AC97" s="22">
        <f t="shared" si="57"/>
        <v>89.695382598879249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5.0249582272954292E-14</v>
      </c>
      <c r="AK97" s="13">
        <f t="shared" si="89"/>
        <v>8.1784820119191593E-13</v>
      </c>
      <c r="AL97" s="20">
        <f t="shared" si="58"/>
        <v>1.5119369728679821E-12</v>
      </c>
      <c r="AM97" s="59">
        <f t="shared" si="59"/>
        <v>293.33333333333485</v>
      </c>
      <c r="AN97" s="59">
        <f ca="1">AVERAGE(OFFSET($AM$3,0,0,'Données projet'!$E$10+1,1))-AVERAGE(OFFSET($H$3,0,0,'Données projet'!$E$10+1,1))</f>
        <v>394.37446333077651</v>
      </c>
      <c r="AO97" s="59">
        <f t="shared" si="90"/>
        <v>335.44327961212963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156.59900793213305</v>
      </c>
      <c r="AV97" s="21">
        <f>EXP(-LN(2)/25)*AV96+(1-EXP(-LN(2)/25))/(LN(2)/25)*Calculateur!AQ97*Calculateur!AS97*VLOOKUP('Données projet'!$B$10,Paramètres!$A$1:$I$89,3,0)*0.475*44/12</f>
        <v>48.76715981412827</v>
      </c>
      <c r="AW97" s="21">
        <f>EXP(-LN(2)/2)*AW96+(1-EXP(-LN(2)/2))/(LN(2)/2)*AQ97*AT97*VLOOKUP('Données projet'!$B$10,Paramètres!$A$1:$I$89,3,0)*0.475*44/12</f>
        <v>0.61409289975254233</v>
      </c>
      <c r="AX97" s="21">
        <f t="shared" si="60"/>
        <v>205.98026064601385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7.7249999999999996</v>
      </c>
      <c r="BD97" s="12">
        <f>IF('Données projet'!$A$88&gt;35,BD96+BC97-BL96,IF(A97&lt;'Données projet'!$A$88,$BA$205^A97,IF(A97='Données projet'!$A$88,'Données projet'!$B$88,BD96+BC97-BL96)))</f>
        <v>268.18500000000029</v>
      </c>
      <c r="BE97" s="13">
        <f>BD97*VLOOKUP('Données projet'!$B$11,Paramètres!$A$1:$I$89,3,0)*VLOOKUP('Données projet'!$B$11,Paramètres!$A$1:$I$89,5,0)</f>
        <v>242.65378800000025</v>
      </c>
      <c r="BF97" s="13">
        <f t="shared" si="91"/>
        <v>59.010139953692004</v>
      </c>
      <c r="BG97" s="20">
        <f t="shared" si="61"/>
        <v>525.39800785268062</v>
      </c>
      <c r="BH97" s="59">
        <f t="shared" si="62"/>
        <v>818.73134118601388</v>
      </c>
      <c r="BI97" s="59">
        <f ca="1">AVERAGE(OFFSET($BH$3,0,0,'Données projet'!$E$11+1,1))-AVERAGE(OFFSET($H$3,0,0,'Données projet'!$E$11+1,1))</f>
        <v>490.06222615476065</v>
      </c>
      <c r="BJ97" s="59">
        <f t="shared" si="92"/>
        <v>310.43914804089906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24.805195172683895</v>
      </c>
      <c r="BQ97" s="21">
        <f>EXP(-LN(2)/25)*BQ96+(1-EXP(-LN(2)/25))/(LN(2)/25)*Calculateur!BL97*Calculateur!BN97*VLOOKUP('Données projet'!$B$11,Paramètres!$A$1:$I$89,3,0)*0.475*44/12</f>
        <v>24.138110021547909</v>
      </c>
      <c r="BR97" s="21">
        <f>EXP(-LN(2)/2)*BR96+(1-EXP(-LN(2)/2))/(LN(2)/2)*BL97*BO97*VLOOKUP('Données projet'!$B$11,Paramètres!$A$1:$I$89,3,0)*0.475*44/12</f>
        <v>2.7282697039326695</v>
      </c>
      <c r="BS97" s="22">
        <f t="shared" si="63"/>
        <v>51.671574898164472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353.37479213497227</v>
      </c>
      <c r="CE97" s="59">
        <f t="shared" si="94"/>
        <v>345.4750813433123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39.395056046043429</v>
      </c>
      <c r="CL97" s="21">
        <f>EXP(-LN(2)/25)*CL96+(1-EXP(-LN(2)/25))/(LN(2)/25)*Calculateur!CG97*Calculateur!CI97*VLOOKUP('Données projet'!$B$12,Paramètres!$A$1:$I$89,3,0)*0.475*44/12</f>
        <v>34.813008534576241</v>
      </c>
      <c r="CM97" s="21">
        <f>EXP(-LN(2)/2)*CM96+(1-EXP(-LN(2)/2))/(LN(2)/2)*CG97*CJ97*VLOOKUP('Données projet'!$B$12,Paramètres!$A$1:$I$89,3,0)*0.475*44/12</f>
        <v>0.48766657190938395</v>
      </c>
      <c r="CN97" s="22">
        <f t="shared" si="66"/>
        <v>74.695731152529049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7.8379999999999992</v>
      </c>
      <c r="CT97" s="12">
        <f>IF('Données projet'!$A$140&gt;35,CT96+CS97-DB96,IF(A97&lt;'Données projet'!$A$140,$CQ$205^A97,IF(A97='Données projet'!$A$140,'Données projet'!$B$140,CT96+CS97-DB96)))</f>
        <v>389.7819999999993</v>
      </c>
      <c r="CU97" s="17">
        <f>CT97*VLOOKUP('Données projet'!$B$13,Paramètres!$A$1:$I$89,3,0)*VLOOKUP('Données projet'!$B$13,Paramètres!$A$1:$I$89,5,0)</f>
        <v>187.48514199999966</v>
      </c>
      <c r="CV97" s="13">
        <f t="shared" si="95"/>
        <v>46.983523020374619</v>
      </c>
      <c r="CW97" s="20">
        <f t="shared" si="67"/>
        <v>408.36625824381849</v>
      </c>
      <c r="CX97" s="59">
        <f t="shared" si="68"/>
        <v>701.69959157715175</v>
      </c>
      <c r="CY97" s="59">
        <f ca="1">AVERAGE(OFFSET($CX$3,0,0,'Données projet'!$E$13+1,1))-AVERAGE(OFFSET($H$3,0,0,'Données projet'!$E$13+1,1))</f>
        <v>314.18760071409162</v>
      </c>
      <c r="CZ97" s="59">
        <f t="shared" si="96"/>
        <v>267.72650645201787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38.829864045337935</v>
      </c>
      <c r="DG97" s="21">
        <f>EXP(-LN(2)/25)*DG96+(1-EXP(-LN(2)/25))/(LN(2)/25)*Calculateur!DB97*Calculateur!DD97*VLOOKUP('Données projet'!$B$13,Paramètres!$A$1:$I$89,3,0)*0.475*44/12</f>
        <v>12.93839553175928</v>
      </c>
      <c r="DH97" s="21">
        <f>EXP(-LN(2)/2)*DH96+(1-EXP(-LN(2)/2))/(LN(2)/2)*DB97*DE97*VLOOKUP('Données projet'!$B$13,Paramètres!$A$1:$I$89,3,0)*0.475*44/12</f>
        <v>0.90976128038949888</v>
      </c>
      <c r="DI97" s="22">
        <f t="shared" si="69"/>
        <v>52.678020857486707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-1.7053025658242404E-13</v>
      </c>
      <c r="DP97" s="17">
        <f>DO97*VLOOKUP('Données projet'!$B$14,Paramètres!$A$1:$I$89,3,0)*VLOOKUP('Données projet'!$B$14,Paramètres!$A$1:$I$89,5,0)</f>
        <v>-1.4897523215040567E-13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324.86930206492627</v>
      </c>
      <c r="DU97" s="59">
        <f t="shared" si="98"/>
        <v>317.03005098025352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34.918717813052879</v>
      </c>
      <c r="EB97" s="21">
        <f>EXP(-LN(2)/25)*EB96+(1-EXP(-LN(2)/25))/(LN(2)/25)*Calculateur!DW97*Calculateur!DY97*VLOOKUP('Données projet'!$B$14,Paramètres!$A$1:$I$89,3,0)*0.475*44/12</f>
        <v>31.551372913998286</v>
      </c>
      <c r="EC97" s="21">
        <f>EXP(-LN(2)/2)*EC96+(1-EXP(-LN(2)/2))/(LN(2)/2)*DW97*DZ97*VLOOKUP('Données projet'!$B$14,Paramètres!$A$1:$I$89,3,0)*0.475*44/12</f>
        <v>0.44590632046354739</v>
      </c>
      <c r="ED97" s="22">
        <f t="shared" si="72"/>
        <v>66.915997047514722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302.00825291248458</v>
      </c>
      <c r="T98" s="59">
        <f t="shared" si="88"/>
        <v>307.35115839449355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69.434554459732311</v>
      </c>
      <c r="AA98" s="21">
        <f>EXP(-LN(2)/25)*AA97+(1-EXP(-LN(2)/25))/(LN(2)/25)*Calculateur!V98*Calculateur!X98*VLOOKUP('Données projet'!$B$9,Paramètres!$A$1:$I$89,3,0)*0.475*44/12</f>
        <v>18.355523816253005</v>
      </c>
      <c r="AB98" s="21">
        <f>EXP(-LN(2)/2)*AB97+(1-EXP(-LN(2)/2))/(LN(2)/2)*V98*Y98*VLOOKUP('Données projet'!$B$9,Paramètres!$A$1:$I$89,3,0)*0.475*44/12</f>
        <v>3.2347978843782577E-4</v>
      </c>
      <c r="AC98" s="22">
        <f t="shared" si="57"/>
        <v>87.790401755773743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5.0249582272954292E-14</v>
      </c>
      <c r="AK98" s="13">
        <f t="shared" si="89"/>
        <v>8.1784820119191593E-13</v>
      </c>
      <c r="AL98" s="20">
        <f t="shared" si="58"/>
        <v>1.5119369728679821E-12</v>
      </c>
      <c r="AM98" s="59">
        <f t="shared" si="59"/>
        <v>293.33333333333485</v>
      </c>
      <c r="AN98" s="59">
        <f ca="1">AVERAGE(OFFSET($AM$3,0,0,'Données projet'!$E$10+1,1))-AVERAGE(OFFSET($H$3,0,0,'Données projet'!$E$10+1,1))</f>
        <v>394.37446333077651</v>
      </c>
      <c r="AO98" s="59">
        <f t="shared" si="90"/>
        <v>335.44327961212963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153.52819690254734</v>
      </c>
      <c r="AV98" s="21">
        <f>EXP(-LN(2)/25)*AV97+(1-EXP(-LN(2)/25))/(LN(2)/25)*Calculateur!AQ98*Calculateur!AS98*VLOOKUP('Données projet'!$B$10,Paramètres!$A$1:$I$89,3,0)*0.475*44/12</f>
        <v>47.433619264457455</v>
      </c>
      <c r="AW98" s="21">
        <f>EXP(-LN(2)/2)*AW97+(1-EXP(-LN(2)/2))/(LN(2)/2)*AQ98*AT98*VLOOKUP('Données projet'!$B$10,Paramètres!$A$1:$I$89,3,0)*0.475*44/12</f>
        <v>0.43422925369353343</v>
      </c>
      <c r="AX98" s="21">
        <f t="shared" si="60"/>
        <v>201.39604542069833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7.7249999999999996</v>
      </c>
      <c r="BD98" s="12">
        <f>IF('Données projet'!$A$88&gt;35,BD97+BC98-BL97,IF(A98&lt;'Données projet'!$A$88,$BA$205^A98,IF(A98='Données projet'!$A$88,'Données projet'!$B$88,BD97+BC98-BL97)))</f>
        <v>275.91000000000031</v>
      </c>
      <c r="BE98" s="13">
        <f>BD98*VLOOKUP('Données projet'!$B$11,Paramètres!$A$1:$I$89,3,0)*VLOOKUP('Données projet'!$B$11,Paramètres!$A$1:$I$89,5,0)</f>
        <v>249.64336800000024</v>
      </c>
      <c r="BF98" s="13">
        <f t="shared" si="91"/>
        <v>60.5095671334008</v>
      </c>
      <c r="BG98" s="20">
        <f t="shared" si="61"/>
        <v>540.1830286906735</v>
      </c>
      <c r="BH98" s="59">
        <f t="shared" si="62"/>
        <v>833.51636202400687</v>
      </c>
      <c r="BI98" s="59">
        <f ca="1">AVERAGE(OFFSET($BH$3,0,0,'Données projet'!$E$11+1,1))-AVERAGE(OFFSET($H$3,0,0,'Données projet'!$E$11+1,1))</f>
        <v>490.06222615476065</v>
      </c>
      <c r="BJ98" s="59">
        <f t="shared" si="92"/>
        <v>310.43914804089906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24.318780425022688</v>
      </c>
      <c r="BQ98" s="21">
        <f>EXP(-LN(2)/25)*BQ97+(1-EXP(-LN(2)/25))/(LN(2)/25)*Calculateur!BL98*Calculateur!BN98*VLOOKUP('Données projet'!$B$11,Paramètres!$A$1:$I$89,3,0)*0.475*44/12</f>
        <v>23.478052133640645</v>
      </c>
      <c r="BR98" s="21">
        <f>EXP(-LN(2)/2)*BR97+(1-EXP(-LN(2)/2))/(LN(2)/2)*BL98*BO98*VLOOKUP('Données projet'!$B$11,Paramètres!$A$1:$I$89,3,0)*0.475*44/12</f>
        <v>1.929178008556605</v>
      </c>
      <c r="BS98" s="22">
        <f t="shared" si="63"/>
        <v>49.726010567219937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353.37479213497227</v>
      </c>
      <c r="CE98" s="59">
        <f t="shared" si="94"/>
        <v>345.4750813433123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38.62254302559208</v>
      </c>
      <c r="CL98" s="21">
        <f>EXP(-LN(2)/25)*CL97+(1-EXP(-LN(2)/25))/(LN(2)/25)*Calculateur!CG98*Calculateur!CI98*VLOOKUP('Données projet'!$B$12,Paramètres!$A$1:$I$89,3,0)*0.475*44/12</f>
        <v>33.861044985461703</v>
      </c>
      <c r="CM98" s="21">
        <f>EXP(-LN(2)/2)*CM97+(1-EXP(-LN(2)/2))/(LN(2)/2)*CG98*CJ98*VLOOKUP('Données projet'!$B$12,Paramètres!$A$1:$I$89,3,0)*0.475*44/12</f>
        <v>0.34483233995512252</v>
      </c>
      <c r="CN98" s="22">
        <f t="shared" si="66"/>
        <v>72.828420351008901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7.8379999999999992</v>
      </c>
      <c r="CT98" s="12">
        <f>IF('Données projet'!$A$140&gt;35,CT97+CS98-DB97,IF(A98&lt;'Données projet'!$A$140,$CQ$205^A98,IF(A98='Données projet'!$A$140,'Données projet'!$B$140,CT97+CS98-DB97)))</f>
        <v>397.61999999999932</v>
      </c>
      <c r="CU98" s="17">
        <f>CT98*VLOOKUP('Données projet'!$B$13,Paramètres!$A$1:$I$89,3,0)*VLOOKUP('Données projet'!$B$13,Paramètres!$A$1:$I$89,5,0)</f>
        <v>191.2552199999997</v>
      </c>
      <c r="CV98" s="13">
        <f t="shared" si="95"/>
        <v>47.817357731398943</v>
      </c>
      <c r="CW98" s="20">
        <f t="shared" si="67"/>
        <v>416.38473954885262</v>
      </c>
      <c r="CX98" s="59">
        <f t="shared" si="68"/>
        <v>709.71807288218588</v>
      </c>
      <c r="CY98" s="59">
        <f ca="1">AVERAGE(OFFSET($CX$3,0,0,'Données projet'!$E$13+1,1))-AVERAGE(OFFSET($H$3,0,0,'Données projet'!$E$13+1,1))</f>
        <v>314.18760071409162</v>
      </c>
      <c r="CZ98" s="59">
        <f t="shared" si="96"/>
        <v>267.72650645201787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38.068434095287337</v>
      </c>
      <c r="DG98" s="21">
        <f>EXP(-LN(2)/25)*DG97+(1-EXP(-LN(2)/25))/(LN(2)/25)*Calculateur!DB98*Calculateur!DD98*VLOOKUP('Données projet'!$B$13,Paramètres!$A$1:$I$89,3,0)*0.475*44/12</f>
        <v>12.584594425542672</v>
      </c>
      <c r="DH98" s="21">
        <f>EXP(-LN(2)/2)*DH97+(1-EXP(-LN(2)/2))/(LN(2)/2)*DB98*DE98*VLOOKUP('Données projet'!$B$13,Paramètres!$A$1:$I$89,3,0)*0.475*44/12</f>
        <v>0.64329837062437079</v>
      </c>
      <c r="DI98" s="22">
        <f t="shared" si="69"/>
        <v>51.296326891454378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-1.7053025658242404E-13</v>
      </c>
      <c r="DP98" s="17">
        <f>DO98*VLOOKUP('Données projet'!$B$14,Paramètres!$A$1:$I$89,3,0)*VLOOKUP('Données projet'!$B$14,Paramètres!$A$1:$I$89,5,0)</f>
        <v>-1.4897523215040567E-13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324.86930206492627</v>
      </c>
      <c r="DU98" s="59">
        <f t="shared" si="98"/>
        <v>317.03005098025352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34.233983055053741</v>
      </c>
      <c r="EB98" s="21">
        <f>EXP(-LN(2)/25)*EB97+(1-EXP(-LN(2)/25))/(LN(2)/25)*Calculateur!DW98*Calculateur!DY98*VLOOKUP('Données projet'!$B$14,Paramètres!$A$1:$I$89,3,0)*0.475*44/12</f>
        <v>30.688598962450413</v>
      </c>
      <c r="EC98" s="21">
        <f>EXP(-LN(2)/2)*EC97+(1-EXP(-LN(2)/2))/(LN(2)/2)*DW98*DZ98*VLOOKUP('Données projet'!$B$14,Paramètres!$A$1:$I$89,3,0)*0.475*44/12</f>
        <v>0.31530338297371618</v>
      </c>
      <c r="ED98" s="22">
        <f t="shared" si="72"/>
        <v>65.237885400477865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302.00825291248458</v>
      </c>
      <c r="T99" s="59">
        <f t="shared" si="88"/>
        <v>307.35115839449355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68.072985197673376</v>
      </c>
      <c r="AA99" s="21">
        <f>EXP(-LN(2)/25)*AA98+(1-EXP(-LN(2)/25))/(LN(2)/25)*Calculateur!V99*Calculateur!X99*VLOOKUP('Données projet'!$B$9,Paramètres!$A$1:$I$89,3,0)*0.475*44/12</f>
        <v>17.853591052222519</v>
      </c>
      <c r="AB99" s="21">
        <f>EXP(-LN(2)/2)*AB98+(1-EXP(-LN(2)/2))/(LN(2)/2)*V99*Y99*VLOOKUP('Données projet'!$B$9,Paramètres!$A$1:$I$89,3,0)*0.475*44/12</f>
        <v>2.2873475198117635E-4</v>
      </c>
      <c r="AC99" s="22">
        <f t="shared" si="57"/>
        <v>85.926804984647887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5.0249582272954292E-14</v>
      </c>
      <c r="AK99" s="13">
        <f t="shared" si="89"/>
        <v>8.1784820119191593E-13</v>
      </c>
      <c r="AL99" s="20">
        <f t="shared" si="58"/>
        <v>1.5119369728679821E-12</v>
      </c>
      <c r="AM99" s="59">
        <f t="shared" si="59"/>
        <v>293.33333333333485</v>
      </c>
      <c r="AN99" s="59">
        <f ca="1">AVERAGE(OFFSET($AM$3,0,0,'Données projet'!$E$10+1,1))-AVERAGE(OFFSET($H$3,0,0,'Données projet'!$E$10+1,1))</f>
        <v>394.37446333077651</v>
      </c>
      <c r="AO99" s="59">
        <f t="shared" si="90"/>
        <v>335.44327961212963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150.51760260424203</v>
      </c>
      <c r="AV99" s="21">
        <f>EXP(-LN(2)/25)*AV98+(1-EXP(-LN(2)/25))/(LN(2)/25)*Calculateur!AQ99*Calculateur!AS99*VLOOKUP('Données projet'!$B$10,Paramètres!$A$1:$I$89,3,0)*0.475*44/12</f>
        <v>46.136544451245243</v>
      </c>
      <c r="AW99" s="21">
        <f>EXP(-LN(2)/2)*AW98+(1-EXP(-LN(2)/2))/(LN(2)/2)*AQ99*AT99*VLOOKUP('Données projet'!$B$10,Paramètres!$A$1:$I$89,3,0)*0.475*44/12</f>
        <v>0.30704644987627122</v>
      </c>
      <c r="AX99" s="21">
        <f t="shared" si="60"/>
        <v>196.96119350536355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7.7249999999999996</v>
      </c>
      <c r="BD99" s="12">
        <f>IF('Données projet'!$A$88&gt;35,BD98+BC99-BL98,IF(A99&lt;'Données projet'!$A$88,$BA$205^A99,IF(A99='Données projet'!$A$88,'Données projet'!$B$88,BD98+BC99-BL98)))</f>
        <v>283.63500000000033</v>
      </c>
      <c r="BE99" s="13">
        <f>BD99*VLOOKUP('Données projet'!$B$11,Paramètres!$A$1:$I$89,3,0)*VLOOKUP('Données projet'!$B$11,Paramètres!$A$1:$I$89,5,0)</f>
        <v>256.63294800000028</v>
      </c>
      <c r="BF99" s="13">
        <f t="shared" si="91"/>
        <v>62.00411496417383</v>
      </c>
      <c r="BG99" s="20">
        <f t="shared" si="61"/>
        <v>554.95955132926986</v>
      </c>
      <c r="BH99" s="59">
        <f t="shared" si="62"/>
        <v>848.29288466260323</v>
      </c>
      <c r="BI99" s="59">
        <f ca="1">AVERAGE(OFFSET($BH$3,0,0,'Données projet'!$E$11+1,1))-AVERAGE(OFFSET($H$3,0,0,'Données projet'!$E$11+1,1))</f>
        <v>490.06222615476065</v>
      </c>
      <c r="BJ99" s="59">
        <f t="shared" si="92"/>
        <v>310.43914804089906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23.841903973879415</v>
      </c>
      <c r="BQ99" s="21">
        <f>EXP(-LN(2)/25)*BQ98+(1-EXP(-LN(2)/25))/(LN(2)/25)*Calculateur!BL99*Calculateur!BN99*VLOOKUP('Données projet'!$B$11,Paramètres!$A$1:$I$89,3,0)*0.475*44/12</f>
        <v>22.83604356338914</v>
      </c>
      <c r="BR99" s="21">
        <f>EXP(-LN(2)/2)*BR98+(1-EXP(-LN(2)/2))/(LN(2)/2)*BL99*BO99*VLOOKUP('Données projet'!$B$11,Paramètres!$A$1:$I$89,3,0)*0.475*44/12</f>
        <v>1.364134851966335</v>
      </c>
      <c r="BS99" s="22">
        <f t="shared" si="63"/>
        <v>48.042082389234885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353.37479213497227</v>
      </c>
      <c r="CE99" s="59">
        <f t="shared" si="94"/>
        <v>345.4750813433123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37.865178514285361</v>
      </c>
      <c r="CL99" s="21">
        <f>EXP(-LN(2)/25)*CL98+(1-EXP(-LN(2)/25))/(LN(2)/25)*Calculateur!CG99*Calculateur!CI99*VLOOKUP('Données projet'!$B$12,Paramètres!$A$1:$I$89,3,0)*0.475*44/12</f>
        <v>32.93511292965929</v>
      </c>
      <c r="CM99" s="21">
        <f>EXP(-LN(2)/2)*CM98+(1-EXP(-LN(2)/2))/(LN(2)/2)*CG99*CJ99*VLOOKUP('Données projet'!$B$12,Paramètres!$A$1:$I$89,3,0)*0.475*44/12</f>
        <v>0.243833285954692</v>
      </c>
      <c r="CN99" s="22">
        <f t="shared" si="66"/>
        <v>71.044124729899337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7.8379999999999992</v>
      </c>
      <c r="CT99" s="12">
        <f>IF('Données projet'!$A$140&gt;35,CT98+CS99-DB98,IF(A99&lt;'Données projet'!$A$140,$CQ$205^A99,IF(A99='Données projet'!$A$140,'Données projet'!$B$140,CT98+CS99-DB98)))</f>
        <v>405.45799999999934</v>
      </c>
      <c r="CU99" s="17">
        <f>CT99*VLOOKUP('Données projet'!$B$13,Paramètres!$A$1:$I$89,3,0)*VLOOKUP('Données projet'!$B$13,Paramètres!$A$1:$I$89,5,0)</f>
        <v>195.02529799999968</v>
      </c>
      <c r="CV99" s="13">
        <f t="shared" si="95"/>
        <v>48.649281262520994</v>
      </c>
      <c r="CW99" s="20">
        <f t="shared" si="67"/>
        <v>424.3998922155568</v>
      </c>
      <c r="CX99" s="59">
        <f t="shared" si="68"/>
        <v>717.73322554889012</v>
      </c>
      <c r="CY99" s="59">
        <f ca="1">AVERAGE(OFFSET($CX$3,0,0,'Données projet'!$E$13+1,1))-AVERAGE(OFFSET($H$3,0,0,'Données projet'!$E$13+1,1))</f>
        <v>314.18760071409162</v>
      </c>
      <c r="CZ99" s="59">
        <f t="shared" si="96"/>
        <v>267.72650645201787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37.32193532213082</v>
      </c>
      <c r="DG99" s="21">
        <f>EXP(-LN(2)/25)*DG98+(1-EXP(-LN(2)/25))/(LN(2)/25)*Calculateur!DB99*Calculateur!DD99*VLOOKUP('Données projet'!$B$13,Paramètres!$A$1:$I$89,3,0)*0.475*44/12</f>
        <v>12.24046802918115</v>
      </c>
      <c r="DH99" s="21">
        <f>EXP(-LN(2)/2)*DH98+(1-EXP(-LN(2)/2))/(LN(2)/2)*DB99*DE99*VLOOKUP('Données projet'!$B$13,Paramètres!$A$1:$I$89,3,0)*0.475*44/12</f>
        <v>0.45488064019474955</v>
      </c>
      <c r="DI99" s="22">
        <f t="shared" si="69"/>
        <v>50.017283991506723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-1.7053025658242404E-13</v>
      </c>
      <c r="DP99" s="17">
        <f>DO99*VLOOKUP('Données projet'!$B$14,Paramètres!$A$1:$I$89,3,0)*VLOOKUP('Données projet'!$B$14,Paramètres!$A$1:$I$89,5,0)</f>
        <v>-1.4897523215040567E-13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324.86930206492627</v>
      </c>
      <c r="DU99" s="59">
        <f t="shared" si="98"/>
        <v>317.03005098025352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33.562675528012008</v>
      </c>
      <c r="EB99" s="21">
        <f>EXP(-LN(2)/25)*EB98+(1-EXP(-LN(2)/25))/(LN(2)/25)*Calculateur!DW99*Calculateur!DY99*VLOOKUP('Données projet'!$B$14,Paramètres!$A$1:$I$89,3,0)*0.475*44/12</f>
        <v>29.849417609978929</v>
      </c>
      <c r="EC99" s="21">
        <f>EXP(-LN(2)/2)*EC98+(1-EXP(-LN(2)/2))/(LN(2)/2)*DW99*DZ99*VLOOKUP('Données projet'!$B$14,Paramètres!$A$1:$I$89,3,0)*0.475*44/12</f>
        <v>0.22295316023177375</v>
      </c>
      <c r="ED99" s="22">
        <f t="shared" si="72"/>
        <v>63.635046298222711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302.00825291248458</v>
      </c>
      <c r="T100" s="59">
        <f t="shared" si="88"/>
        <v>307.35115839449355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66.738115478368172</v>
      </c>
      <c r="AA100" s="21">
        <f>EXP(-LN(2)/25)*AA99+(1-EXP(-LN(2)/25))/(LN(2)/25)*Calculateur!V100*Calculateur!X100*VLOOKUP('Données projet'!$B$9,Paramètres!$A$1:$I$89,3,0)*0.475*44/12</f>
        <v>17.365383666019945</v>
      </c>
      <c r="AB100" s="21">
        <f>EXP(-LN(2)/2)*AB99+(1-EXP(-LN(2)/2))/(LN(2)/2)*V100*Y100*VLOOKUP('Données projet'!$B$9,Paramètres!$A$1:$I$89,3,0)*0.475*44/12</f>
        <v>1.6173989421891288E-4</v>
      </c>
      <c r="AC100" s="22">
        <f t="shared" si="57"/>
        <v>84.103660884282334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5.0249582272954292E-14</v>
      </c>
      <c r="AK100" s="13">
        <f t="shared" si="89"/>
        <v>8.1784820119191593E-13</v>
      </c>
      <c r="AL100" s="20">
        <f t="shared" si="58"/>
        <v>1.5119369728679821E-12</v>
      </c>
      <c r="AM100" s="59">
        <f t="shared" si="59"/>
        <v>293.33333333333485</v>
      </c>
      <c r="AN100" s="59">
        <f ca="1">AVERAGE(OFFSET($AM$3,0,0,'Données projet'!$E$10+1,1))-AVERAGE(OFFSET($H$3,0,0,'Données projet'!$E$10+1,1))</f>
        <v>394.37446333077651</v>
      </c>
      <c r="AO100" s="59">
        <f t="shared" si="90"/>
        <v>335.44327961212963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147.56604422384527</v>
      </c>
      <c r="AV100" s="21">
        <f>EXP(-LN(2)/25)*AV99+(1-EXP(-LN(2)/25))/(LN(2)/25)*Calculateur!AQ100*Calculateur!AS100*VLOOKUP('Données projet'!$B$10,Paramètres!$A$1:$I$89,3,0)*0.475*44/12</f>
        <v>44.874938217010516</v>
      </c>
      <c r="AW100" s="21">
        <f>EXP(-LN(2)/2)*AW99+(1-EXP(-LN(2)/2))/(LN(2)/2)*AQ100*AT100*VLOOKUP('Données projet'!$B$10,Paramètres!$A$1:$I$89,3,0)*0.475*44/12</f>
        <v>0.21711462684676677</v>
      </c>
      <c r="AX100" s="21">
        <f t="shared" si="60"/>
        <v>192.65809706770256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7.7249999999999996</v>
      </c>
      <c r="BD100" s="12">
        <f>IF('Données projet'!$A$88&gt;35,BD99+BC100-BL99,IF(A100&lt;'Données projet'!$A$88,$BA$205^A100,IF(A100='Données projet'!$A$88,'Données projet'!$B$88,BD99+BC100-BL99)))</f>
        <v>291.36000000000035</v>
      </c>
      <c r="BE100" s="13">
        <f>BD100*VLOOKUP('Données projet'!$B$11,Paramètres!$A$1:$I$89,3,0)*VLOOKUP('Données projet'!$B$11,Paramètres!$A$1:$I$89,5,0)</f>
        <v>263.62252800000033</v>
      </c>
      <c r="BF100" s="13">
        <f t="shared" si="91"/>
        <v>63.493931609397407</v>
      </c>
      <c r="BG100" s="20">
        <f t="shared" si="61"/>
        <v>569.727833819701</v>
      </c>
      <c r="BH100" s="59">
        <f t="shared" si="62"/>
        <v>863.06116715303438</v>
      </c>
      <c r="BI100" s="59">
        <f ca="1">AVERAGE(OFFSET($BH$3,0,0,'Données projet'!$E$11+1,1))-AVERAGE(OFFSET($H$3,0,0,'Données projet'!$E$11+1,1))</f>
        <v>490.06222615476065</v>
      </c>
      <c r="BJ100" s="59">
        <f t="shared" si="92"/>
        <v>310.43914804089906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23.374378779077148</v>
      </c>
      <c r="BQ100" s="21">
        <f>EXP(-LN(2)/25)*BQ99+(1-EXP(-LN(2)/25))/(LN(2)/25)*Calculateur!BL100*Calculateur!BN100*VLOOKUP('Données projet'!$B$11,Paramètres!$A$1:$I$89,3,0)*0.475*44/12</f>
        <v>22.211590751252924</v>
      </c>
      <c r="BR100" s="21">
        <f>EXP(-LN(2)/2)*BR99+(1-EXP(-LN(2)/2))/(LN(2)/2)*BL100*BO100*VLOOKUP('Données projet'!$B$11,Paramètres!$A$1:$I$89,3,0)*0.475*44/12</f>
        <v>0.96458900427830274</v>
      </c>
      <c r="BS100" s="22">
        <f t="shared" si="63"/>
        <v>46.550558534608378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353.37479213497227</v>
      </c>
      <c r="CE100" s="59">
        <f t="shared" si="94"/>
        <v>345.4750813433123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37.122665459098627</v>
      </c>
      <c r="CL100" s="21">
        <f>EXP(-LN(2)/25)*CL99+(1-EXP(-LN(2)/25))/(LN(2)/25)*Calculateur!CG100*Calculateur!CI100*VLOOKUP('Données projet'!$B$12,Paramètres!$A$1:$I$89,3,0)*0.475*44/12</f>
        <v>32.034500534615439</v>
      </c>
      <c r="CM100" s="21">
        <f>EXP(-LN(2)/2)*CM99+(1-EXP(-LN(2)/2))/(LN(2)/2)*CG100*CJ100*VLOOKUP('Données projet'!$B$12,Paramètres!$A$1:$I$89,3,0)*0.475*44/12</f>
        <v>0.17241616997756129</v>
      </c>
      <c r="CN100" s="22">
        <f t="shared" si="66"/>
        <v>69.32958216369164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7.8379999999999992</v>
      </c>
      <c r="CT100" s="12">
        <f>IF('Données projet'!$A$140&gt;35,CT99+CS100-DB99,IF(A100&lt;'Données projet'!$A$140,$CQ$205^A100,IF(A100='Données projet'!$A$140,'Données projet'!$B$140,CT99+CS100-DB99)))</f>
        <v>413.29599999999937</v>
      </c>
      <c r="CU100" s="17">
        <f>CT100*VLOOKUP('Données projet'!$B$13,Paramètres!$A$1:$I$89,3,0)*VLOOKUP('Données projet'!$B$13,Paramètres!$A$1:$I$89,5,0)</f>
        <v>198.79537599999969</v>
      </c>
      <c r="CV100" s="13">
        <f t="shared" si="95"/>
        <v>49.479334818448457</v>
      </c>
      <c r="CW100" s="20">
        <f t="shared" si="67"/>
        <v>432.41178800879715</v>
      </c>
      <c r="CX100" s="59">
        <f t="shared" si="68"/>
        <v>725.74512134213046</v>
      </c>
      <c r="CY100" s="59">
        <f ca="1">AVERAGE(OFFSET($CX$3,0,0,'Données projet'!$E$13+1,1))-AVERAGE(OFFSET($H$3,0,0,'Données projet'!$E$13+1,1))</f>
        <v>314.18760071409162</v>
      </c>
      <c r="CZ100" s="59">
        <f t="shared" si="96"/>
        <v>267.72650645201787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36.590074934596608</v>
      </c>
      <c r="DG100" s="21">
        <f>EXP(-LN(2)/25)*DG99+(1-EXP(-LN(2)/25))/(LN(2)/25)*Calculateur!DB100*Calculateur!DD100*VLOOKUP('Données projet'!$B$13,Paramètres!$A$1:$I$89,3,0)*0.475*44/12</f>
        <v>11.905751787224954</v>
      </c>
      <c r="DH100" s="21">
        <f>EXP(-LN(2)/2)*DH99+(1-EXP(-LN(2)/2))/(LN(2)/2)*DB100*DE100*VLOOKUP('Données projet'!$B$13,Paramètres!$A$1:$I$89,3,0)*0.475*44/12</f>
        <v>0.32164918531218545</v>
      </c>
      <c r="DI100" s="22">
        <f t="shared" si="69"/>
        <v>48.817475907133741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-1.7053025658242404E-13</v>
      </c>
      <c r="DP100" s="17">
        <f>DO100*VLOOKUP('Données projet'!$B$14,Paramètres!$A$1:$I$89,3,0)*VLOOKUP('Données projet'!$B$14,Paramètres!$A$1:$I$89,5,0)</f>
        <v>-1.4897523215040567E-13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324.86930206492627</v>
      </c>
      <c r="DU100" s="59">
        <f t="shared" si="98"/>
        <v>317.03005098025352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32.904531932118402</v>
      </c>
      <c r="EB100" s="21">
        <f>EXP(-LN(2)/25)*EB99+(1-EXP(-LN(2)/25))/(LN(2)/25)*Calculateur!DW100*Calculateur!DY100*VLOOKUP('Données projet'!$B$14,Paramètres!$A$1:$I$89,3,0)*0.475*44/12</f>
        <v>29.033183715721403</v>
      </c>
      <c r="EC100" s="21">
        <f>EXP(-LN(2)/2)*EC99+(1-EXP(-LN(2)/2))/(LN(2)/2)*DW100*DZ100*VLOOKUP('Données projet'!$B$14,Paramètres!$A$1:$I$89,3,0)*0.475*44/12</f>
        <v>0.15765169148685812</v>
      </c>
      <c r="ED100" s="22">
        <f t="shared" si="72"/>
        <v>62.095367339326664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302.00825291248458</v>
      </c>
      <c r="T101" s="59">
        <f t="shared" si="88"/>
        <v>307.35115839449355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65.429421740068406</v>
      </c>
      <c r="AA101" s="21">
        <f>EXP(-LN(2)/25)*AA100+(1-EXP(-LN(2)/25))/(LN(2)/25)*Calculateur!V101*Calculateur!X101*VLOOKUP('Données projet'!$B$9,Paramètres!$A$1:$I$89,3,0)*0.475*44/12</f>
        <v>16.890526336466792</v>
      </c>
      <c r="AB101" s="21">
        <f>EXP(-LN(2)/2)*AB100+(1-EXP(-LN(2)/2))/(LN(2)/2)*V101*Y101*VLOOKUP('Données projet'!$B$9,Paramètres!$A$1:$I$89,3,0)*0.475*44/12</f>
        <v>1.1436737599058818E-4</v>
      </c>
      <c r="AC101" s="22">
        <f t="shared" si="57"/>
        <v>82.320062443911183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5.0249582272954292E-14</v>
      </c>
      <c r="AK101" s="13">
        <f t="shared" si="89"/>
        <v>8.1784820119191593E-13</v>
      </c>
      <c r="AL101" s="20">
        <f t="shared" si="58"/>
        <v>1.5119369728679821E-12</v>
      </c>
      <c r="AM101" s="59">
        <f t="shared" si="59"/>
        <v>293.33333333333485</v>
      </c>
      <c r="AN101" s="59">
        <f ca="1">AVERAGE(OFFSET($AM$3,0,0,'Données projet'!$E$10+1,1))-AVERAGE(OFFSET($H$3,0,0,'Données projet'!$E$10+1,1))</f>
        <v>394.37446333077651</v>
      </c>
      <c r="AO101" s="59">
        <f t="shared" si="90"/>
        <v>335.44327961212963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144.67236410301524</v>
      </c>
      <c r="AV101" s="21">
        <f>EXP(-LN(2)/25)*AV100+(1-EXP(-LN(2)/25))/(LN(2)/25)*Calculateur!AQ101*Calculateur!AS101*VLOOKUP('Données projet'!$B$10,Paramètres!$A$1:$I$89,3,0)*0.475*44/12</f>
        <v>43.647830671595926</v>
      </c>
      <c r="AW101" s="21">
        <f>EXP(-LN(2)/2)*AW100+(1-EXP(-LN(2)/2))/(LN(2)/2)*AQ101*AT101*VLOOKUP('Données projet'!$B$10,Paramètres!$A$1:$I$89,3,0)*0.475*44/12</f>
        <v>0.15352322493813564</v>
      </c>
      <c r="AX101" s="21">
        <f t="shared" si="60"/>
        <v>188.47371799954931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7.7249999999999996</v>
      </c>
      <c r="BD101" s="12">
        <f>IF('Données projet'!$A$88&gt;35,BD100+BC101-BL100,IF(A101&lt;'Données projet'!$A$88,$BA$205^A101,IF(A101='Données projet'!$A$88,'Données projet'!$B$88,BD100+BC101-BL100)))</f>
        <v>299.08500000000038</v>
      </c>
      <c r="BE101" s="13">
        <f>BD101*VLOOKUP('Données projet'!$B$11,Paramètres!$A$1:$I$89,3,0)*VLOOKUP('Données projet'!$B$11,Paramètres!$A$1:$I$89,5,0)</f>
        <v>270.61210800000032</v>
      </c>
      <c r="BF101" s="13">
        <f t="shared" si="91"/>
        <v>64.979156928389983</v>
      </c>
      <c r="BG101" s="20">
        <f t="shared" si="61"/>
        <v>584.48811975027968</v>
      </c>
      <c r="BH101" s="59">
        <f t="shared" si="62"/>
        <v>877.82145308361305</v>
      </c>
      <c r="BI101" s="59">
        <f ca="1">AVERAGE(OFFSET($BH$3,0,0,'Données projet'!$E$11+1,1))-AVERAGE(OFFSET($H$3,0,0,'Données projet'!$E$11+1,1))</f>
        <v>490.06222615476065</v>
      </c>
      <c r="BJ101" s="59">
        <f t="shared" si="92"/>
        <v>310.43914804089906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22.916021468182741</v>
      </c>
      <c r="BQ101" s="21">
        <f>EXP(-LN(2)/25)*BQ100+(1-EXP(-LN(2)/25))/(LN(2)/25)*Calculateur!BL101*Calculateur!BN101*VLOOKUP('Données projet'!$B$11,Paramètres!$A$1:$I$89,3,0)*0.475*44/12</f>
        <v>21.604213634103122</v>
      </c>
      <c r="BR101" s="21">
        <f>EXP(-LN(2)/2)*BR100+(1-EXP(-LN(2)/2))/(LN(2)/2)*BL101*BO101*VLOOKUP('Données projet'!$B$11,Paramètres!$A$1:$I$89,3,0)*0.475*44/12</f>
        <v>0.68206742598316761</v>
      </c>
      <c r="BS101" s="22">
        <f t="shared" si="63"/>
        <v>45.202302528269037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353.37479213497227</v>
      </c>
      <c r="CE101" s="59">
        <f t="shared" si="94"/>
        <v>345.4750813433123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36.394712632035862</v>
      </c>
      <c r="CL101" s="21">
        <f>EXP(-LN(2)/25)*CL100+(1-EXP(-LN(2)/25))/(LN(2)/25)*Calculateur!CG101*Calculateur!CI101*VLOOKUP('Données projet'!$B$12,Paramètres!$A$1:$I$89,3,0)*0.475*44/12</f>
        <v>31.158515432875213</v>
      </c>
      <c r="CM101" s="21">
        <f>EXP(-LN(2)/2)*CM100+(1-EXP(-LN(2)/2))/(LN(2)/2)*CG101*CJ101*VLOOKUP('Données projet'!$B$12,Paramètres!$A$1:$I$89,3,0)*0.475*44/12</f>
        <v>0.12191664297734603</v>
      </c>
      <c r="CN101" s="22">
        <f t="shared" si="66"/>
        <v>67.675144707888421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7.8379999999999992</v>
      </c>
      <c r="CT101" s="12">
        <f>IF('Données projet'!$A$140&gt;35,CT100+CS101-DB100,IF(A101&lt;'Données projet'!$A$140,$CQ$205^A101,IF(A101='Données projet'!$A$140,'Données projet'!$B$140,CT100+CS101-DB100)))</f>
        <v>421.13399999999939</v>
      </c>
      <c r="CU101" s="17">
        <f>CT101*VLOOKUP('Données projet'!$B$13,Paramètres!$A$1:$I$89,3,0)*VLOOKUP('Données projet'!$B$13,Paramètres!$A$1:$I$89,5,0)</f>
        <v>202.5654539999997</v>
      </c>
      <c r="CV101" s="13">
        <f t="shared" si="95"/>
        <v>50.30755795159476</v>
      </c>
      <c r="CW101" s="20">
        <f t="shared" si="67"/>
        <v>440.42049581569364</v>
      </c>
      <c r="CX101" s="59">
        <f t="shared" si="68"/>
        <v>733.75382914902696</v>
      </c>
      <c r="CY101" s="59">
        <f ca="1">AVERAGE(OFFSET($CX$3,0,0,'Données projet'!$E$13+1,1))-AVERAGE(OFFSET($H$3,0,0,'Données projet'!$E$13+1,1))</f>
        <v>314.18760071409162</v>
      </c>
      <c r="CZ101" s="59">
        <f t="shared" si="96"/>
        <v>267.72650645201787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35.872565882871186</v>
      </c>
      <c r="DG101" s="21">
        <f>EXP(-LN(2)/25)*DG100+(1-EXP(-LN(2)/25))/(LN(2)/25)*Calculateur!DB101*Calculateur!DD101*VLOOKUP('Données projet'!$B$13,Paramètres!$A$1:$I$89,3,0)*0.475*44/12</f>
        <v>11.580188378507012</v>
      </c>
      <c r="DH101" s="21">
        <f>EXP(-LN(2)/2)*DH100+(1-EXP(-LN(2)/2))/(LN(2)/2)*DB101*DE101*VLOOKUP('Données projet'!$B$13,Paramètres!$A$1:$I$89,3,0)*0.475*44/12</f>
        <v>0.2274403200973748</v>
      </c>
      <c r="DI101" s="22">
        <f t="shared" si="69"/>
        <v>47.680194581475568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-1.7053025658242404E-13</v>
      </c>
      <c r="DP101" s="17">
        <f>DO101*VLOOKUP('Données projet'!$B$14,Paramètres!$A$1:$I$89,3,0)*VLOOKUP('Données projet'!$B$14,Paramètres!$A$1:$I$89,5,0)</f>
        <v>-1.4897523215040567E-13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324.86930206492627</v>
      </c>
      <c r="DU101" s="59">
        <f t="shared" si="98"/>
        <v>317.03005098025352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32.259294130712313</v>
      </c>
      <c r="EB101" s="21">
        <f>EXP(-LN(2)/25)*EB100+(1-EXP(-LN(2)/25))/(LN(2)/25)*Calculateur!DW101*Calculateur!DY101*VLOOKUP('Données projet'!$B$14,Paramètres!$A$1:$I$89,3,0)*0.475*44/12</f>
        <v>28.239269780226227</v>
      </c>
      <c r="EC101" s="21">
        <f>EXP(-LN(2)/2)*EC100+(1-EXP(-LN(2)/2))/(LN(2)/2)*DW101*DZ101*VLOOKUP('Données projet'!$B$14,Paramètres!$A$1:$I$89,3,0)*0.475*44/12</f>
        <v>0.11147658011588689</v>
      </c>
      <c r="ED101" s="22">
        <f t="shared" si="72"/>
        <v>60.610040491054427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302.00825291248458</v>
      </c>
      <c r="T102" s="59">
        <f t="shared" si="88"/>
        <v>307.35115839449355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64.146390687752344</v>
      </c>
      <c r="AA102" s="21">
        <f>EXP(-LN(2)/25)*AA101+(1-EXP(-LN(2)/25))/(LN(2)/25)*Calculateur!V102*Calculateur!X102*VLOOKUP('Données projet'!$B$9,Paramètres!$A$1:$I$89,3,0)*0.475*44/12</f>
        <v>16.428654005561931</v>
      </c>
      <c r="AB102" s="21">
        <f>EXP(-LN(2)/2)*AB101+(1-EXP(-LN(2)/2))/(LN(2)/2)*V102*Y102*VLOOKUP('Données projet'!$B$9,Paramètres!$A$1:$I$89,3,0)*0.475*44/12</f>
        <v>8.0869947109456442E-5</v>
      </c>
      <c r="AC102" s="22">
        <f t="shared" si="57"/>
        <v>80.575125563261395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5.0249582272954292E-14</v>
      </c>
      <c r="AK102" s="13">
        <f t="shared" si="89"/>
        <v>8.1784820119191593E-13</v>
      </c>
      <c r="AL102" s="20">
        <f t="shared" si="58"/>
        <v>1.5119369728679821E-12</v>
      </c>
      <c r="AM102" s="59">
        <f t="shared" si="59"/>
        <v>293.33333333333485</v>
      </c>
      <c r="AN102" s="59">
        <f ca="1">AVERAGE(OFFSET($AM$3,0,0,'Données projet'!$E$10+1,1))-AVERAGE(OFFSET($H$3,0,0,'Données projet'!$E$10+1,1))</f>
        <v>394.37446333077651</v>
      </c>
      <c r="AO102" s="59">
        <f t="shared" si="90"/>
        <v>335.44327961212963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141.83542728438411</v>
      </c>
      <c r="AV102" s="21">
        <f>EXP(-LN(2)/25)*AV101+(1-EXP(-LN(2)/25))/(LN(2)/25)*Calculateur!AQ102*Calculateur!AS102*VLOOKUP('Données projet'!$B$10,Paramètres!$A$1:$I$89,3,0)*0.475*44/12</f>
        <v>42.45427844654148</v>
      </c>
      <c r="AW102" s="21">
        <f>EXP(-LN(2)/2)*AW101+(1-EXP(-LN(2)/2))/(LN(2)/2)*AQ102*AT102*VLOOKUP('Données projet'!$B$10,Paramètres!$A$1:$I$89,3,0)*0.475*44/12</f>
        <v>0.1085573134233834</v>
      </c>
      <c r="AX102" s="21">
        <f t="shared" si="60"/>
        <v>184.39826304434897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7.7249999999999996</v>
      </c>
      <c r="BD102" s="12">
        <f>IF('Données projet'!$A$88&gt;35,BD101+BC102-BL101,IF(A102&lt;'Données projet'!$A$88,$BA$205^A102,IF(A102='Données projet'!$A$88,'Données projet'!$B$88,BD101+BC102-BL101)))</f>
        <v>306.8100000000004</v>
      </c>
      <c r="BE102" s="13">
        <f>BD102*VLOOKUP('Données projet'!$B$11,Paramètres!$A$1:$I$89,3,0)*VLOOKUP('Données projet'!$B$11,Paramètres!$A$1:$I$89,5,0)</f>
        <v>277.60168800000031</v>
      </c>
      <c r="BF102" s="13">
        <f t="shared" si="91"/>
        <v>66.459923144116161</v>
      </c>
      <c r="BG102" s="20">
        <f t="shared" si="61"/>
        <v>599.24063940933604</v>
      </c>
      <c r="BH102" s="59">
        <f t="shared" si="62"/>
        <v>892.57397274266941</v>
      </c>
      <c r="BI102" s="59">
        <f ca="1">AVERAGE(OFFSET($BH$3,0,0,'Données projet'!$E$11+1,1))-AVERAGE(OFFSET($H$3,0,0,'Données projet'!$E$11+1,1))</f>
        <v>490.06222615476065</v>
      </c>
      <c r="BJ102" s="59">
        <f t="shared" si="92"/>
        <v>310.43914804089906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22.466652264584621</v>
      </c>
      <c r="BQ102" s="21">
        <f>EXP(-LN(2)/25)*BQ101+(1-EXP(-LN(2)/25))/(LN(2)/25)*Calculateur!BL102*Calculateur!BN102*VLOOKUP('Données projet'!$B$11,Paramètres!$A$1:$I$89,3,0)*0.475*44/12</f>
        <v>21.013445276162354</v>
      </c>
      <c r="BR102" s="21">
        <f>EXP(-LN(2)/2)*BR101+(1-EXP(-LN(2)/2))/(LN(2)/2)*BL102*BO102*VLOOKUP('Données projet'!$B$11,Paramètres!$A$1:$I$89,3,0)*0.475*44/12</f>
        <v>0.48229450213915143</v>
      </c>
      <c r="BS102" s="22">
        <f t="shared" si="63"/>
        <v>43.96239204288613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353.37479213497227</v>
      </c>
      <c r="CE102" s="59">
        <f t="shared" si="94"/>
        <v>345.4750813433123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35.681034515904415</v>
      </c>
      <c r="CL102" s="21">
        <f>EXP(-LN(2)/25)*CL101+(1-EXP(-LN(2)/25))/(LN(2)/25)*Calculateur!CG102*Calculateur!CI102*VLOOKUP('Données projet'!$B$12,Paramètres!$A$1:$I$89,3,0)*0.475*44/12</f>
        <v>30.306484189808128</v>
      </c>
      <c r="CM102" s="21">
        <f>EXP(-LN(2)/2)*CM101+(1-EXP(-LN(2)/2))/(LN(2)/2)*CG102*CJ102*VLOOKUP('Données projet'!$B$12,Paramètres!$A$1:$I$89,3,0)*0.475*44/12</f>
        <v>8.6208084988780659E-2</v>
      </c>
      <c r="CN102" s="22">
        <f t="shared" si="66"/>
        <v>66.073726790701329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7.8379999999999992</v>
      </c>
      <c r="CT102" s="12">
        <f>IF('Données projet'!$A$140&gt;35,CT101+CS102-DB101,IF(A102&lt;'Données projet'!$A$140,$CQ$205^A102,IF(A102='Données projet'!$A$140,'Données projet'!$B$140,CT101+CS102-DB101)))</f>
        <v>428.97199999999941</v>
      </c>
      <c r="CU102" s="17">
        <f>CT102*VLOOKUP('Données projet'!$B$13,Paramètres!$A$1:$I$89,3,0)*VLOOKUP('Données projet'!$B$13,Paramètres!$A$1:$I$89,5,0)</f>
        <v>206.33553199999972</v>
      </c>
      <c r="CV102" s="13">
        <f t="shared" si="95"/>
        <v>51.133988657832766</v>
      </c>
      <c r="CW102" s="20">
        <f t="shared" si="67"/>
        <v>448.4260818123916</v>
      </c>
      <c r="CX102" s="59">
        <f t="shared" si="68"/>
        <v>741.75941514572492</v>
      </c>
      <c r="CY102" s="59">
        <f ca="1">AVERAGE(OFFSET($CX$3,0,0,'Données projet'!$E$13+1,1))-AVERAGE(OFFSET($H$3,0,0,'Données projet'!$E$13+1,1))</f>
        <v>314.18760071409162</v>
      </c>
      <c r="CZ102" s="59">
        <f t="shared" si="96"/>
        <v>267.72650645201787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35.169126746012786</v>
      </c>
      <c r="DG102" s="21">
        <f>EXP(-LN(2)/25)*DG101+(1-EXP(-LN(2)/25))/(LN(2)/25)*Calculateur!DB102*Calculateur!DD102*VLOOKUP('Données projet'!$B$13,Paramètres!$A$1:$I$89,3,0)*0.475*44/12</f>
        <v>11.263527518321098</v>
      </c>
      <c r="DH102" s="21">
        <f>EXP(-LN(2)/2)*DH101+(1-EXP(-LN(2)/2))/(LN(2)/2)*DB102*DE102*VLOOKUP('Données projet'!$B$13,Paramètres!$A$1:$I$89,3,0)*0.475*44/12</f>
        <v>0.16082459265609275</v>
      </c>
      <c r="DI102" s="22">
        <f t="shared" si="69"/>
        <v>46.593478856989975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-1.7053025658242404E-13</v>
      </c>
      <c r="DP102" s="17">
        <f>DO102*VLOOKUP('Données projet'!$B$14,Paramètres!$A$1:$I$89,3,0)*VLOOKUP('Données projet'!$B$14,Paramètres!$A$1:$I$89,5,0)</f>
        <v>-1.4897523215040567E-13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324.86930206492627</v>
      </c>
      <c r="DU102" s="59">
        <f t="shared" si="98"/>
        <v>317.03005098025352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31.626709049035597</v>
      </c>
      <c r="EB102" s="21">
        <f>EXP(-LN(2)/25)*EB101+(1-EXP(-LN(2)/25))/(LN(2)/25)*Calculateur!DW102*Calculateur!DY102*VLOOKUP('Données projet'!$B$14,Paramètres!$A$1:$I$89,3,0)*0.475*44/12</f>
        <v>27.467065463047284</v>
      </c>
      <c r="EC102" s="21">
        <f>EXP(-LN(2)/2)*EC101+(1-EXP(-LN(2)/2))/(LN(2)/2)*DW102*DZ102*VLOOKUP('Données projet'!$B$14,Paramètres!$A$1:$I$89,3,0)*0.475*44/12</f>
        <v>7.8825845743429074E-2</v>
      </c>
      <c r="ED102" s="22">
        <f t="shared" si="72"/>
        <v>59.172600357826312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302.00825291248458</v>
      </c>
      <c r="T103" s="59">
        <f t="shared" si="88"/>
        <v>307.35115839449355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62.888519091800525</v>
      </c>
      <c r="AA103" s="21">
        <f>EXP(-LN(2)/25)*AA102+(1-EXP(-LN(2)/25))/(LN(2)/25)*Calculateur!V103*Calculateur!X103*VLOOKUP('Données projet'!$B$9,Paramètres!$A$1:$I$89,3,0)*0.475*44/12</f>
        <v>15.979411597834474</v>
      </c>
      <c r="AB103" s="21">
        <f>EXP(-LN(2)/2)*AB102+(1-EXP(-LN(2)/2))/(LN(2)/2)*V103*Y103*VLOOKUP('Données projet'!$B$9,Paramètres!$A$1:$I$89,3,0)*0.475*44/12</f>
        <v>5.7183687995294088E-5</v>
      </c>
      <c r="AC103" s="22">
        <f t="shared" si="57"/>
        <v>78.867987873323003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5.0249582272954292E-14</v>
      </c>
      <c r="AK103" s="13">
        <f t="shared" si="89"/>
        <v>8.1784820119191593E-13</v>
      </c>
      <c r="AL103" s="20">
        <f t="shared" si="58"/>
        <v>1.5119369728679821E-12</v>
      </c>
      <c r="AM103" s="59">
        <f t="shared" si="59"/>
        <v>293.33333333333485</v>
      </c>
      <c r="AN103" s="59">
        <f ca="1">AVERAGE(OFFSET($AM$3,0,0,'Données projet'!$E$10+1,1))-AVERAGE(OFFSET($H$3,0,0,'Données projet'!$E$10+1,1))</f>
        <v>394.37446333077651</v>
      </c>
      <c r="AO103" s="59">
        <f t="shared" si="90"/>
        <v>335.44327961212963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139.05412106640571</v>
      </c>
      <c r="AV103" s="21">
        <f>EXP(-LN(2)/25)*AV102+(1-EXP(-LN(2)/25))/(LN(2)/25)*Calculateur!AQ103*Calculateur!AS103*VLOOKUP('Données projet'!$B$10,Paramètres!$A$1:$I$89,3,0)*0.475*44/12</f>
        <v>41.293363969847327</v>
      </c>
      <c r="AW103" s="21">
        <f>EXP(-LN(2)/2)*AW102+(1-EXP(-LN(2)/2))/(LN(2)/2)*AQ103*AT103*VLOOKUP('Données projet'!$B$10,Paramètres!$A$1:$I$89,3,0)*0.475*44/12</f>
        <v>7.6761612469067833E-2</v>
      </c>
      <c r="AX103" s="21">
        <f t="shared" si="60"/>
        <v>180.42424664872209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7.7249999999999996</v>
      </c>
      <c r="BD103" s="12">
        <f>IF('Données projet'!$A$88&gt;35,BD102+BC103-BL102,IF(A103&lt;'Données projet'!$A$88,$BA$205^A103,IF(A103='Données projet'!$A$88,'Données projet'!$B$88,BD102+BC103-BL102)))</f>
        <v>314.53500000000042</v>
      </c>
      <c r="BE103" s="13">
        <f>BD103*VLOOKUP('Données projet'!$B$11,Paramètres!$A$1:$I$89,3,0)*VLOOKUP('Données projet'!$B$11,Paramètres!$A$1:$I$89,5,0)</f>
        <v>284.59126800000041</v>
      </c>
      <c r="BF103" s="13">
        <f t="shared" si="91"/>
        <v>67.936355441759275</v>
      </c>
      <c r="BG103" s="20">
        <f t="shared" si="61"/>
        <v>613.98561082773153</v>
      </c>
      <c r="BH103" s="59">
        <f t="shared" si="62"/>
        <v>907.31894416106479</v>
      </c>
      <c r="BI103" s="59">
        <f ca="1">AVERAGE(OFFSET($BH$3,0,0,'Données projet'!$E$11+1,1))-AVERAGE(OFFSET($H$3,0,0,'Données projet'!$E$11+1,1))</f>
        <v>490.06222615476065</v>
      </c>
      <c r="BJ103" s="59">
        <f t="shared" si="92"/>
        <v>310.43914804089906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22.026094916980909</v>
      </c>
      <c r="BQ103" s="21">
        <f>EXP(-LN(2)/25)*BQ102+(1-EXP(-LN(2)/25))/(LN(2)/25)*Calculateur!BL103*Calculateur!BN103*VLOOKUP('Données projet'!$B$11,Paramètres!$A$1:$I$89,3,0)*0.475*44/12</f>
        <v>20.438831510036636</v>
      </c>
      <c r="BR103" s="21">
        <f>EXP(-LN(2)/2)*BR102+(1-EXP(-LN(2)/2))/(LN(2)/2)*BL103*BO103*VLOOKUP('Données projet'!$B$11,Paramètres!$A$1:$I$89,3,0)*0.475*44/12</f>
        <v>0.34103371299158386</v>
      </c>
      <c r="BS103" s="22">
        <f t="shared" si="63"/>
        <v>42.805960140009127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353.37479213497227</v>
      </c>
      <c r="CE103" s="59">
        <f t="shared" si="94"/>
        <v>345.4750813433123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34.98135119232964</v>
      </c>
      <c r="CL103" s="21">
        <f>EXP(-LN(2)/25)*CL102+(1-EXP(-LN(2)/25))/(LN(2)/25)*Calculateur!CG103*Calculateur!CI103*VLOOKUP('Données projet'!$B$12,Paramètres!$A$1:$I$89,3,0)*0.475*44/12</f>
        <v>29.477751785889087</v>
      </c>
      <c r="CM103" s="21">
        <f>EXP(-LN(2)/2)*CM102+(1-EXP(-LN(2)/2))/(LN(2)/2)*CG103*CJ103*VLOOKUP('Données projet'!$B$12,Paramètres!$A$1:$I$89,3,0)*0.475*44/12</f>
        <v>6.0958321488673022E-2</v>
      </c>
      <c r="CN103" s="22">
        <f t="shared" si="66"/>
        <v>64.520061299707393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436.81</v>
      </c>
      <c r="CR103" s="12">
        <f>VLOOKUP(A103,'Données projet'!$A$139:$I$159,9,0)</f>
        <v>7.8379999999999992</v>
      </c>
      <c r="CS103" s="12">
        <f t="array" ref="CS103">INDEX(CR:CR,MIN(IF(ISNUMBER(CR103:CR299),ROW(CR103:CR299),"")))</f>
        <v>7.8379999999999992</v>
      </c>
      <c r="CT103" s="12">
        <f>IF('Données projet'!$A$140&gt;35,CT102+CS103-DB102,IF(A103&lt;'Données projet'!$A$140,$CQ$205^A103,IF(A103='Données projet'!$A$140,'Données projet'!$B$140,CT102+CS103-DB102)))</f>
        <v>436.80999999999943</v>
      </c>
      <c r="CU103" s="17">
        <f>CT103*VLOOKUP('Données projet'!$B$13,Paramètres!$A$1:$I$89,3,0)*VLOOKUP('Données projet'!$B$13,Paramètres!$A$1:$I$89,5,0)</f>
        <v>210.10560999999973</v>
      </c>
      <c r="CV103" s="13">
        <f t="shared" si="95"/>
        <v>51.958663465051885</v>
      </c>
      <c r="CW103" s="20">
        <f t="shared" si="67"/>
        <v>456.4286096182982</v>
      </c>
      <c r="CX103" s="59">
        <f t="shared" si="68"/>
        <v>749.76194295163145</v>
      </c>
      <c r="CY103" s="59">
        <f ca="1">AVERAGE(OFFSET($CX$3,0,0,'Données projet'!$E$13+1,1))-AVERAGE(OFFSET($H$3,0,0,'Données projet'!$E$13+1,1))</f>
        <v>314.18760071409162</v>
      </c>
      <c r="CZ103" s="59">
        <f t="shared" si="96"/>
        <v>267.72650645201787</v>
      </c>
      <c r="DA103" s="15">
        <f>IF(ISNA(VLOOKUP(A103,'Données projet'!$A$139:$I$159,3,0)),0,VLOOKUP(A103,'Données projet'!$A$139:$I$159,3,0))</f>
        <v>6</v>
      </c>
      <c r="DB103" s="15">
        <f>IF(ISNA(VLOOKUP(A103,'Données projet'!$A$139:$I$159,4,0)),0,VLOOKUP(A103,'Données projet'!$A$139:$I$159,4,0))</f>
        <v>195.94</v>
      </c>
      <c r="DC103" s="16">
        <f>IF(ISNA(VLOOKUP(A103,'Données projet'!$A$139:$I$159,5,0)),0%,VLOOKUP(A103,'Données projet'!$A$139:$I$159,5,0)*VLOOKUP('Données projet'!$B$13,Paramètres!$A$1:$I$89,7,0))</f>
        <v>0.22000000000000003</v>
      </c>
      <c r="DD103" s="16">
        <f>IF(ISNA(VLOOKUP(A103,'Données projet'!$A$139:$I$159,6,0)),0%,VLOOKUP(A103,'Données projet'!$A$139:$I$159,6,0)*VLOOKUP('Données projet'!$B$13,Paramètres!$A$1:$I$89,7,0))</f>
        <v>5.5000000000000007E-2</v>
      </c>
      <c r="DE103" s="16">
        <f>IF(ISNA(VLOOKUP(A103,'Données projet'!$A$139:$I$159,7,0)),0%,VLOOKUP(A103,'Données projet'!$A$139:$I$159,7,0))</f>
        <v>0.1</v>
      </c>
      <c r="DF103" s="21">
        <f>EXP(-LN(2)/35)*DF102+(1-EXP(-LN(2)/35))/(LN(2)/35)*DB103*DC103*VLOOKUP('Données projet'!$B$13,Paramètres!$A$1:$I$89,3,0)*0.475*44/12</f>
        <v>61.984960930756174</v>
      </c>
      <c r="DG103" s="21">
        <f>EXP(-LN(2)/25)*DG102+(1-EXP(-LN(2)/25))/(LN(2)/25)*Calculateur!DB103*Calculateur!DD103*VLOOKUP('Données projet'!$B$13,Paramètres!$A$1:$I$89,3,0)*0.475*44/12</f>
        <v>17.804820705192935</v>
      </c>
      <c r="DH103" s="21">
        <f>EXP(-LN(2)/2)*DH102+(1-EXP(-LN(2)/2))/(LN(2)/2)*DB103*DE103*VLOOKUP('Données projet'!$B$13,Paramètres!$A$1:$I$89,3,0)*0.475*44/12</f>
        <v>10.784685745798535</v>
      </c>
      <c r="DI103" s="22">
        <f t="shared" si="69"/>
        <v>90.574467381747652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-1.7053025658242404E-13</v>
      </c>
      <c r="DP103" s="17">
        <f>DO103*VLOOKUP('Données projet'!$B$14,Paramètres!$A$1:$I$89,3,0)*VLOOKUP('Données projet'!$B$14,Paramètres!$A$1:$I$89,5,0)</f>
        <v>-1.4897523215040567E-13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324.86930206492627</v>
      </c>
      <c r="DU103" s="59">
        <f t="shared" si="98"/>
        <v>317.03005098025352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31.00652857497176</v>
      </c>
      <c r="EB103" s="21">
        <f>EXP(-LN(2)/25)*EB102+(1-EXP(-LN(2)/25))/(LN(2)/25)*Calculateur!DW103*Calculateur!DY103*VLOOKUP('Données projet'!$B$14,Paramètres!$A$1:$I$89,3,0)*0.475*44/12</f>
        <v>26.715977113530059</v>
      </c>
      <c r="EC103" s="21">
        <f>EXP(-LN(2)/2)*EC102+(1-EXP(-LN(2)/2))/(LN(2)/2)*DW103*DZ103*VLOOKUP('Données projet'!$B$14,Paramètres!$A$1:$I$89,3,0)*0.475*44/12</f>
        <v>5.5738290057943451E-2</v>
      </c>
      <c r="ED103" s="22">
        <f t="shared" si="72"/>
        <v>57.778243978559765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302.00825291248458</v>
      </c>
      <c r="T104" s="59">
        <f t="shared" si="88"/>
        <v>307.35115839449355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61.655313590619407</v>
      </c>
      <c r="AA104" s="21">
        <f>EXP(-LN(2)/25)*AA103+(1-EXP(-LN(2)/25))/(LN(2)/25)*Calculateur!V104*Calculateur!X104*VLOOKUP('Données projet'!$B$9,Paramètres!$A$1:$I$89,3,0)*0.475*44/12</f>
        <v>15.542453747370956</v>
      </c>
      <c r="AB104" s="21">
        <f>EXP(-LN(2)/2)*AB103+(1-EXP(-LN(2)/2))/(LN(2)/2)*V104*Y104*VLOOKUP('Données projet'!$B$9,Paramètres!$A$1:$I$89,3,0)*0.475*44/12</f>
        <v>4.0434973554728221E-5</v>
      </c>
      <c r="AC104" s="22">
        <f t="shared" si="57"/>
        <v>77.197807772963927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5.0249582272954292E-14</v>
      </c>
      <c r="AK104" s="13">
        <f t="shared" si="89"/>
        <v>8.1784820119191593E-13</v>
      </c>
      <c r="AL104" s="20">
        <f t="shared" si="58"/>
        <v>1.5119369728679821E-12</v>
      </c>
      <c r="AM104" s="59">
        <f t="shared" si="59"/>
        <v>293.33333333333485</v>
      </c>
      <c r="AN104" s="59">
        <f ca="1">AVERAGE(OFFSET($AM$3,0,0,'Données projet'!$E$10+1,1))-AVERAGE(OFFSET($H$3,0,0,'Données projet'!$E$10+1,1))</f>
        <v>394.37446333077651</v>
      </c>
      <c r="AO104" s="59">
        <f t="shared" si="90"/>
        <v>335.44327961212963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136.3273545669326</v>
      </c>
      <c r="AV104" s="21">
        <f>EXP(-LN(2)/25)*AV103+(1-EXP(-LN(2)/25))/(LN(2)/25)*Calculateur!AQ104*Calculateur!AS104*VLOOKUP('Données projet'!$B$10,Paramètres!$A$1:$I$89,3,0)*0.475*44/12</f>
        <v>40.164194760568215</v>
      </c>
      <c r="AW104" s="21">
        <f>EXP(-LN(2)/2)*AW103+(1-EXP(-LN(2)/2))/(LN(2)/2)*AQ104*AT104*VLOOKUP('Données projet'!$B$10,Paramètres!$A$1:$I$89,3,0)*0.475*44/12</f>
        <v>5.4278656711691707E-2</v>
      </c>
      <c r="AX104" s="21">
        <f t="shared" si="60"/>
        <v>176.54582798421251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7.7249999999999996</v>
      </c>
      <c r="BD104" s="12">
        <f>IF('Données projet'!$A$88&gt;35,BD103+BC104-BL103,IF(A104&lt;'Données projet'!$A$88,$BA$205^A104,IF(A104='Données projet'!$A$88,'Données projet'!$B$88,BD103+BC104-BL103)))</f>
        <v>322.26000000000045</v>
      </c>
      <c r="BE104" s="13">
        <f>BD104*VLOOKUP('Données projet'!$B$11,Paramètres!$A$1:$I$89,3,0)*VLOOKUP('Données projet'!$B$11,Paramètres!$A$1:$I$89,5,0)</f>
        <v>291.5808480000004</v>
      </c>
      <c r="BF104" s="13">
        <f t="shared" si="91"/>
        <v>69.408572506835355</v>
      </c>
      <c r="BG104" s="20">
        <f t="shared" si="61"/>
        <v>628.72324071607227</v>
      </c>
      <c r="BH104" s="59">
        <f t="shared" si="62"/>
        <v>922.05657404940553</v>
      </c>
      <c r="BI104" s="59">
        <f ca="1">AVERAGE(OFFSET($BH$3,0,0,'Données projet'!$E$11+1,1))-AVERAGE(OFFSET($H$3,0,0,'Données projet'!$E$11+1,1))</f>
        <v>490.06222615476065</v>
      </c>
      <c r="BJ104" s="59">
        <f t="shared" si="92"/>
        <v>310.43914804089906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21.594176630250256</v>
      </c>
      <c r="BQ104" s="21">
        <f>EXP(-LN(2)/25)*BQ103+(1-EXP(-LN(2)/25))/(LN(2)/25)*Calculateur!BL104*Calculateur!BN104*VLOOKUP('Données projet'!$B$11,Paramètres!$A$1:$I$89,3,0)*0.475*44/12</f>
        <v>19.879930587563248</v>
      </c>
      <c r="BR104" s="21">
        <f>EXP(-LN(2)/2)*BR103+(1-EXP(-LN(2)/2))/(LN(2)/2)*BL104*BO104*VLOOKUP('Données projet'!$B$11,Paramètres!$A$1:$I$89,3,0)*0.475*44/12</f>
        <v>0.24114725106957574</v>
      </c>
      <c r="BS104" s="22">
        <f t="shared" si="63"/>
        <v>41.715254468883082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353.37479213497227</v>
      </c>
      <c r="CE104" s="59">
        <f t="shared" si="94"/>
        <v>345.4750813433123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34.295388231965475</v>
      </c>
      <c r="CL104" s="21">
        <f>EXP(-LN(2)/25)*CL103+(1-EXP(-LN(2)/25))/(LN(2)/25)*Calculateur!CG104*Calculateur!CI104*VLOOKUP('Données projet'!$B$12,Paramètres!$A$1:$I$89,3,0)*0.475*44/12</f>
        <v>28.671681113136355</v>
      </c>
      <c r="CM104" s="21">
        <f>EXP(-LN(2)/2)*CM103+(1-EXP(-LN(2)/2))/(LN(2)/2)*CG104*CJ104*VLOOKUP('Données projet'!$B$12,Paramètres!$A$1:$I$89,3,0)*0.475*44/12</f>
        <v>4.3104042494390336E-2</v>
      </c>
      <c r="CN104" s="22">
        <f t="shared" si="66"/>
        <v>63.010173387596225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5.0370000000000008</v>
      </c>
      <c r="CT104" s="12">
        <f>IF('Données projet'!$A$140&gt;35,CT103+CS104-DB103,IF(A104&lt;'Données projet'!$A$140,$CQ$205^A104,IF(A104='Données projet'!$A$140,'Données projet'!$B$140,CT103+CS104-DB103)))</f>
        <v>245.90699999999941</v>
      </c>
      <c r="CU104" s="17">
        <f>CT104*VLOOKUP('Données projet'!$B$13,Paramètres!$A$1:$I$89,3,0)*VLOOKUP('Données projet'!$B$13,Paramètres!$A$1:$I$89,5,0)</f>
        <v>118.28126699999973</v>
      </c>
      <c r="CV104" s="13">
        <f t="shared" si="95"/>
        <v>31.27379709571391</v>
      </c>
      <c r="CW104" s="20">
        <f t="shared" si="67"/>
        <v>260.47506996670126</v>
      </c>
      <c r="CX104" s="59">
        <f t="shared" si="68"/>
        <v>553.80840330003457</v>
      </c>
      <c r="CY104" s="59">
        <f ca="1">AVERAGE(OFFSET($CX$3,0,0,'Données projet'!$E$13+1,1))-AVERAGE(OFFSET($H$3,0,0,'Données projet'!$E$13+1,1))</f>
        <v>314.18760071409162</v>
      </c>
      <c r="CZ104" s="59">
        <f t="shared" si="96"/>
        <v>267.72650645201787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60.769473653997075</v>
      </c>
      <c r="DG104" s="21">
        <f>EXP(-LN(2)/25)*DG103+(1-EXP(-LN(2)/25))/(LN(2)/25)*Calculateur!DB104*Calculateur!DD104*VLOOKUP('Données projet'!$B$13,Paramètres!$A$1:$I$89,3,0)*0.475*44/12</f>
        <v>17.317946946694608</v>
      </c>
      <c r="DH104" s="21">
        <f>EXP(-LN(2)/2)*DH103+(1-EXP(-LN(2)/2))/(LN(2)/2)*DB104*DE104*VLOOKUP('Données projet'!$B$13,Paramètres!$A$1:$I$89,3,0)*0.475*44/12</f>
        <v>7.6259244238200434</v>
      </c>
      <c r="DI104" s="22">
        <f t="shared" si="69"/>
        <v>85.713345024511725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-1.7053025658242404E-13</v>
      </c>
      <c r="DP104" s="17">
        <f>DO104*VLOOKUP('Données projet'!$B$14,Paramètres!$A$1:$I$89,3,0)*VLOOKUP('Données projet'!$B$14,Paramètres!$A$1:$I$89,5,0)</f>
        <v>-1.4897523215040567E-13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324.86930206492627</v>
      </c>
      <c r="DU104" s="59">
        <f t="shared" si="98"/>
        <v>317.03005098025352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30.398509461731578</v>
      </c>
      <c r="EB104" s="21">
        <f>EXP(-LN(2)/25)*EB103+(1-EXP(-LN(2)/25))/(LN(2)/25)*Calculateur!DW104*Calculateur!DY104*VLOOKUP('Données projet'!$B$14,Paramètres!$A$1:$I$89,3,0)*0.475*44/12</f>
        <v>25.985427314428403</v>
      </c>
      <c r="EC104" s="21">
        <f>EXP(-LN(2)/2)*EC103+(1-EXP(-LN(2)/2))/(LN(2)/2)*DW104*DZ104*VLOOKUP('Données projet'!$B$14,Paramètres!$A$1:$I$89,3,0)*0.475*44/12</f>
        <v>3.9412922871714537E-2</v>
      </c>
      <c r="ED104" s="22">
        <f t="shared" si="72"/>
        <v>56.423349699031697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302.00825291248458</v>
      </c>
      <c r="T105" s="59">
        <f t="shared" si="88"/>
        <v>307.35115839449355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60.446290497135365</v>
      </c>
      <c r="AA105" s="21">
        <f>EXP(-LN(2)/25)*AA104+(1-EXP(-LN(2)/25))/(LN(2)/25)*Calculateur!V105*Calculateur!X105*VLOOKUP('Données projet'!$B$9,Paramètres!$A$1:$I$89,3,0)*0.475*44/12</f>
        <v>15.117444532306978</v>
      </c>
      <c r="AB105" s="21">
        <f>EXP(-LN(2)/2)*AB104+(1-EXP(-LN(2)/2))/(LN(2)/2)*V105*Y105*VLOOKUP('Données projet'!$B$9,Paramètres!$A$1:$I$89,3,0)*0.475*44/12</f>
        <v>2.8591843997647044E-5</v>
      </c>
      <c r="AC105" s="22">
        <f t="shared" si="57"/>
        <v>75.563763621286341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5.0249582272954292E-14</v>
      </c>
      <c r="AK105" s="13">
        <f t="shared" si="89"/>
        <v>8.1784820119191593E-13</v>
      </c>
      <c r="AL105" s="20">
        <f t="shared" si="58"/>
        <v>1.5119369728679821E-12</v>
      </c>
      <c r="AM105" s="59">
        <f t="shared" si="59"/>
        <v>293.33333333333485</v>
      </c>
      <c r="AN105" s="59">
        <f ca="1">AVERAGE(OFFSET($AM$3,0,0,'Données projet'!$E$10+1,1))-AVERAGE(OFFSET($H$3,0,0,'Données projet'!$E$10+1,1))</f>
        <v>394.37446333077651</v>
      </c>
      <c r="AO105" s="59">
        <f t="shared" si="90"/>
        <v>335.44327961212963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133.65405829535081</v>
      </c>
      <c r="AV105" s="21">
        <f>EXP(-LN(2)/25)*AV104+(1-EXP(-LN(2)/25))/(LN(2)/25)*Calculateur!AQ105*Calculateur!AS105*VLOOKUP('Données projet'!$B$10,Paramètres!$A$1:$I$89,3,0)*0.475*44/12</f>
        <v>39.065902742697268</v>
      </c>
      <c r="AW105" s="21">
        <f>EXP(-LN(2)/2)*AW104+(1-EXP(-LN(2)/2))/(LN(2)/2)*AQ105*AT105*VLOOKUP('Données projet'!$B$10,Paramètres!$A$1:$I$89,3,0)*0.475*44/12</f>
        <v>3.8380806234533917E-2</v>
      </c>
      <c r="AX105" s="21">
        <f t="shared" si="60"/>
        <v>172.7583418442826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7.7249999999999996</v>
      </c>
      <c r="BD105" s="12">
        <f>IF('Données projet'!$A$88&gt;35,BD104+BC105-BL104,IF(A105&lt;'Données projet'!$A$88,$BA$205^A105,IF(A105='Données projet'!$A$88,'Données projet'!$B$88,BD104+BC105-BL104)))</f>
        <v>329.98500000000047</v>
      </c>
      <c r="BE105" s="13">
        <f>BD105*VLOOKUP('Données projet'!$B$11,Paramètres!$A$1:$I$89,3,0)*VLOOKUP('Données projet'!$B$11,Paramètres!$A$1:$I$89,5,0)</f>
        <v>298.57042800000039</v>
      </c>
      <c r="BF105" s="13">
        <f t="shared" si="91"/>
        <v>70.876687010255509</v>
      </c>
      <c r="BG105" s="20">
        <f t="shared" si="61"/>
        <v>643.45372530952898</v>
      </c>
      <c r="BH105" s="59">
        <f t="shared" si="62"/>
        <v>936.78705864286235</v>
      </c>
      <c r="BI105" s="59">
        <f ca="1">AVERAGE(OFFSET($BH$3,0,0,'Données projet'!$E$11+1,1))-AVERAGE(OFFSET($H$3,0,0,'Données projet'!$E$11+1,1))</f>
        <v>490.06222615476065</v>
      </c>
      <c r="BJ105" s="59">
        <f t="shared" si="92"/>
        <v>310.43914804089906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21.170727997678252</v>
      </c>
      <c r="BQ105" s="21">
        <f>EXP(-LN(2)/25)*BQ104+(1-EXP(-LN(2)/25))/(LN(2)/25)*Calculateur!BL105*Calculateur!BN105*VLOOKUP('Données projet'!$B$11,Paramètres!$A$1:$I$89,3,0)*0.475*44/12</f>
        <v>19.336312840206219</v>
      </c>
      <c r="BR105" s="21">
        <f>EXP(-LN(2)/2)*BR104+(1-EXP(-LN(2)/2))/(LN(2)/2)*BL105*BO105*VLOOKUP('Données projet'!$B$11,Paramètres!$A$1:$I$89,3,0)*0.475*44/12</f>
        <v>0.17051685649579196</v>
      </c>
      <c r="BS105" s="22">
        <f t="shared" si="63"/>
        <v>40.677557694380269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353.37479213497227</v>
      </c>
      <c r="CE105" s="59">
        <f t="shared" si="94"/>
        <v>345.4750813433123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33.622876586857963</v>
      </c>
      <c r="CL105" s="21">
        <f>EXP(-LN(2)/25)*CL104+(1-EXP(-LN(2)/25))/(LN(2)/25)*Calculateur!CG105*Calculateur!CI105*VLOOKUP('Données projet'!$B$12,Paramètres!$A$1:$I$89,3,0)*0.475*44/12</f>
        <v>27.88765248531946</v>
      </c>
      <c r="CM105" s="21">
        <f>EXP(-LN(2)/2)*CM104+(1-EXP(-LN(2)/2))/(LN(2)/2)*CG105*CJ105*VLOOKUP('Données projet'!$B$12,Paramètres!$A$1:$I$89,3,0)*0.475*44/12</f>
        <v>3.0479160744336514E-2</v>
      </c>
      <c r="CN105" s="22">
        <f t="shared" si="66"/>
        <v>61.541008232921754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5.0370000000000008</v>
      </c>
      <c r="CT105" s="12">
        <f>IF('Données projet'!$A$140&gt;35,CT104+CS105-DB104,IF(A105&lt;'Données projet'!$A$140,$CQ$205^A105,IF(A105='Données projet'!$A$140,'Données projet'!$B$140,CT104+CS105-DB104)))</f>
        <v>250.94399999999942</v>
      </c>
      <c r="CU105" s="17">
        <f>CT105*VLOOKUP('Données projet'!$B$13,Paramètres!$A$1:$I$89,3,0)*VLOOKUP('Données projet'!$B$13,Paramètres!$A$1:$I$89,5,0)</f>
        <v>120.70406399999972</v>
      </c>
      <c r="CV105" s="13">
        <f t="shared" si="95"/>
        <v>31.839154708704577</v>
      </c>
      <c r="CW105" s="20">
        <f t="shared" si="67"/>
        <v>265.67943925099331</v>
      </c>
      <c r="CX105" s="59">
        <f t="shared" si="68"/>
        <v>559.01277258432663</v>
      </c>
      <c r="CY105" s="59">
        <f ca="1">AVERAGE(OFFSET($CX$3,0,0,'Données projet'!$E$13+1,1))-AVERAGE(OFFSET($H$3,0,0,'Données projet'!$E$13+1,1))</f>
        <v>314.18760071409162</v>
      </c>
      <c r="CZ105" s="59">
        <f t="shared" si="96"/>
        <v>267.72650645201787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59.577821341361187</v>
      </c>
      <c r="DG105" s="21">
        <f>EXP(-LN(2)/25)*DG104+(1-EXP(-LN(2)/25))/(LN(2)/25)*Calculateur!DB105*Calculateur!DD105*VLOOKUP('Données projet'!$B$13,Paramètres!$A$1:$I$89,3,0)*0.475*44/12</f>
        <v>16.844386776725994</v>
      </c>
      <c r="DH105" s="21">
        <f>EXP(-LN(2)/2)*DH104+(1-EXP(-LN(2)/2))/(LN(2)/2)*DB105*DE105*VLOOKUP('Données projet'!$B$13,Paramètres!$A$1:$I$89,3,0)*0.475*44/12</f>
        <v>5.3923428728992686</v>
      </c>
      <c r="DI105" s="22">
        <f t="shared" si="69"/>
        <v>81.814550990986447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-1.7053025658242404E-13</v>
      </c>
      <c r="DP105" s="17">
        <f>DO105*VLOOKUP('Données projet'!$B$14,Paramètres!$A$1:$I$89,3,0)*VLOOKUP('Données projet'!$B$14,Paramètres!$A$1:$I$89,5,0)</f>
        <v>-1.4897523215040567E-13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324.86930206492627</v>
      </c>
      <c r="DU105" s="59">
        <f t="shared" si="98"/>
        <v>317.03005098025352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29.802413232446995</v>
      </c>
      <c r="EB105" s="21">
        <f>EXP(-LN(2)/25)*EB104+(1-EXP(-LN(2)/25))/(LN(2)/25)*Calculateur!DW105*Calculateur!DY105*VLOOKUP('Données projet'!$B$14,Paramètres!$A$1:$I$89,3,0)*0.475*44/12</f>
        <v>25.274854438001125</v>
      </c>
      <c r="EC105" s="21">
        <f>EXP(-LN(2)/2)*EC104+(1-EXP(-LN(2)/2))/(LN(2)/2)*DW105*DZ105*VLOOKUP('Données projet'!$B$14,Paramètres!$A$1:$I$89,3,0)*0.475*44/12</f>
        <v>2.7869145028971726E-2</v>
      </c>
      <c r="ED105" s="22">
        <f t="shared" si="72"/>
        <v>55.105136815477096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302.00825291248458</v>
      </c>
      <c r="T106" s="59">
        <f t="shared" si="88"/>
        <v>307.35115839449355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59.260975609083275</v>
      </c>
      <c r="AA106" s="21">
        <f>EXP(-LN(2)/25)*AA105+(1-EXP(-LN(2)/25))/(LN(2)/25)*Calculateur!V106*Calculateur!X106*VLOOKUP('Données projet'!$B$9,Paramètres!$A$1:$I$89,3,0)*0.475*44/12</f>
        <v>14.704057216579187</v>
      </c>
      <c r="AB106" s="21">
        <f>EXP(-LN(2)/2)*AB105+(1-EXP(-LN(2)/2))/(LN(2)/2)*V106*Y106*VLOOKUP('Données projet'!$B$9,Paramètres!$A$1:$I$89,3,0)*0.475*44/12</f>
        <v>2.021748677736411E-5</v>
      </c>
      <c r="AC106" s="22">
        <f t="shared" si="57"/>
        <v>73.96505304314924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5.0249582272954292E-14</v>
      </c>
      <c r="AK106" s="13">
        <f t="shared" si="89"/>
        <v>8.1784820119191593E-13</v>
      </c>
      <c r="AL106" s="20">
        <f t="shared" si="58"/>
        <v>1.5119369728679821E-12</v>
      </c>
      <c r="AM106" s="59">
        <f t="shared" si="59"/>
        <v>293.33333333333485</v>
      </c>
      <c r="AN106" s="59">
        <f ca="1">AVERAGE(OFFSET($AM$3,0,0,'Données projet'!$E$10+1,1))-AVERAGE(OFFSET($H$3,0,0,'Données projet'!$E$10+1,1))</f>
        <v>394.37446333077651</v>
      </c>
      <c r="AO106" s="59">
        <f t="shared" si="90"/>
        <v>335.44327961212963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131.03318373310501</v>
      </c>
      <c r="AV106" s="21">
        <f>EXP(-LN(2)/25)*AV105+(1-EXP(-LN(2)/25))/(LN(2)/25)*Calculateur!AQ106*Calculateur!AS106*VLOOKUP('Données projet'!$B$10,Paramètres!$A$1:$I$89,3,0)*0.475*44/12</f>
        <v>37.997643577811672</v>
      </c>
      <c r="AW106" s="21">
        <f>EXP(-LN(2)/2)*AW105+(1-EXP(-LN(2)/2))/(LN(2)/2)*AQ106*AT106*VLOOKUP('Données projet'!$B$10,Paramètres!$A$1:$I$89,3,0)*0.475*44/12</f>
        <v>2.7139328355845854E-2</v>
      </c>
      <c r="AX106" s="21">
        <f t="shared" si="60"/>
        <v>169.05796663927251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7.7249999999999996</v>
      </c>
      <c r="BC106" s="12">
        <f t="array" ref="BC106">INDEX(BB:BB,MIN(IF(ISNUMBER(BB106:BB302),ROW(BB106:BB302),"")))</f>
        <v>7.7249999999999996</v>
      </c>
      <c r="BD106" s="12">
        <f>IF('Données projet'!$A$88&gt;35,BD105+BC106-BL105,IF(A106&lt;'Données projet'!$A$88,$BA$205^A106,IF(A106='Données projet'!$A$88,'Données projet'!$B$88,BD105+BC106-BL105)))</f>
        <v>337.71000000000049</v>
      </c>
      <c r="BE106" s="13">
        <f>BD106*VLOOKUP('Données projet'!$B$11,Paramètres!$A$1:$I$89,3,0)*VLOOKUP('Données projet'!$B$11,Paramètres!$A$1:$I$89,5,0)</f>
        <v>305.56000800000044</v>
      </c>
      <c r="BF106" s="13">
        <f t="shared" si="91"/>
        <v>72.340806046688371</v>
      </c>
      <c r="BG106" s="20">
        <f t="shared" si="61"/>
        <v>658.17725113131621</v>
      </c>
      <c r="BH106" s="59">
        <f t="shared" si="62"/>
        <v>951.51058446464958</v>
      </c>
      <c r="BI106" s="59">
        <f ca="1">AVERAGE(OFFSET($BH$3,0,0,'Données projet'!$E$11+1,1))-AVERAGE(OFFSET($H$3,0,0,'Données projet'!$E$11+1,1))</f>
        <v>490.06222615476065</v>
      </c>
      <c r="BJ106" s="59">
        <f t="shared" si="92"/>
        <v>310.43914804089906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56.789999999999964</v>
      </c>
      <c r="BM106" s="16">
        <f>IF(ISNA(VLOOKUP(A106,'Données projet'!$A$87:$I$107,5,0)),0%,VLOOKUP(A106,'Données projet'!$A$87:$I$107,5,0)*VLOOKUP('Données projet'!$B$11,Paramètres!$A$1:$I$89,7,0))</f>
        <v>0.15049999999999999</v>
      </c>
      <c r="BN106" s="16">
        <f>IF(ISNA(VLOOKUP(A106,'Données projet'!$A$87:$I$107,6,0)),0%,VLOOKUP(A106,'Données projet'!$A$87:$I$107,6,0)*VLOOKUP('Données projet'!$B$11,Paramètres!$A$1:$I$89,7,0))</f>
        <v>8.6000000000000007E-2</v>
      </c>
      <c r="BO106" s="16">
        <f>IF(ISNA(VLOOKUP(A106,'Données projet'!$A$87:$I$107,7,0)),0%,VLOOKUP(A106,'Données projet'!$A$87:$I$107,7,0))</f>
        <v>0.1</v>
      </c>
      <c r="BP106" s="21">
        <f>EXP(-LN(2)/35)*BP105+(1-EXP(-LN(2)/35))/(LN(2)/35)*BL106*BM106*VLOOKUP('Données projet'!$B$11,Paramètres!$A$1:$I$89,3,0)*0.475*44/12</f>
        <v>29.304440296488757</v>
      </c>
      <c r="BQ106" s="21">
        <f>EXP(-LN(2)/25)*BQ105+(1-EXP(-LN(2)/25))/(LN(2)/25)*Calculateur!BL106*Calculateur!BN106*VLOOKUP('Données projet'!$B$11,Paramètres!$A$1:$I$89,3,0)*0.475*44/12</f>
        <v>23.673387350550744</v>
      </c>
      <c r="BR106" s="21">
        <f>EXP(-LN(2)/2)*BR105+(1-EXP(-LN(2)/2))/(LN(2)/2)*BL106*BO106*VLOOKUP('Données projet'!$B$11,Paramètres!$A$1:$I$89,3,0)*0.475*44/12</f>
        <v>4.9687538276449956</v>
      </c>
      <c r="BS106" s="22">
        <f t="shared" si="63"/>
        <v>57.9465814746845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353.37479213497227</v>
      </c>
      <c r="CE106" s="59">
        <f t="shared" si="94"/>
        <v>345.4750813433123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32.963552484919404</v>
      </c>
      <c r="CL106" s="21">
        <f>EXP(-LN(2)/25)*CL105+(1-EXP(-LN(2)/25))/(LN(2)/25)*Calculateur!CG106*Calculateur!CI106*VLOOKUP('Données projet'!$B$12,Paramètres!$A$1:$I$89,3,0)*0.475*44/12</f>
        <v>27.125063161560494</v>
      </c>
      <c r="CM106" s="21">
        <f>EXP(-LN(2)/2)*CM105+(1-EXP(-LN(2)/2))/(LN(2)/2)*CG106*CJ106*VLOOKUP('Données projet'!$B$12,Paramètres!$A$1:$I$89,3,0)*0.475*44/12</f>
        <v>2.1552021247195172E-2</v>
      </c>
      <c r="CN106" s="22">
        <f t="shared" si="66"/>
        <v>60.11016766772709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5.0370000000000008</v>
      </c>
      <c r="CT106" s="12">
        <f>IF('Données projet'!$A$140&gt;35,CT105+CS106-DB105,IF(A106&lt;'Données projet'!$A$140,$CQ$205^A106,IF(A106='Données projet'!$A$140,'Données projet'!$B$140,CT105+CS106-DB105)))</f>
        <v>255.98099999999943</v>
      </c>
      <c r="CU106" s="17">
        <f>CT106*VLOOKUP('Données projet'!$B$13,Paramètres!$A$1:$I$89,3,0)*VLOOKUP('Données projet'!$B$13,Paramètres!$A$1:$I$89,5,0)</f>
        <v>123.12686099999972</v>
      </c>
      <c r="CV106" s="13">
        <f t="shared" si="95"/>
        <v>32.403192865604645</v>
      </c>
      <c r="CW106" s="20">
        <f t="shared" si="67"/>
        <v>270.88151048259425</v>
      </c>
      <c r="CX106" s="59">
        <f t="shared" si="68"/>
        <v>564.21484381592757</v>
      </c>
      <c r="CY106" s="59">
        <f ca="1">AVERAGE(OFFSET($CX$3,0,0,'Données projet'!$E$13+1,1))-AVERAGE(OFFSET($H$3,0,0,'Données projet'!$E$13+1,1))</f>
        <v>314.18760071409162</v>
      </c>
      <c r="CZ106" s="59">
        <f t="shared" si="96"/>
        <v>267.72650645201787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58.409536603739944</v>
      </c>
      <c r="DG106" s="21">
        <f>EXP(-LN(2)/25)*DG105+(1-EXP(-LN(2)/25))/(LN(2)/25)*Calculateur!DB106*Calculateur!DD106*VLOOKUP('Données projet'!$B$13,Paramètres!$A$1:$I$89,3,0)*0.475*44/12</f>
        <v>16.383776134508619</v>
      </c>
      <c r="DH106" s="21">
        <f>EXP(-LN(2)/2)*DH105+(1-EXP(-LN(2)/2))/(LN(2)/2)*DB106*DE106*VLOOKUP('Données projet'!$B$13,Paramètres!$A$1:$I$89,3,0)*0.475*44/12</f>
        <v>3.8129622119100226</v>
      </c>
      <c r="DI106" s="22">
        <f t="shared" si="69"/>
        <v>78.606274950158578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-1.7053025658242404E-13</v>
      </c>
      <c r="DP106" s="17">
        <f>DO106*VLOOKUP('Données projet'!$B$14,Paramètres!$A$1:$I$89,3,0)*VLOOKUP('Données projet'!$B$14,Paramètres!$A$1:$I$89,5,0)</f>
        <v>-1.4897523215040567E-13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324.86930206492627</v>
      </c>
      <c r="DU106" s="59">
        <f t="shared" si="98"/>
        <v>317.03005098025352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29.218006086635885</v>
      </c>
      <c r="EB106" s="21">
        <f>EXP(-LN(2)/25)*EB105+(1-EXP(-LN(2)/25))/(LN(2)/25)*Calculateur!DW106*Calculateur!DY106*VLOOKUP('Données projet'!$B$14,Paramètres!$A$1:$I$89,3,0)*0.475*44/12</f>
        <v>24.583712214247157</v>
      </c>
      <c r="EC106" s="21">
        <f>EXP(-LN(2)/2)*EC105+(1-EXP(-LN(2)/2))/(LN(2)/2)*DW106*DZ106*VLOOKUP('Données projet'!$B$14,Paramètres!$A$1:$I$89,3,0)*0.475*44/12</f>
        <v>1.9706461435857268E-2</v>
      </c>
      <c r="ED106" s="22">
        <f t="shared" si="72"/>
        <v>53.821424762318898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302.00825291248458</v>
      </c>
      <c r="T107" s="59">
        <f t="shared" si="88"/>
        <v>307.35115839449355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58.098904023015187</v>
      </c>
      <c r="AA107" s="21">
        <f>EXP(-LN(2)/25)*AA106+(1-EXP(-LN(2)/25))/(LN(2)/25)*Calculateur!V107*Calculateur!X107*VLOOKUP('Données projet'!$B$9,Paramètres!$A$1:$I$89,3,0)*0.475*44/12</f>
        <v>14.301973998739067</v>
      </c>
      <c r="AB107" s="21">
        <f>EXP(-LN(2)/2)*AB106+(1-EXP(-LN(2)/2))/(LN(2)/2)*V107*Y107*VLOOKUP('Données projet'!$B$9,Paramètres!$A$1:$I$89,3,0)*0.475*44/12</f>
        <v>1.4295921998823522E-5</v>
      </c>
      <c r="AC107" s="22">
        <f t="shared" si="57"/>
        <v>72.400892317676252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5.0249582272954292E-14</v>
      </c>
      <c r="AK107" s="13">
        <f t="shared" si="89"/>
        <v>8.1784820119191593E-13</v>
      </c>
      <c r="AL107" s="20">
        <f t="shared" si="58"/>
        <v>1.5119369728679821E-12</v>
      </c>
      <c r="AM107" s="59">
        <f t="shared" si="59"/>
        <v>293.33333333333485</v>
      </c>
      <c r="AN107" s="59">
        <f ca="1">AVERAGE(OFFSET($AM$3,0,0,'Données projet'!$E$10+1,1))-AVERAGE(OFFSET($H$3,0,0,'Données projet'!$E$10+1,1))</f>
        <v>394.37446333077651</v>
      </c>
      <c r="AO107" s="59">
        <f t="shared" si="90"/>
        <v>335.44327961212963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128.46370292244922</v>
      </c>
      <c r="AV107" s="21">
        <f>EXP(-LN(2)/25)*AV106+(1-EXP(-LN(2)/25))/(LN(2)/25)*Calculateur!AQ107*Calculateur!AS107*VLOOKUP('Données projet'!$B$10,Paramètres!$A$1:$I$89,3,0)*0.475*44/12</f>
        <v>36.958596015967181</v>
      </c>
      <c r="AW107" s="21">
        <f>EXP(-LN(2)/2)*AW106+(1-EXP(-LN(2)/2))/(LN(2)/2)*AQ107*AT107*VLOOKUP('Données projet'!$B$10,Paramètres!$A$1:$I$89,3,0)*0.475*44/12</f>
        <v>1.9190403117266958E-2</v>
      </c>
      <c r="AX107" s="21">
        <f t="shared" si="60"/>
        <v>165.44148934153367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7.5129999999999999</v>
      </c>
      <c r="BD107" s="12">
        <f>IF('Données projet'!$A$88&gt;35,BD106+BC107-BL106,IF(A107&lt;'Données projet'!$A$88,$BA$205^A107,IF(A107='Données projet'!$A$88,'Données projet'!$B$88,BD106+BC107-BL106)))</f>
        <v>288.4330000000005</v>
      </c>
      <c r="BE107" s="13">
        <f>BD107*VLOOKUP('Données projet'!$B$11,Paramètres!$A$1:$I$89,3,0)*VLOOKUP('Données projet'!$B$11,Paramètres!$A$1:$I$89,5,0)</f>
        <v>260.97417840000043</v>
      </c>
      <c r="BF107" s="13">
        <f t="shared" si="91"/>
        <v>62.929988204000416</v>
      </c>
      <c r="BG107" s="20">
        <f t="shared" si="61"/>
        <v>564.13309016863479</v>
      </c>
      <c r="BH107" s="59">
        <f t="shared" si="62"/>
        <v>857.46642350196817</v>
      </c>
      <c r="BI107" s="59">
        <f ca="1">AVERAGE(OFFSET($BH$3,0,0,'Données projet'!$E$11+1,1))-AVERAGE(OFFSET($H$3,0,0,'Données projet'!$E$11+1,1))</f>
        <v>490.06222615476065</v>
      </c>
      <c r="BJ107" s="59">
        <f t="shared" si="92"/>
        <v>310.43914804089906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28.729798096218289</v>
      </c>
      <c r="BQ107" s="21">
        <f>EXP(-LN(2)/25)*BQ106+(1-EXP(-LN(2)/25))/(LN(2)/25)*Calculateur!BL107*Calculateur!BN107*VLOOKUP('Données projet'!$B$11,Paramètres!$A$1:$I$89,3,0)*0.475*44/12</f>
        <v>23.026037328520598</v>
      </c>
      <c r="BR107" s="21">
        <f>EXP(-LN(2)/2)*BR106+(1-EXP(-LN(2)/2))/(LN(2)/2)*BL107*BO107*VLOOKUP('Données projet'!$B$11,Paramètres!$A$1:$I$89,3,0)*0.475*44/12</f>
        <v>3.5134395255743907</v>
      </c>
      <c r="BS107" s="22">
        <f t="shared" si="63"/>
        <v>55.269274950313282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353.37479213497227</v>
      </c>
      <c r="CE107" s="59">
        <f t="shared" si="94"/>
        <v>345.4750813433123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32.317157326471872</v>
      </c>
      <c r="CL107" s="21">
        <f>EXP(-LN(2)/25)*CL106+(1-EXP(-LN(2)/25))/(LN(2)/25)*Calculateur!CG107*Calculateur!CI107*VLOOKUP('Données projet'!$B$12,Paramètres!$A$1:$I$89,3,0)*0.475*44/12</f>
        <v>26.383326882962546</v>
      </c>
      <c r="CM107" s="21">
        <f>EXP(-LN(2)/2)*CM106+(1-EXP(-LN(2)/2))/(LN(2)/2)*CG107*CJ107*VLOOKUP('Données projet'!$B$12,Paramètres!$A$1:$I$89,3,0)*0.475*44/12</f>
        <v>1.5239580372168261E-2</v>
      </c>
      <c r="CN107" s="22">
        <f t="shared" si="66"/>
        <v>58.715723789806589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5.0370000000000008</v>
      </c>
      <c r="CT107" s="12">
        <f>IF('Données projet'!$A$140&gt;35,CT106+CS107-DB106,IF(A107&lt;'Données projet'!$A$140,$CQ$205^A107,IF(A107='Données projet'!$A$140,'Données projet'!$B$140,CT106+CS107-DB106)))</f>
        <v>261.0179999999994</v>
      </c>
      <c r="CU107" s="17">
        <f>CT107*VLOOKUP('Données projet'!$B$13,Paramètres!$A$1:$I$89,3,0)*VLOOKUP('Données projet'!$B$13,Paramètres!$A$1:$I$89,5,0)</f>
        <v>125.54965799999971</v>
      </c>
      <c r="CV107" s="13">
        <f t="shared" si="95"/>
        <v>32.965940522395023</v>
      </c>
      <c r="CW107" s="20">
        <f t="shared" si="67"/>
        <v>276.08133409317082</v>
      </c>
      <c r="CX107" s="59">
        <f t="shared" si="68"/>
        <v>569.41466742650414</v>
      </c>
      <c r="CY107" s="59">
        <f ca="1">AVERAGE(OFFSET($CX$3,0,0,'Données projet'!$E$13+1,1))-AVERAGE(OFFSET($H$3,0,0,'Données projet'!$E$13+1,1))</f>
        <v>314.18760071409162</v>
      </c>
      <c r="CZ107" s="59">
        <f t="shared" si="96"/>
        <v>267.72650645201787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57.26416121724013</v>
      </c>
      <c r="DG107" s="21">
        <f>EXP(-LN(2)/25)*DG106+(1-EXP(-LN(2)/25))/(LN(2)/25)*Calculateur!DB107*Calculateur!DD107*VLOOKUP('Données projet'!$B$13,Paramètres!$A$1:$I$89,3,0)*0.475*44/12</f>
        <v>15.935760914525138</v>
      </c>
      <c r="DH107" s="21">
        <f>EXP(-LN(2)/2)*DH106+(1-EXP(-LN(2)/2))/(LN(2)/2)*DB107*DE107*VLOOKUP('Données projet'!$B$13,Paramètres!$A$1:$I$89,3,0)*0.475*44/12</f>
        <v>2.6961714364496348</v>
      </c>
      <c r="DI107" s="22">
        <f t="shared" si="69"/>
        <v>75.896093568214894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-1.7053025658242404E-13</v>
      </c>
      <c r="DP107" s="17">
        <f>DO107*VLOOKUP('Données projet'!$B$14,Paramètres!$A$1:$I$89,3,0)*VLOOKUP('Données projet'!$B$14,Paramètres!$A$1:$I$89,5,0)</f>
        <v>-1.4897523215040567E-13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324.86930206492627</v>
      </c>
      <c r="DU107" s="59">
        <f t="shared" si="98"/>
        <v>317.03005098025352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28.64505880850097</v>
      </c>
      <c r="EB107" s="21">
        <f>EXP(-LN(2)/25)*EB106+(1-EXP(-LN(2)/25))/(LN(2)/25)*Calculateur!DW107*Calculateur!DY107*VLOOKUP('Données projet'!$B$14,Paramètres!$A$1:$I$89,3,0)*0.475*44/12</f>
        <v>23.911469310947329</v>
      </c>
      <c r="EC107" s="21">
        <f>EXP(-LN(2)/2)*EC106+(1-EXP(-LN(2)/2))/(LN(2)/2)*DW107*DZ107*VLOOKUP('Données projet'!$B$14,Paramètres!$A$1:$I$89,3,0)*0.475*44/12</f>
        <v>1.3934572514485863E-2</v>
      </c>
      <c r="ED107" s="22">
        <f t="shared" si="72"/>
        <v>52.570462691962788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302.00825291248458</v>
      </c>
      <c r="T108" s="59">
        <f t="shared" si="88"/>
        <v>307.35115839449355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56.959619951956213</v>
      </c>
      <c r="AA108" s="21">
        <f>EXP(-LN(2)/25)*AA107+(1-EXP(-LN(2)/25))/(LN(2)/25)*Calculateur!V108*Calculateur!X108*VLOOKUP('Données projet'!$B$9,Paramètres!$A$1:$I$89,3,0)*0.475*44/12</f>
        <v>13.910885767635422</v>
      </c>
      <c r="AB108" s="21">
        <f>EXP(-LN(2)/2)*AB107+(1-EXP(-LN(2)/2))/(LN(2)/2)*V108*Y108*VLOOKUP('Données projet'!$B$9,Paramètres!$A$1:$I$89,3,0)*0.475*44/12</f>
        <v>1.0108743388682055E-5</v>
      </c>
      <c r="AC108" s="22">
        <f t="shared" si="57"/>
        <v>70.870515828335016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5.0249582272954292E-14</v>
      </c>
      <c r="AK108" s="13">
        <f t="shared" si="89"/>
        <v>8.1784820119191593E-13</v>
      </c>
      <c r="AL108" s="20">
        <f t="shared" si="58"/>
        <v>1.5119369728679821E-12</v>
      </c>
      <c r="AM108" s="59">
        <f t="shared" si="59"/>
        <v>293.33333333333485</v>
      </c>
      <c r="AN108" s="59">
        <f ca="1">AVERAGE(OFFSET($AM$3,0,0,'Données projet'!$E$10+1,1))-AVERAGE(OFFSET($H$3,0,0,'Données projet'!$E$10+1,1))</f>
        <v>394.37446333077651</v>
      </c>
      <c r="AO108" s="59">
        <f t="shared" si="90"/>
        <v>335.44327961212963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125.94460806326184</v>
      </c>
      <c r="AV108" s="21">
        <f>EXP(-LN(2)/25)*AV107+(1-EXP(-LN(2)/25))/(LN(2)/25)*Calculateur!AQ108*Calculateur!AS108*VLOOKUP('Données projet'!$B$10,Paramètres!$A$1:$I$89,3,0)*0.475*44/12</f>
        <v>35.947961264342467</v>
      </c>
      <c r="AW108" s="21">
        <f>EXP(-LN(2)/2)*AW107+(1-EXP(-LN(2)/2))/(LN(2)/2)*AQ108*AT108*VLOOKUP('Données projet'!$B$10,Paramètres!$A$1:$I$89,3,0)*0.475*44/12</f>
        <v>1.3569664177922927E-2</v>
      </c>
      <c r="AX108" s="21">
        <f t="shared" si="60"/>
        <v>161.90613899178223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7.5129999999999999</v>
      </c>
      <c r="BD108" s="12">
        <f>IF('Données projet'!$A$88&gt;35,BD107+BC108-BL107,IF(A108&lt;'Données projet'!$A$88,$BA$205^A108,IF(A108='Données projet'!$A$88,'Données projet'!$B$88,BD107+BC108-BL107)))</f>
        <v>295.94600000000048</v>
      </c>
      <c r="BE108" s="13">
        <f>BD108*VLOOKUP('Données projet'!$B$11,Paramètres!$A$1:$I$89,3,0)*VLOOKUP('Données projet'!$B$11,Paramètres!$A$1:$I$89,5,0)</f>
        <v>267.77194080000044</v>
      </c>
      <c r="BF108" s="13">
        <f t="shared" si="91"/>
        <v>64.376191096600778</v>
      </c>
      <c r="BG108" s="20">
        <f t="shared" si="61"/>
        <v>578.49132971991378</v>
      </c>
      <c r="BH108" s="59">
        <f t="shared" si="62"/>
        <v>871.82466305324715</v>
      </c>
      <c r="BI108" s="59">
        <f ca="1">AVERAGE(OFFSET($BH$3,0,0,'Données projet'!$E$11+1,1))-AVERAGE(OFFSET($H$3,0,0,'Données projet'!$E$11+1,1))</f>
        <v>490.06222615476065</v>
      </c>
      <c r="BJ108" s="59">
        <f t="shared" si="92"/>
        <v>310.43914804089906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28.16642427899799</v>
      </c>
      <c r="BQ108" s="21">
        <f>EXP(-LN(2)/25)*BQ107+(1-EXP(-LN(2)/25))/(LN(2)/25)*Calculateur!BL108*Calculateur!BN108*VLOOKUP('Données projet'!$B$11,Paramètres!$A$1:$I$89,3,0)*0.475*44/12</f>
        <v>22.396389126885527</v>
      </c>
      <c r="BR108" s="21">
        <f>EXP(-LN(2)/2)*BR107+(1-EXP(-LN(2)/2))/(LN(2)/2)*BL108*BO108*VLOOKUP('Données projet'!$B$11,Paramètres!$A$1:$I$89,3,0)*0.475*44/12</f>
        <v>2.4843769138224983</v>
      </c>
      <c r="BS108" s="22">
        <f t="shared" si="63"/>
        <v>53.047190319706019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353.37479213497227</v>
      </c>
      <c r="CE108" s="59">
        <f t="shared" si="94"/>
        <v>345.4750813433123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31.683437582819376</v>
      </c>
      <c r="CL108" s="21">
        <f>EXP(-LN(2)/25)*CL107+(1-EXP(-LN(2)/25))/(LN(2)/25)*Calculateur!CG108*Calculateur!CI108*VLOOKUP('Données projet'!$B$12,Paramètres!$A$1:$I$89,3,0)*0.475*44/12</f>
        <v>25.661873421909075</v>
      </c>
      <c r="CM108" s="21">
        <f>EXP(-LN(2)/2)*CM107+(1-EXP(-LN(2)/2))/(LN(2)/2)*CG108*CJ108*VLOOKUP('Données projet'!$B$12,Paramètres!$A$1:$I$89,3,0)*0.475*44/12</f>
        <v>1.0776010623597588E-2</v>
      </c>
      <c r="CN108" s="22">
        <f t="shared" si="66"/>
        <v>57.356087015352045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5.0370000000000008</v>
      </c>
      <c r="CT108" s="12">
        <f>IF('Données projet'!$A$140&gt;35,CT107+CS108-DB107,IF(A108&lt;'Données projet'!$A$140,$CQ$205^A108,IF(A108='Données projet'!$A$140,'Données projet'!$B$140,CT107+CS108-DB107)))</f>
        <v>266.05499999999938</v>
      </c>
      <c r="CU108" s="17">
        <f>CT108*VLOOKUP('Données projet'!$B$13,Paramètres!$A$1:$I$89,3,0)*VLOOKUP('Données projet'!$B$13,Paramètres!$A$1:$I$89,5,0)</f>
        <v>127.9724549999997</v>
      </c>
      <c r="CV108" s="13">
        <f t="shared" si="95"/>
        <v>33.527425453565051</v>
      </c>
      <c r="CW108" s="20">
        <f t="shared" si="67"/>
        <v>281.27895845662522</v>
      </c>
      <c r="CX108" s="59">
        <f t="shared" si="68"/>
        <v>574.61229178995859</v>
      </c>
      <c r="CY108" s="59">
        <f ca="1">AVERAGE(OFFSET($CX$3,0,0,'Données projet'!$E$13+1,1))-AVERAGE(OFFSET($H$3,0,0,'Données projet'!$E$13+1,1))</f>
        <v>314.18760071409162</v>
      </c>
      <c r="CZ108" s="59">
        <f t="shared" si="96"/>
        <v>267.72650645201787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56.141245943459573</v>
      </c>
      <c r="DG108" s="21">
        <f>EXP(-LN(2)/25)*DG107+(1-EXP(-LN(2)/25))/(LN(2)/25)*Calculateur!DB108*Calculateur!DD108*VLOOKUP('Données projet'!$B$13,Paramètres!$A$1:$I$89,3,0)*0.475*44/12</f>
        <v>15.499996694292204</v>
      </c>
      <c r="DH108" s="21">
        <f>EXP(-LN(2)/2)*DH107+(1-EXP(-LN(2)/2))/(LN(2)/2)*DB108*DE108*VLOOKUP('Données projet'!$B$13,Paramètres!$A$1:$I$89,3,0)*0.475*44/12</f>
        <v>1.9064811059550115</v>
      </c>
      <c r="DI108" s="22">
        <f t="shared" si="69"/>
        <v>73.547723743706783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-1.7053025658242404E-13</v>
      </c>
      <c r="DP108" s="17">
        <f>DO108*VLOOKUP('Données projet'!$B$14,Paramètres!$A$1:$I$89,3,0)*VLOOKUP('Données projet'!$B$14,Paramètres!$A$1:$I$89,5,0)</f>
        <v>-1.4897523215040567E-13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324.86930206492627</v>
      </c>
      <c r="DU108" s="59">
        <f t="shared" si="98"/>
        <v>317.03005098025352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28.083346677026945</v>
      </c>
      <c r="EB108" s="21">
        <f>EXP(-LN(2)/25)*EB107+(1-EXP(-LN(2)/25))/(LN(2)/25)*Calculateur!DW108*Calculateur!DY108*VLOOKUP('Données projet'!$B$14,Paramètres!$A$1:$I$89,3,0)*0.475*44/12</f>
        <v>23.257608925189952</v>
      </c>
      <c r="EC108" s="21">
        <f>EXP(-LN(2)/2)*EC107+(1-EXP(-LN(2)/2))/(LN(2)/2)*DW108*DZ108*VLOOKUP('Données projet'!$B$14,Paramètres!$A$1:$I$89,3,0)*0.475*44/12</f>
        <v>9.8532307179286342E-3</v>
      </c>
      <c r="ED108" s="22">
        <f t="shared" si="72"/>
        <v>51.350808832934824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302.00825291248458</v>
      </c>
      <c r="T109" s="59">
        <f t="shared" si="88"/>
        <v>307.35115839449355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55.842676546636042</v>
      </c>
      <c r="AA109" s="21">
        <f>EXP(-LN(2)/25)*AA108+(1-EXP(-LN(2)/25))/(LN(2)/25)*Calculateur!V109*Calculateur!X109*VLOOKUP('Données projet'!$B$9,Paramètres!$A$1:$I$89,3,0)*0.475*44/12</f>
        <v>13.530491864777742</v>
      </c>
      <c r="AB109" s="21">
        <f>EXP(-LN(2)/2)*AB108+(1-EXP(-LN(2)/2))/(LN(2)/2)*V109*Y109*VLOOKUP('Données projet'!$B$9,Paramètres!$A$1:$I$89,3,0)*0.475*44/12</f>
        <v>7.147960999411761E-6</v>
      </c>
      <c r="AC109" s="22">
        <f t="shared" si="57"/>
        <v>69.373175559374786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5.0249582272954292E-14</v>
      </c>
      <c r="AK109" s="13">
        <f t="shared" si="89"/>
        <v>8.1784820119191593E-13</v>
      </c>
      <c r="AL109" s="20">
        <f t="shared" si="58"/>
        <v>1.5119369728679821E-12</v>
      </c>
      <c r="AM109" s="59">
        <f t="shared" si="59"/>
        <v>293.33333333333485</v>
      </c>
      <c r="AN109" s="59">
        <f ca="1">AVERAGE(OFFSET($AM$3,0,0,'Données projet'!$E$10+1,1))-AVERAGE(OFFSET($H$3,0,0,'Données projet'!$E$10+1,1))</f>
        <v>394.37446333077651</v>
      </c>
      <c r="AO109" s="59">
        <f t="shared" si="90"/>
        <v>335.44327961212963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123.47491111776698</v>
      </c>
      <c r="AV109" s="21">
        <f>EXP(-LN(2)/25)*AV108+(1-EXP(-LN(2)/25))/(LN(2)/25)*Calculateur!AQ109*Calculateur!AS109*VLOOKUP('Données projet'!$B$10,Paramètres!$A$1:$I$89,3,0)*0.475*44/12</f>
        <v>34.964962373147898</v>
      </c>
      <c r="AW109" s="21">
        <f>EXP(-LN(2)/2)*AW108+(1-EXP(-LN(2)/2))/(LN(2)/2)*AQ109*AT109*VLOOKUP('Données projet'!$B$10,Paramètres!$A$1:$I$89,3,0)*0.475*44/12</f>
        <v>9.5952015586334791E-3</v>
      </c>
      <c r="AX109" s="21">
        <f t="shared" si="60"/>
        <v>158.44946869247349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7.5129999999999999</v>
      </c>
      <c r="BD109" s="12">
        <f>IF('Données projet'!$A$88&gt;35,BD108+BC109-BL108,IF(A109&lt;'Données projet'!$A$88,$BA$205^A109,IF(A109='Données projet'!$A$88,'Données projet'!$B$88,BD108+BC109-BL108)))</f>
        <v>303.45900000000046</v>
      </c>
      <c r="BE109" s="13">
        <f>BD109*VLOOKUP('Données projet'!$B$11,Paramètres!$A$1:$I$89,3,0)*VLOOKUP('Données projet'!$B$11,Paramètres!$A$1:$I$89,5,0)</f>
        <v>274.56970320000039</v>
      </c>
      <c r="BF109" s="13">
        <f t="shared" si="91"/>
        <v>65.818126318370446</v>
      </c>
      <c r="BG109" s="20">
        <f t="shared" si="61"/>
        <v>592.84213641116253</v>
      </c>
      <c r="BH109" s="59">
        <f t="shared" si="62"/>
        <v>886.17546974449579</v>
      </c>
      <c r="BI109" s="59">
        <f ca="1">AVERAGE(OFFSET($BH$3,0,0,'Données projet'!$E$11+1,1))-AVERAGE(OFFSET($H$3,0,0,'Données projet'!$E$11+1,1))</f>
        <v>490.06222615476065</v>
      </c>
      <c r="BJ109" s="59">
        <f t="shared" si="92"/>
        <v>310.43914804089906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27.614097878709284</v>
      </c>
      <c r="BQ109" s="21">
        <f>EXP(-LN(2)/25)*BQ108+(1-EXP(-LN(2)/25))/(LN(2)/25)*Calculateur!BL109*Calculateur!BN109*VLOOKUP('Données projet'!$B$11,Paramètres!$A$1:$I$89,3,0)*0.475*44/12</f>
        <v>21.783958688435927</v>
      </c>
      <c r="BR109" s="21">
        <f>EXP(-LN(2)/2)*BR108+(1-EXP(-LN(2)/2))/(LN(2)/2)*BL109*BO109*VLOOKUP('Données projet'!$B$11,Paramètres!$A$1:$I$89,3,0)*0.475*44/12</f>
        <v>1.7567197627871955</v>
      </c>
      <c r="BS109" s="22">
        <f t="shared" si="63"/>
        <v>51.154776329932403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353.37479213497227</v>
      </c>
      <c r="CE109" s="59">
        <f t="shared" si="94"/>
        <v>345.4750813433123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31.062144696809028</v>
      </c>
      <c r="CL109" s="21">
        <f>EXP(-LN(2)/25)*CL108+(1-EXP(-LN(2)/25))/(LN(2)/25)*Calculateur!CG109*Calculateur!CI109*VLOOKUP('Données projet'!$B$12,Paramètres!$A$1:$I$89,3,0)*0.475*44/12</f>
        <v>24.9601481436877</v>
      </c>
      <c r="CM109" s="21">
        <f>EXP(-LN(2)/2)*CM108+(1-EXP(-LN(2)/2))/(LN(2)/2)*CG109*CJ109*VLOOKUP('Données projet'!$B$12,Paramètres!$A$1:$I$89,3,0)*0.475*44/12</f>
        <v>7.6197901860841312E-3</v>
      </c>
      <c r="CN109" s="22">
        <f t="shared" si="66"/>
        <v>56.029912630682816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5.0370000000000008</v>
      </c>
      <c r="CT109" s="12">
        <f>IF('Données projet'!$A$140&gt;35,CT108+CS109-DB108,IF(A109&lt;'Données projet'!$A$140,$CQ$205^A109,IF(A109='Données projet'!$A$140,'Données projet'!$B$140,CT108+CS109-DB108)))</f>
        <v>271.09199999999936</v>
      </c>
      <c r="CU109" s="17">
        <f>CT109*VLOOKUP('Données projet'!$B$13,Paramètres!$A$1:$I$89,3,0)*VLOOKUP('Données projet'!$B$13,Paramètres!$A$1:$I$89,5,0)</f>
        <v>130.39525199999969</v>
      </c>
      <c r="CV109" s="13">
        <f t="shared" si="95"/>
        <v>34.087674321760531</v>
      </c>
      <c r="CW109" s="20">
        <f t="shared" si="67"/>
        <v>286.47443001039898</v>
      </c>
      <c r="CX109" s="59">
        <f t="shared" si="68"/>
        <v>579.80776334373229</v>
      </c>
      <c r="CY109" s="59">
        <f ca="1">AVERAGE(OFFSET($CX$3,0,0,'Données projet'!$E$13+1,1))-AVERAGE(OFFSET($H$3,0,0,'Données projet'!$E$13+1,1))</f>
        <v>314.18760071409162</v>
      </c>
      <c r="CZ109" s="59">
        <f t="shared" si="96"/>
        <v>267.72650645201787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55.04035035328716</v>
      </c>
      <c r="DG109" s="21">
        <f>EXP(-LN(2)/25)*DG108+(1-EXP(-LN(2)/25))/(LN(2)/25)*Calculateur!DB109*Calculateur!DD109*VLOOKUP('Données projet'!$B$13,Paramètres!$A$1:$I$89,3,0)*0.475*44/12</f>
        <v>15.076148469577383</v>
      </c>
      <c r="DH109" s="21">
        <f>EXP(-LN(2)/2)*DH108+(1-EXP(-LN(2)/2))/(LN(2)/2)*DB109*DE109*VLOOKUP('Données projet'!$B$13,Paramètres!$A$1:$I$89,3,0)*0.475*44/12</f>
        <v>1.3480857182248176</v>
      </c>
      <c r="DI109" s="22">
        <f t="shared" si="69"/>
        <v>71.464584541089366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-1.7053025658242404E-13</v>
      </c>
      <c r="DP109" s="17">
        <f>DO109*VLOOKUP('Données projet'!$B$14,Paramètres!$A$1:$I$89,3,0)*VLOOKUP('Données projet'!$B$14,Paramètres!$A$1:$I$89,5,0)</f>
        <v>-1.4897523215040567E-13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324.86930206492627</v>
      </c>
      <c r="DU109" s="59">
        <f t="shared" si="98"/>
        <v>317.03005098025352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27.532649377840556</v>
      </c>
      <c r="EB109" s="21">
        <f>EXP(-LN(2)/25)*EB108+(1-EXP(-LN(2)/25))/(LN(2)/25)*Calculateur!DW109*Calculateur!DY109*VLOOKUP('Données projet'!$B$14,Paramètres!$A$1:$I$89,3,0)*0.475*44/12</f>
        <v>22.621628386066135</v>
      </c>
      <c r="EC109" s="21">
        <f>EXP(-LN(2)/2)*EC108+(1-EXP(-LN(2)/2))/(LN(2)/2)*DW109*DZ109*VLOOKUP('Données projet'!$B$14,Paramètres!$A$1:$I$89,3,0)*0.475*44/12</f>
        <v>6.9672862572429314E-3</v>
      </c>
      <c r="ED109" s="22">
        <f t="shared" si="72"/>
        <v>50.161245050163934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302.00825291248458</v>
      </c>
      <c r="T110" s="59">
        <f t="shared" si="88"/>
        <v>307.35115839449355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54.747635720225993</v>
      </c>
      <c r="AA110" s="21">
        <f>EXP(-LN(2)/25)*AA109+(1-EXP(-LN(2)/25))/(LN(2)/25)*Calculateur!V110*Calculateur!X110*VLOOKUP('Données projet'!$B$9,Paramètres!$A$1:$I$89,3,0)*0.475*44/12</f>
        <v>13.160499853197752</v>
      </c>
      <c r="AB110" s="21">
        <f>EXP(-LN(2)/2)*AB109+(1-EXP(-LN(2)/2))/(LN(2)/2)*V110*Y110*VLOOKUP('Données projet'!$B$9,Paramètres!$A$1:$I$89,3,0)*0.475*44/12</f>
        <v>5.0543716943410276E-6</v>
      </c>
      <c r="AC110" s="22">
        <f t="shared" si="57"/>
        <v>67.908140627795447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5.0249582272954292E-14</v>
      </c>
      <c r="AK110" s="13">
        <f t="shared" si="89"/>
        <v>8.1784820119191593E-13</v>
      </c>
      <c r="AL110" s="20">
        <f t="shared" si="58"/>
        <v>1.5119369728679821E-12</v>
      </c>
      <c r="AM110" s="59">
        <f t="shared" si="59"/>
        <v>293.33333333333485</v>
      </c>
      <c r="AN110" s="59">
        <f ca="1">AVERAGE(OFFSET($AM$3,0,0,'Données projet'!$E$10+1,1))-AVERAGE(OFFSET($H$3,0,0,'Données projet'!$E$10+1,1))</f>
        <v>394.37446333077651</v>
      </c>
      <c r="AO110" s="59">
        <f t="shared" si="90"/>
        <v>335.44327961212963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121.05364342300689</v>
      </c>
      <c r="AV110" s="21">
        <f>EXP(-LN(2)/25)*AV109+(1-EXP(-LN(2)/25))/(LN(2)/25)*Calculateur!AQ110*Calculateur!AS110*VLOOKUP('Données projet'!$B$10,Paramètres!$A$1:$I$89,3,0)*0.475*44/12</f>
        <v>34.008843638326709</v>
      </c>
      <c r="AW110" s="21">
        <f>EXP(-LN(2)/2)*AW109+(1-EXP(-LN(2)/2))/(LN(2)/2)*AQ110*AT110*VLOOKUP('Données projet'!$B$10,Paramètres!$A$1:$I$89,3,0)*0.475*44/12</f>
        <v>6.7848320889614634E-3</v>
      </c>
      <c r="AX110" s="21">
        <f t="shared" si="60"/>
        <v>155.06927189342255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7.5129999999999999</v>
      </c>
      <c r="BD110" s="12">
        <f>IF('Données projet'!$A$88&gt;35,BD109+BC110-BL109,IF(A110&lt;'Données projet'!$A$88,$BA$205^A110,IF(A110='Données projet'!$A$88,'Données projet'!$B$88,BD109+BC110-BL109)))</f>
        <v>310.97200000000043</v>
      </c>
      <c r="BE110" s="13">
        <f>BD110*VLOOKUP('Données projet'!$B$11,Paramètres!$A$1:$I$89,3,0)*VLOOKUP('Données projet'!$B$11,Paramètres!$A$1:$I$89,5,0)</f>
        <v>281.3674656000004</v>
      </c>
      <c r="BF110" s="13">
        <f t="shared" si="91"/>
        <v>67.255911680958462</v>
      </c>
      <c r="BG110" s="20">
        <f t="shared" si="61"/>
        <v>607.18571543100336</v>
      </c>
      <c r="BH110" s="59">
        <f t="shared" si="62"/>
        <v>900.51904876433673</v>
      </c>
      <c r="BI110" s="59">
        <f ca="1">AVERAGE(OFFSET($BH$3,0,0,'Données projet'!$E$11+1,1))-AVERAGE(OFFSET($H$3,0,0,'Données projet'!$E$11+1,1))</f>
        <v>490.06222615476065</v>
      </c>
      <c r="BJ110" s="59">
        <f t="shared" si="92"/>
        <v>310.43914804089906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27.072602262244398</v>
      </c>
      <c r="BQ110" s="21">
        <f>EXP(-LN(2)/25)*BQ109+(1-EXP(-LN(2)/25))/(LN(2)/25)*Calculateur!BL110*Calculateur!BN110*VLOOKUP('Données projet'!$B$11,Paramètres!$A$1:$I$89,3,0)*0.475*44/12</f>
        <v>21.188275192532046</v>
      </c>
      <c r="BR110" s="21">
        <f>EXP(-LN(2)/2)*BR109+(1-EXP(-LN(2)/2))/(LN(2)/2)*BL110*BO110*VLOOKUP('Données projet'!$B$11,Paramètres!$A$1:$I$89,3,0)*0.475*44/12</f>
        <v>1.2421884569112494</v>
      </c>
      <c r="BS110" s="22">
        <f t="shared" si="63"/>
        <v>49.503065911687699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353.37479213497227</v>
      </c>
      <c r="CE110" s="59">
        <f t="shared" si="94"/>
        <v>345.4750813433123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30.453034985342104</v>
      </c>
      <c r="CL110" s="21">
        <f>EXP(-LN(2)/25)*CL109+(1-EXP(-LN(2)/25))/(LN(2)/25)*Calculateur!CG110*Calculateur!CI110*VLOOKUP('Données projet'!$B$12,Paramètres!$A$1:$I$89,3,0)*0.475*44/12</f>
        <v>24.277611580101418</v>
      </c>
      <c r="CM110" s="21">
        <f>EXP(-LN(2)/2)*CM109+(1-EXP(-LN(2)/2))/(LN(2)/2)*CG110*CJ110*VLOOKUP('Données projet'!$B$12,Paramètres!$A$1:$I$89,3,0)*0.475*44/12</f>
        <v>5.3880053117987946E-3</v>
      </c>
      <c r="CN110" s="22">
        <f t="shared" si="66"/>
        <v>54.736034570755322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5.0370000000000008</v>
      </c>
      <c r="CT110" s="12">
        <f>IF('Données projet'!$A$140&gt;35,CT109+CS110-DB109,IF(A110&lt;'Données projet'!$A$140,$CQ$205^A110,IF(A110='Données projet'!$A$140,'Données projet'!$B$140,CT109+CS110-DB109)))</f>
        <v>276.12899999999934</v>
      </c>
      <c r="CU110" s="17">
        <f>CT110*VLOOKUP('Données projet'!$B$13,Paramètres!$A$1:$I$89,3,0)*VLOOKUP('Données projet'!$B$13,Paramètres!$A$1:$I$89,5,0)</f>
        <v>132.81804899999969</v>
      </c>
      <c r="CV110" s="13">
        <f t="shared" si="95"/>
        <v>34.646712742109138</v>
      </c>
      <c r="CW110" s="20">
        <f t="shared" si="67"/>
        <v>291.66779336750619</v>
      </c>
      <c r="CX110" s="59">
        <f t="shared" si="68"/>
        <v>585.00112670083945</v>
      </c>
      <c r="CY110" s="59">
        <f ca="1">AVERAGE(OFFSET($CX$3,0,0,'Données projet'!$E$13+1,1))-AVERAGE(OFFSET($H$3,0,0,'Données projet'!$E$13+1,1))</f>
        <v>314.18760071409162</v>
      </c>
      <c r="CZ110" s="59">
        <f t="shared" si="96"/>
        <v>267.72650645201787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53.961042654158021</v>
      </c>
      <c r="DG110" s="21">
        <f>EXP(-LN(2)/25)*DG109+(1-EXP(-LN(2)/25))/(LN(2)/25)*Calculateur!DB110*Calculateur!DD110*VLOOKUP('Données projet'!$B$13,Paramètres!$A$1:$I$89,3,0)*0.475*44/12</f>
        <v>14.663890396856598</v>
      </c>
      <c r="DH110" s="21">
        <f>EXP(-LN(2)/2)*DH109+(1-EXP(-LN(2)/2))/(LN(2)/2)*DB110*DE110*VLOOKUP('Données projet'!$B$13,Paramètres!$A$1:$I$89,3,0)*0.475*44/12</f>
        <v>0.95324055297750587</v>
      </c>
      <c r="DI110" s="22">
        <f t="shared" si="69"/>
        <v>69.578173603992127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-1.7053025658242404E-13</v>
      </c>
      <c r="DP110" s="17">
        <f>DO110*VLOOKUP('Données projet'!$B$14,Paramètres!$A$1:$I$89,3,0)*VLOOKUP('Données projet'!$B$14,Paramètres!$A$1:$I$89,5,0)</f>
        <v>-1.4897523215040567E-13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324.86930206492627</v>
      </c>
      <c r="DU110" s="59">
        <f t="shared" si="98"/>
        <v>317.03005098025352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26.992750916799029</v>
      </c>
      <c r="EB110" s="21">
        <f>EXP(-LN(2)/25)*EB109+(1-EXP(-LN(2)/25))/(LN(2)/25)*Calculateur!DW110*Calculateur!DY110*VLOOKUP('Données projet'!$B$14,Paramètres!$A$1:$I$89,3,0)*0.475*44/12</f>
        <v>22.003038768229423</v>
      </c>
      <c r="EC110" s="21">
        <f>EXP(-LN(2)/2)*EC109+(1-EXP(-LN(2)/2))/(LN(2)/2)*DW110*DZ110*VLOOKUP('Données projet'!$B$14,Paramètres!$A$1:$I$89,3,0)*0.475*44/12</f>
        <v>4.9266153589643171E-3</v>
      </c>
      <c r="ED110" s="22">
        <f t="shared" si="72"/>
        <v>49.000716300387417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302.00825291248458</v>
      </c>
      <c r="T111" s="59">
        <f t="shared" si="88"/>
        <v>307.35115839449355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53.674067976512887</v>
      </c>
      <c r="AA111" s="21">
        <f>EXP(-LN(2)/25)*AA110+(1-EXP(-LN(2)/25))/(LN(2)/25)*Calculateur!V111*Calculateur!X111*VLOOKUP('Données projet'!$B$9,Paramètres!$A$1:$I$89,3,0)*0.475*44/12</f>
        <v>12.800625292631452</v>
      </c>
      <c r="AB111" s="21">
        <f>EXP(-LN(2)/2)*AB110+(1-EXP(-LN(2)/2))/(LN(2)/2)*V111*Y111*VLOOKUP('Données projet'!$B$9,Paramètres!$A$1:$I$89,3,0)*0.475*44/12</f>
        <v>3.5739804997058805E-6</v>
      </c>
      <c r="AC111" s="22">
        <f t="shared" si="57"/>
        <v>66.474696843124832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5.0249582272954292E-14</v>
      </c>
      <c r="AK111" s="13">
        <f t="shared" si="89"/>
        <v>8.1784820119191593E-13</v>
      </c>
      <c r="AL111" s="20">
        <f t="shared" si="58"/>
        <v>1.5119369728679821E-12</v>
      </c>
      <c r="AM111" s="59">
        <f t="shared" si="59"/>
        <v>293.33333333333485</v>
      </c>
      <c r="AN111" s="59">
        <f ca="1">AVERAGE(OFFSET($AM$3,0,0,'Données projet'!$E$10+1,1))-AVERAGE(OFFSET($H$3,0,0,'Données projet'!$E$10+1,1))</f>
        <v>394.37446333077651</v>
      </c>
      <c r="AO111" s="59">
        <f t="shared" si="90"/>
        <v>335.44327961212963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118.67985531091357</v>
      </c>
      <c r="AV111" s="21">
        <f>EXP(-LN(2)/25)*AV110+(1-EXP(-LN(2)/25))/(LN(2)/25)*Calculateur!AQ111*Calculateur!AS111*VLOOKUP('Données projet'!$B$10,Paramètres!$A$1:$I$89,3,0)*0.475*44/12</f>
        <v>33.078870020589306</v>
      </c>
      <c r="AW111" s="21">
        <f>EXP(-LN(2)/2)*AW110+(1-EXP(-LN(2)/2))/(LN(2)/2)*AQ111*AT111*VLOOKUP('Données projet'!$B$10,Paramètres!$A$1:$I$89,3,0)*0.475*44/12</f>
        <v>4.7976007793167396E-3</v>
      </c>
      <c r="AX111" s="21">
        <f t="shared" si="60"/>
        <v>151.7635229322822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7.5129999999999999</v>
      </c>
      <c r="BD111" s="12">
        <f>IF('Données projet'!$A$88&gt;35,BD110+BC111-BL110,IF(A111&lt;'Données projet'!$A$88,$BA$205^A111,IF(A111='Données projet'!$A$88,'Données projet'!$B$88,BD110+BC111-BL110)))</f>
        <v>318.48500000000041</v>
      </c>
      <c r="BE111" s="13">
        <f>BD111*VLOOKUP('Données projet'!$B$11,Paramètres!$A$1:$I$89,3,0)*VLOOKUP('Données projet'!$B$11,Paramètres!$A$1:$I$89,5,0)</f>
        <v>288.16522800000035</v>
      </c>
      <c r="BF111" s="13">
        <f t="shared" si="91"/>
        <v>68.689658978808254</v>
      </c>
      <c r="BG111" s="20">
        <f t="shared" si="61"/>
        <v>621.52226148809166</v>
      </c>
      <c r="BH111" s="59">
        <f t="shared" si="62"/>
        <v>914.85559482142503</v>
      </c>
      <c r="BI111" s="59">
        <f ca="1">AVERAGE(OFFSET($BH$3,0,0,'Données projet'!$E$11+1,1))-AVERAGE(OFFSET($H$3,0,0,'Données projet'!$E$11+1,1))</f>
        <v>490.06222615476065</v>
      </c>
      <c r="BJ111" s="59">
        <f t="shared" si="92"/>
        <v>310.43914804089906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26.541725044538676</v>
      </c>
      <c r="BQ111" s="21">
        <f>EXP(-LN(2)/25)*BQ110+(1-EXP(-LN(2)/25))/(LN(2)/25)*Calculateur!BL111*Calculateur!BN111*VLOOKUP('Données projet'!$B$11,Paramètres!$A$1:$I$89,3,0)*0.475*44/12</f>
        <v>20.608880693149292</v>
      </c>
      <c r="BR111" s="21">
        <f>EXP(-LN(2)/2)*BR110+(1-EXP(-LN(2)/2))/(LN(2)/2)*BL111*BO111*VLOOKUP('Données projet'!$B$11,Paramètres!$A$1:$I$89,3,0)*0.475*44/12</f>
        <v>0.878359881393598</v>
      </c>
      <c r="BS111" s="22">
        <f t="shared" si="63"/>
        <v>48.028965619081568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353.37479213497227</v>
      </c>
      <c r="CE111" s="59">
        <f t="shared" si="94"/>
        <v>345.4750813433123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29.855869543796803</v>
      </c>
      <c r="CL111" s="21">
        <f>EXP(-LN(2)/25)*CL110+(1-EXP(-LN(2)/25))/(LN(2)/25)*Calculateur!CG111*Calculateur!CI111*VLOOKUP('Données projet'!$B$12,Paramètres!$A$1:$I$89,3,0)*0.475*44/12</f>
        <v>23.613739014739437</v>
      </c>
      <c r="CM111" s="21">
        <f>EXP(-LN(2)/2)*CM110+(1-EXP(-LN(2)/2))/(LN(2)/2)*CG111*CJ111*VLOOKUP('Données projet'!$B$12,Paramètres!$A$1:$I$89,3,0)*0.475*44/12</f>
        <v>3.8098950930420664E-3</v>
      </c>
      <c r="CN111" s="22">
        <f t="shared" si="66"/>
        <v>53.473418453629279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5.0370000000000008</v>
      </c>
      <c r="CT111" s="12">
        <f>IF('Données projet'!$A$140&gt;35,CT110+CS111-DB110,IF(A111&lt;'Données projet'!$A$140,$CQ$205^A111,IF(A111='Données projet'!$A$140,'Données projet'!$B$140,CT110+CS111-DB110)))</f>
        <v>281.16599999999931</v>
      </c>
      <c r="CU111" s="17">
        <f>CT111*VLOOKUP('Données projet'!$B$13,Paramètres!$A$1:$I$89,3,0)*VLOOKUP('Données projet'!$B$13,Paramètres!$A$1:$I$89,5,0)</f>
        <v>135.24084599999966</v>
      </c>
      <c r="CV111" s="13">
        <f t="shared" si="95"/>
        <v>35.204565341719402</v>
      </c>
      <c r="CW111" s="20">
        <f t="shared" si="67"/>
        <v>296.85909142016072</v>
      </c>
      <c r="CX111" s="59">
        <f t="shared" si="68"/>
        <v>590.19242475349404</v>
      </c>
      <c r="CY111" s="59">
        <f ca="1">AVERAGE(OFFSET($CX$3,0,0,'Données projet'!$E$13+1,1))-AVERAGE(OFFSET($H$3,0,0,'Données projet'!$E$13+1,1))</f>
        <v>314.18760071409162</v>
      </c>
      <c r="CZ111" s="59">
        <f t="shared" si="96"/>
        <v>267.72650645201787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52.902899520696117</v>
      </c>
      <c r="DG111" s="21">
        <f>EXP(-LN(2)/25)*DG110+(1-EXP(-LN(2)/25))/(LN(2)/25)*Calculateur!DB111*Calculateur!DD111*VLOOKUP('Données projet'!$B$13,Paramètres!$A$1:$I$89,3,0)*0.475*44/12</f>
        <v>14.262905542814073</v>
      </c>
      <c r="DH111" s="21">
        <f>EXP(-LN(2)/2)*DH110+(1-EXP(-LN(2)/2))/(LN(2)/2)*DB111*DE111*VLOOKUP('Données projet'!$B$13,Paramètres!$A$1:$I$89,3,0)*0.475*44/12</f>
        <v>0.67404285911240891</v>
      </c>
      <c r="DI111" s="22">
        <f t="shared" si="69"/>
        <v>67.839847922622596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-1.7053025658242404E-13</v>
      </c>
      <c r="DP111" s="17">
        <f>DO111*VLOOKUP('Données projet'!$B$14,Paramètres!$A$1:$I$89,3,0)*VLOOKUP('Données projet'!$B$14,Paramètres!$A$1:$I$89,5,0)</f>
        <v>-1.4897523215040567E-13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324.86930206492627</v>
      </c>
      <c r="DU111" s="59">
        <f t="shared" si="98"/>
        <v>317.03005098025352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26.463439535272979</v>
      </c>
      <c r="EB111" s="21">
        <f>EXP(-LN(2)/25)*EB110+(1-EXP(-LN(2)/25))/(LN(2)/25)*Calculateur!DW111*Calculateur!DY111*VLOOKUP('Données projet'!$B$14,Paramètres!$A$1:$I$89,3,0)*0.475*44/12</f>
        <v>21.401364516022671</v>
      </c>
      <c r="EC111" s="21">
        <f>EXP(-LN(2)/2)*EC110+(1-EXP(-LN(2)/2))/(LN(2)/2)*DW111*DZ111*VLOOKUP('Données projet'!$B$14,Paramètres!$A$1:$I$89,3,0)*0.475*44/12</f>
        <v>3.4836431286214657E-3</v>
      </c>
      <c r="ED111" s="22">
        <f t="shared" si="72"/>
        <v>47.868287694424268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302.00825291248458</v>
      </c>
      <c r="T112" s="59">
        <f t="shared" si="88"/>
        <v>307.35115839449355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52.62155224144233</v>
      </c>
      <c r="AA112" s="21">
        <f>EXP(-LN(2)/25)*AA111+(1-EXP(-LN(2)/25))/(LN(2)/25)*Calculateur!V112*Calculateur!X112*VLOOKUP('Données projet'!$B$9,Paramètres!$A$1:$I$89,3,0)*0.475*44/12</f>
        <v>12.450591520848816</v>
      </c>
      <c r="AB112" s="21">
        <f>EXP(-LN(2)/2)*AB111+(1-EXP(-LN(2)/2))/(LN(2)/2)*V112*Y112*VLOOKUP('Données projet'!$B$9,Paramètres!$A$1:$I$89,3,0)*0.475*44/12</f>
        <v>2.5271858471705138E-6</v>
      </c>
      <c r="AC112" s="22">
        <f t="shared" si="57"/>
        <v>65.07214628947699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5.0249582272954292E-14</v>
      </c>
      <c r="AK112" s="13">
        <f t="shared" si="89"/>
        <v>8.1784820119191593E-13</v>
      </c>
      <c r="AL112" s="20">
        <f t="shared" si="58"/>
        <v>1.5119369728679821E-12</v>
      </c>
      <c r="AM112" s="59">
        <f t="shared" si="59"/>
        <v>293.33333333333485</v>
      </c>
      <c r="AN112" s="59">
        <f ca="1">AVERAGE(OFFSET($AM$3,0,0,'Données projet'!$E$10+1,1))-AVERAGE(OFFSET($H$3,0,0,'Données projet'!$E$10+1,1))</f>
        <v>394.37446333077651</v>
      </c>
      <c r="AO112" s="59">
        <f t="shared" si="90"/>
        <v>335.44327961212963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116.35261573583061</v>
      </c>
      <c r="AV112" s="21">
        <f>EXP(-LN(2)/25)*AV111+(1-EXP(-LN(2)/25))/(LN(2)/25)*Calculateur!AQ112*Calculateur!AS112*VLOOKUP('Données projet'!$B$10,Paramètres!$A$1:$I$89,3,0)*0.475*44/12</f>
        <v>32.174326580334117</v>
      </c>
      <c r="AW112" s="21">
        <f>EXP(-LN(2)/2)*AW111+(1-EXP(-LN(2)/2))/(LN(2)/2)*AQ112*AT112*VLOOKUP('Données projet'!$B$10,Paramètres!$A$1:$I$89,3,0)*0.475*44/12</f>
        <v>3.3924160444807317E-3</v>
      </c>
      <c r="AX112" s="21">
        <f t="shared" si="60"/>
        <v>148.53033473220921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7.5129999999999999</v>
      </c>
      <c r="BD112" s="12">
        <f>IF('Données projet'!$A$88&gt;35,BD111+BC112-BL111,IF(A112&lt;'Données projet'!$A$88,$BA$205^A112,IF(A112='Données projet'!$A$88,'Données projet'!$B$88,BD111+BC112-BL111)))</f>
        <v>325.99800000000039</v>
      </c>
      <c r="BE112" s="13">
        <f>BD112*VLOOKUP('Données projet'!$B$11,Paramètres!$A$1:$I$89,3,0)*VLOOKUP('Données projet'!$B$11,Paramètres!$A$1:$I$89,5,0)</f>
        <v>294.96299040000036</v>
      </c>
      <c r="BF112" s="13">
        <f t="shared" si="91"/>
        <v>70.119474431072192</v>
      </c>
      <c r="BG112" s="20">
        <f t="shared" si="61"/>
        <v>635.85195958078464</v>
      </c>
      <c r="BH112" s="59">
        <f t="shared" si="62"/>
        <v>929.18529291411801</v>
      </c>
      <c r="BI112" s="59">
        <f ca="1">AVERAGE(OFFSET($BH$3,0,0,'Données projet'!$E$11+1,1))-AVERAGE(OFFSET($H$3,0,0,'Données projet'!$E$11+1,1))</f>
        <v>490.06222615476065</v>
      </c>
      <c r="BJ112" s="59">
        <f t="shared" si="92"/>
        <v>310.43914804089906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26.021258005269033</v>
      </c>
      <c r="BQ112" s="21">
        <f>EXP(-LN(2)/25)*BQ111+(1-EXP(-LN(2)/25))/(LN(2)/25)*Calculateur!BL112*Calculateur!BN112*VLOOKUP('Données projet'!$B$11,Paramètres!$A$1:$I$89,3,0)*0.475*44/12</f>
        <v>20.04532976682119</v>
      </c>
      <c r="BR112" s="21">
        <f>EXP(-LN(2)/2)*BR111+(1-EXP(-LN(2)/2))/(LN(2)/2)*BL112*BO112*VLOOKUP('Données projet'!$B$11,Paramètres!$A$1:$I$89,3,0)*0.475*44/12</f>
        <v>0.62109422845562479</v>
      </c>
      <c r="BS112" s="22">
        <f t="shared" si="63"/>
        <v>46.687682000545848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353.37479213497227</v>
      </c>
      <c r="CE112" s="59">
        <f t="shared" si="94"/>
        <v>345.4750813433123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29.270414152325255</v>
      </c>
      <c r="CL112" s="21">
        <f>EXP(-LN(2)/25)*CL111+(1-EXP(-LN(2)/25))/(LN(2)/25)*Calculateur!CG112*Calculateur!CI112*VLOOKUP('Données projet'!$B$12,Paramètres!$A$1:$I$89,3,0)*0.475*44/12</f>
        <v>22.968020079588822</v>
      </c>
      <c r="CM112" s="21">
        <f>EXP(-LN(2)/2)*CM111+(1-EXP(-LN(2)/2))/(LN(2)/2)*CG112*CJ112*VLOOKUP('Données projet'!$B$12,Paramètres!$A$1:$I$89,3,0)*0.475*44/12</f>
        <v>2.6940026558993978E-3</v>
      </c>
      <c r="CN112" s="22">
        <f t="shared" si="66"/>
        <v>52.241128234569977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5.0370000000000008</v>
      </c>
      <c r="CT112" s="12">
        <f>IF('Données projet'!$A$140&gt;35,CT111+CS112-DB111,IF(A112&lt;'Données projet'!$A$140,$CQ$205^A112,IF(A112='Données projet'!$A$140,'Données projet'!$B$140,CT111+CS112-DB111)))</f>
        <v>286.20299999999929</v>
      </c>
      <c r="CU112" s="17">
        <f>CT112*VLOOKUP('Données projet'!$B$13,Paramètres!$A$1:$I$89,3,0)*VLOOKUP('Données projet'!$B$13,Paramètres!$A$1:$I$89,5,0)</f>
        <v>137.66364299999967</v>
      </c>
      <c r="CV112" s="13">
        <f t="shared" si="95"/>
        <v>35.761255814795518</v>
      </c>
      <c r="CW112" s="20">
        <f t="shared" si="67"/>
        <v>302.04836543576829</v>
      </c>
      <c r="CX112" s="59">
        <f t="shared" si="68"/>
        <v>595.3816987691016</v>
      </c>
      <c r="CY112" s="59">
        <f ca="1">AVERAGE(OFFSET($CX$3,0,0,'Données projet'!$E$13+1,1))-AVERAGE(OFFSET($H$3,0,0,'Données projet'!$E$13+1,1))</f>
        <v>314.18760071409162</v>
      </c>
      <c r="CZ112" s="59">
        <f t="shared" si="96"/>
        <v>267.72650645201787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51.865505928677813</v>
      </c>
      <c r="DG112" s="21">
        <f>EXP(-LN(2)/25)*DG111+(1-EXP(-LN(2)/25))/(LN(2)/25)*Calculateur!DB112*Calculateur!DD112*VLOOKUP('Données projet'!$B$13,Paramètres!$A$1:$I$89,3,0)*0.475*44/12</f>
        <v>13.872885640692218</v>
      </c>
      <c r="DH112" s="21">
        <f>EXP(-LN(2)/2)*DH111+(1-EXP(-LN(2)/2))/(LN(2)/2)*DB112*DE112*VLOOKUP('Données projet'!$B$13,Paramètres!$A$1:$I$89,3,0)*0.475*44/12</f>
        <v>0.47662027648875305</v>
      </c>
      <c r="DI112" s="22">
        <f t="shared" si="69"/>
        <v>66.215011845858797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-1.7053025658242404E-13</v>
      </c>
      <c r="DP112" s="17">
        <f>DO112*VLOOKUP('Données projet'!$B$14,Paramètres!$A$1:$I$89,3,0)*VLOOKUP('Données projet'!$B$14,Paramètres!$A$1:$I$89,5,0)</f>
        <v>-1.4897523215040567E-13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324.86930206492627</v>
      </c>
      <c r="DU112" s="59">
        <f t="shared" si="98"/>
        <v>317.03005098025352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25.944507627090591</v>
      </c>
      <c r="EB112" s="21">
        <f>EXP(-LN(2)/25)*EB111+(1-EXP(-LN(2)/25))/(LN(2)/25)*Calculateur!DW112*Calculateur!DY112*VLOOKUP('Données projet'!$B$14,Paramètres!$A$1:$I$89,3,0)*0.475*44/12</f>
        <v>20.816143077883183</v>
      </c>
      <c r="EC112" s="21">
        <f>EXP(-LN(2)/2)*EC111+(1-EXP(-LN(2)/2))/(LN(2)/2)*DW112*DZ112*VLOOKUP('Données projet'!$B$14,Paramètres!$A$1:$I$89,3,0)*0.475*44/12</f>
        <v>2.4633076794821586E-3</v>
      </c>
      <c r="ED112" s="22">
        <f t="shared" si="72"/>
        <v>46.763114012653254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302.00825291248458</v>
      </c>
      <c r="T113" s="59">
        <f t="shared" si="88"/>
        <v>307.35115839449355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51.589675697965298</v>
      </c>
      <c r="AA113" s="21">
        <f>EXP(-LN(2)/25)*AA112+(1-EXP(-LN(2)/25))/(LN(2)/25)*Calculateur!V113*Calculateur!X113*VLOOKUP('Données projet'!$B$9,Paramètres!$A$1:$I$89,3,0)*0.475*44/12</f>
        <v>12.110129440963053</v>
      </c>
      <c r="AB113" s="21">
        <f>EXP(-LN(2)/2)*AB112+(1-EXP(-LN(2)/2))/(LN(2)/2)*V113*Y113*VLOOKUP('Données projet'!$B$9,Paramètres!$A$1:$I$89,3,0)*0.475*44/12</f>
        <v>1.7869902498529403E-6</v>
      </c>
      <c r="AC113" s="22">
        <f t="shared" si="57"/>
        <v>63.699806925918601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5.0249582272954292E-14</v>
      </c>
      <c r="AK113" s="13">
        <f t="shared" si="89"/>
        <v>8.1784820119191593E-13</v>
      </c>
      <c r="AL113" s="20">
        <f t="shared" si="58"/>
        <v>1.5119369728679821E-12</v>
      </c>
      <c r="AM113" s="59">
        <f t="shared" si="59"/>
        <v>293.33333333333485</v>
      </c>
      <c r="AN113" s="59">
        <f ca="1">AVERAGE(OFFSET($AM$3,0,0,'Données projet'!$E$10+1,1))-AVERAGE(OFFSET($H$3,0,0,'Données projet'!$E$10+1,1))</f>
        <v>394.37446333077651</v>
      </c>
      <c r="AO113" s="59">
        <f t="shared" si="90"/>
        <v>335.44327961212963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114.07101190933905</v>
      </c>
      <c r="AV113" s="21">
        <f>EXP(-LN(2)/25)*AV112+(1-EXP(-LN(2)/25))/(LN(2)/25)*Calculateur!AQ113*Calculateur!AS113*VLOOKUP('Données projet'!$B$10,Paramètres!$A$1:$I$89,3,0)*0.475*44/12</f>
        <v>31.294517928020582</v>
      </c>
      <c r="AW113" s="21">
        <f>EXP(-LN(2)/2)*AW112+(1-EXP(-LN(2)/2))/(LN(2)/2)*AQ113*AT113*VLOOKUP('Données projet'!$B$10,Paramètres!$A$1:$I$89,3,0)*0.475*44/12</f>
        <v>2.3988003896583698E-3</v>
      </c>
      <c r="AX113" s="21">
        <f t="shared" si="60"/>
        <v>145.36792863774932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7.5129999999999999</v>
      </c>
      <c r="BD113" s="12">
        <f>IF('Données projet'!$A$88&gt;35,BD112+BC113-BL112,IF(A113&lt;'Données projet'!$A$88,$BA$205^A113,IF(A113='Données projet'!$A$88,'Données projet'!$B$88,BD112+BC113-BL112)))</f>
        <v>333.51100000000037</v>
      </c>
      <c r="BE113" s="13">
        <f>BD113*VLOOKUP('Données projet'!$B$11,Paramètres!$A$1:$I$89,3,0)*VLOOKUP('Données projet'!$B$11,Paramètres!$A$1:$I$89,5,0)</f>
        <v>301.76075280000032</v>
      </c>
      <c r="BF113" s="13">
        <f t="shared" si="91"/>
        <v>71.545459081640786</v>
      </c>
      <c r="BG113" s="20">
        <f t="shared" si="61"/>
        <v>650.17498569385816</v>
      </c>
      <c r="BH113" s="59">
        <f t="shared" si="62"/>
        <v>943.50831902719142</v>
      </c>
      <c r="BI113" s="59">
        <f ca="1">AVERAGE(OFFSET($BH$3,0,0,'Données projet'!$E$11+1,1))-AVERAGE(OFFSET($H$3,0,0,'Données projet'!$E$11+1,1))</f>
        <v>490.06222615476065</v>
      </c>
      <c r="BJ113" s="59">
        <f t="shared" si="92"/>
        <v>310.43914804089906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25.510997007185921</v>
      </c>
      <c r="BQ113" s="21">
        <f>EXP(-LN(2)/25)*BQ112+(1-EXP(-LN(2)/25))/(LN(2)/25)*Calculateur!BL113*Calculateur!BN113*VLOOKUP('Données projet'!$B$11,Paramètres!$A$1:$I$89,3,0)*0.475*44/12</f>
        <v>19.497189170209385</v>
      </c>
      <c r="BR113" s="21">
        <f>EXP(-LN(2)/2)*BR112+(1-EXP(-LN(2)/2))/(LN(2)/2)*BL113*BO113*VLOOKUP('Données projet'!$B$11,Paramètres!$A$1:$I$89,3,0)*0.475*44/12</f>
        <v>0.43917994069679905</v>
      </c>
      <c r="BS113" s="22">
        <f t="shared" si="63"/>
        <v>45.447366118092098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353.37479213497227</v>
      </c>
      <c r="CE113" s="59">
        <f t="shared" si="94"/>
        <v>345.4750813433123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28.696439183987934</v>
      </c>
      <c r="CL113" s="21">
        <f>EXP(-LN(2)/25)*CL112+(1-EXP(-LN(2)/25))/(LN(2)/25)*Calculateur!CG113*Calculateur!CI113*VLOOKUP('Données projet'!$B$12,Paramètres!$A$1:$I$89,3,0)*0.475*44/12</f>
        <v>22.339958362676782</v>
      </c>
      <c r="CM113" s="21">
        <f>EXP(-LN(2)/2)*CM112+(1-EXP(-LN(2)/2))/(LN(2)/2)*CG113*CJ113*VLOOKUP('Données projet'!$B$12,Paramètres!$A$1:$I$89,3,0)*0.475*44/12</f>
        <v>1.9049475465210334E-3</v>
      </c>
      <c r="CN113" s="22">
        <f t="shared" si="66"/>
        <v>51.038302494211237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291.24</v>
      </c>
      <c r="CR113" s="12">
        <f>VLOOKUP(A113,'Données projet'!$A$139:$I$159,9,0)</f>
        <v>5.0370000000000008</v>
      </c>
      <c r="CS113" s="12">
        <f t="array" ref="CS113">INDEX(CR:CR,MIN(IF(ISNUMBER(CR113:CR309),ROW(CR113:CR309),"")))</f>
        <v>5.0370000000000008</v>
      </c>
      <c r="CT113" s="12">
        <f>IF('Données projet'!$A$140&gt;35,CT112+CS113-DB112,IF(A113&lt;'Données projet'!$A$140,$CQ$205^A113,IF(A113='Données projet'!$A$140,'Données projet'!$B$140,CT112+CS113-DB112)))</f>
        <v>291.23999999999927</v>
      </c>
      <c r="CU113" s="17">
        <f>CT113*VLOOKUP('Données projet'!$B$13,Paramètres!$A$1:$I$89,3,0)*VLOOKUP('Données projet'!$B$13,Paramètres!$A$1:$I$89,5,0)</f>
        <v>140.08643999999964</v>
      </c>
      <c r="CV113" s="13">
        <f t="shared" si="95"/>
        <v>36.31680697376229</v>
      </c>
      <c r="CW113" s="20">
        <f t="shared" si="67"/>
        <v>307.23565514596868</v>
      </c>
      <c r="CX113" s="59">
        <f t="shared" si="68"/>
        <v>600.56898847930199</v>
      </c>
      <c r="CY113" s="59">
        <f ca="1">AVERAGE(OFFSET($CX$3,0,0,'Données projet'!$E$13+1,1))-AVERAGE(OFFSET($H$3,0,0,'Données projet'!$E$13+1,1))</f>
        <v>314.18760071409162</v>
      </c>
      <c r="CZ113" s="59">
        <f t="shared" si="96"/>
        <v>267.72650645201787</v>
      </c>
      <c r="DA113" s="15">
        <f>IF(ISNA(VLOOKUP(A113,'Données projet'!$A$139:$I$159,3,0)),0,VLOOKUP(A113,'Données projet'!$A$139:$I$159,3,0))</f>
        <v>7</v>
      </c>
      <c r="DB113" s="15">
        <f>IF(ISNA(VLOOKUP(A113,'Données projet'!$A$139:$I$159,4,0)),0,VLOOKUP(A113,'Données projet'!$A$139:$I$159,4,0))</f>
        <v>140.69</v>
      </c>
      <c r="DC113" s="16">
        <f>IF(ISNA(VLOOKUP(A113,'Données projet'!$A$139:$I$159,5,0)),0%,VLOOKUP(A113,'Données projet'!$A$139:$I$159,5,0)*VLOOKUP('Données projet'!$B$13,Paramètres!$A$1:$I$89,7,0))</f>
        <v>0.22000000000000003</v>
      </c>
      <c r="DD113" s="16">
        <f>IF(ISNA(VLOOKUP(A113,'Données projet'!$A$139:$I$159,6,0)),0%,VLOOKUP(A113,'Données projet'!$A$139:$I$159,6,0)*VLOOKUP('Données projet'!$B$13,Paramètres!$A$1:$I$89,7,0))</f>
        <v>5.5000000000000007E-2</v>
      </c>
      <c r="DE113" s="16">
        <f>IF(ISNA(VLOOKUP(A113,'Données projet'!$A$139:$I$159,7,0)),0%,VLOOKUP(A113,'Données projet'!$A$139:$I$159,7,0))</f>
        <v>0.1</v>
      </c>
      <c r="DF113" s="21">
        <f>EXP(-LN(2)/35)*DF112+(1-EXP(-LN(2)/35))/(LN(2)/35)*DB113*DC113*VLOOKUP('Données projet'!$B$13,Paramètres!$A$1:$I$89,3,0)*0.475*44/12</f>
        <v>70.598102251662553</v>
      </c>
      <c r="DG113" s="21">
        <f>EXP(-LN(2)/25)*DG112+(1-EXP(-LN(2)/25))/(LN(2)/25)*Calculateur!DB113*Calculateur!DD113*VLOOKUP('Données projet'!$B$13,Paramètres!$A$1:$I$89,3,0)*0.475*44/12</f>
        <v>18.411502196540468</v>
      </c>
      <c r="DH113" s="21">
        <f>EXP(-LN(2)/2)*DH112+(1-EXP(-LN(2)/2))/(LN(2)/2)*DB113*DE113*VLOOKUP('Données projet'!$B$13,Paramètres!$A$1:$I$89,3,0)*0.475*44/12</f>
        <v>7.999051378822033</v>
      </c>
      <c r="DI113" s="22">
        <f t="shared" si="69"/>
        <v>97.008655827025052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-1.7053025658242404E-13</v>
      </c>
      <c r="DP113" s="17">
        <f>DO113*VLOOKUP('Données projet'!$B$14,Paramètres!$A$1:$I$89,3,0)*VLOOKUP('Données projet'!$B$14,Paramètres!$A$1:$I$89,5,0)</f>
        <v>-1.4897523215040567E-13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324.86930206492627</v>
      </c>
      <c r="DU113" s="59">
        <f t="shared" si="98"/>
        <v>317.03005098025352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25.435751657110448</v>
      </c>
      <c r="EB113" s="21">
        <f>EXP(-LN(2)/25)*EB112+(1-EXP(-LN(2)/25))/(LN(2)/25)*Calculateur!DW113*Calculateur!DY113*VLOOKUP('Données projet'!$B$14,Paramètres!$A$1:$I$89,3,0)*0.475*44/12</f>
        <v>20.246924550745078</v>
      </c>
      <c r="EC113" s="21">
        <f>EXP(-LN(2)/2)*EC112+(1-EXP(-LN(2)/2))/(LN(2)/2)*DW113*DZ113*VLOOKUP('Données projet'!$B$14,Paramètres!$A$1:$I$89,3,0)*0.475*44/12</f>
        <v>1.7418215643107329E-3</v>
      </c>
      <c r="ED113" s="22">
        <f t="shared" si="72"/>
        <v>45.684418029419831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302.00825291248458</v>
      </c>
      <c r="T114" s="59">
        <f t="shared" si="88"/>
        <v>307.35115839449355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50.578033624123307</v>
      </c>
      <c r="AA114" s="21">
        <f>EXP(-LN(2)/25)*AA113+(1-EXP(-LN(2)/25))/(LN(2)/25)*Calculateur!V114*Calculateur!X114*VLOOKUP('Données projet'!$B$9,Paramètres!$A$1:$I$89,3,0)*0.475*44/12</f>
        <v>11.77897731455589</v>
      </c>
      <c r="AB114" s="21">
        <f>EXP(-LN(2)/2)*AB113+(1-EXP(-LN(2)/2))/(LN(2)/2)*V114*Y114*VLOOKUP('Données projet'!$B$9,Paramètres!$A$1:$I$89,3,0)*0.475*44/12</f>
        <v>1.2635929235852569E-6</v>
      </c>
      <c r="AC114" s="22">
        <f t="shared" si="57"/>
        <v>62.357012202272116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5.0249582272954292E-14</v>
      </c>
      <c r="AK114" s="13">
        <f t="shared" si="89"/>
        <v>8.1784820119191593E-13</v>
      </c>
      <c r="AL114" s="20">
        <f t="shared" si="58"/>
        <v>1.5119369728679821E-12</v>
      </c>
      <c r="AM114" s="59">
        <f t="shared" si="59"/>
        <v>293.33333333333485</v>
      </c>
      <c r="AN114" s="59">
        <f ca="1">AVERAGE(OFFSET($AM$3,0,0,'Données projet'!$E$10+1,1))-AVERAGE(OFFSET($H$3,0,0,'Données projet'!$E$10+1,1))</f>
        <v>394.37446333077651</v>
      </c>
      <c r="AO114" s="59">
        <f t="shared" si="90"/>
        <v>335.44327961212963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111.83414894224407</v>
      </c>
      <c r="AV114" s="21">
        <f>EXP(-LN(2)/25)*AV113+(1-EXP(-LN(2)/25))/(LN(2)/25)*Calculateur!AQ114*Calculateur!AS114*VLOOKUP('Données projet'!$B$10,Paramètres!$A$1:$I$89,3,0)*0.475*44/12</f>
        <v>30.438767689571687</v>
      </c>
      <c r="AW114" s="21">
        <f>EXP(-LN(2)/2)*AW113+(1-EXP(-LN(2)/2))/(LN(2)/2)*AQ114*AT114*VLOOKUP('Données projet'!$B$10,Paramètres!$A$1:$I$89,3,0)*0.475*44/12</f>
        <v>1.6962080222403658E-3</v>
      </c>
      <c r="AX114" s="21">
        <f t="shared" si="60"/>
        <v>142.274612839838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7.5129999999999999</v>
      </c>
      <c r="BD114" s="12">
        <f>IF('Données projet'!$A$88&gt;35,BD113+BC114-BL113,IF(A114&lt;'Données projet'!$A$88,$BA$205^A114,IF(A114='Données projet'!$A$88,'Données projet'!$B$88,BD113+BC114-BL113)))</f>
        <v>341.02400000000034</v>
      </c>
      <c r="BE114" s="13">
        <f>BD114*VLOOKUP('Données projet'!$B$11,Paramètres!$A$1:$I$89,3,0)*VLOOKUP('Données projet'!$B$11,Paramètres!$A$1:$I$89,5,0)</f>
        <v>308.55851520000027</v>
      </c>
      <c r="BF114" s="13">
        <f t="shared" si="91"/>
        <v>72.967709162109642</v>
      </c>
      <c r="BG114" s="20">
        <f t="shared" si="61"/>
        <v>664.4915074306748</v>
      </c>
      <c r="BH114" s="59">
        <f t="shared" si="62"/>
        <v>957.82484076400806</v>
      </c>
      <c r="BI114" s="59">
        <f ca="1">AVERAGE(OFFSET($BH$3,0,0,'Données projet'!$E$11+1,1))-AVERAGE(OFFSET($H$3,0,0,'Données projet'!$E$11+1,1))</f>
        <v>490.06222615476065</v>
      </c>
      <c r="BJ114" s="59">
        <f t="shared" si="92"/>
        <v>310.43914804089906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25.01074191604674</v>
      </c>
      <c r="BQ114" s="21">
        <f>EXP(-LN(2)/25)*BQ113+(1-EXP(-LN(2)/25))/(LN(2)/25)*Calculateur!BL114*Calculateur!BN114*VLOOKUP('Données projet'!$B$11,Paramètres!$A$1:$I$89,3,0)*0.475*44/12</f>
        <v>18.964037507037393</v>
      </c>
      <c r="BR114" s="21">
        <f>EXP(-LN(2)/2)*BR113+(1-EXP(-LN(2)/2))/(LN(2)/2)*BL114*BO114*VLOOKUP('Données projet'!$B$11,Paramètres!$A$1:$I$89,3,0)*0.475*44/12</f>
        <v>0.31054711422781245</v>
      </c>
      <c r="BS114" s="22">
        <f t="shared" si="63"/>
        <v>44.285326537311938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353.37479213497227</v>
      </c>
      <c r="CE114" s="59">
        <f t="shared" si="94"/>
        <v>345.4750813433123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28.133719514689545</v>
      </c>
      <c r="CL114" s="21">
        <f>EXP(-LN(2)/25)*CL113+(1-EXP(-LN(2)/25))/(LN(2)/25)*Calculateur!CG114*Calculateur!CI114*VLOOKUP('Données projet'!$B$12,Paramètres!$A$1:$I$89,3,0)*0.475*44/12</f>
        <v>21.729071026442035</v>
      </c>
      <c r="CM114" s="21">
        <f>EXP(-LN(2)/2)*CM113+(1-EXP(-LN(2)/2))/(LN(2)/2)*CG114*CJ114*VLOOKUP('Données projet'!$B$12,Paramètres!$A$1:$I$89,3,0)*0.475*44/12</f>
        <v>1.3470013279496991E-3</v>
      </c>
      <c r="CN114" s="22">
        <f t="shared" si="66"/>
        <v>49.864137542459531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3.2919999999999989</v>
      </c>
      <c r="CT114" s="12">
        <f>IF('Données projet'!$A$140&gt;35,CT113+CS114-DB113,IF(A114&lt;'Données projet'!$A$140,$CQ$205^A114,IF(A114='Données projet'!$A$140,'Données projet'!$B$140,CT113+CS114-DB113)))</f>
        <v>153.84199999999925</v>
      </c>
      <c r="CU114" s="17">
        <f>CT114*VLOOKUP('Données projet'!$B$13,Paramètres!$A$1:$I$89,3,0)*VLOOKUP('Données projet'!$B$13,Paramètres!$A$1:$I$89,5,0)</f>
        <v>73.998001999999644</v>
      </c>
      <c r="CV114" s="13">
        <f t="shared" si="95"/>
        <v>20.663070203729092</v>
      </c>
      <c r="CW114" s="20">
        <f t="shared" si="67"/>
        <v>164.86803408816087</v>
      </c>
      <c r="CX114" s="59">
        <f t="shared" si="68"/>
        <v>458.20136742149418</v>
      </c>
      <c r="CY114" s="59">
        <f ca="1">AVERAGE(OFFSET($CX$3,0,0,'Données projet'!$E$13+1,1))-AVERAGE(OFFSET($H$3,0,0,'Données projet'!$E$13+1,1))</f>
        <v>314.18760071409162</v>
      </c>
      <c r="CZ114" s="59">
        <f t="shared" si="96"/>
        <v>267.72650645201787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69.213716527097944</v>
      </c>
      <c r="DG114" s="21">
        <f>EXP(-LN(2)/25)*DG113+(1-EXP(-LN(2)/25))/(LN(2)/25)*Calculateur!DB114*Calculateur!DD114*VLOOKUP('Données projet'!$B$13,Paramètres!$A$1:$I$89,3,0)*0.475*44/12</f>
        <v>17.908038700757249</v>
      </c>
      <c r="DH114" s="21">
        <f>EXP(-LN(2)/2)*DH113+(1-EXP(-LN(2)/2))/(LN(2)/2)*DB114*DE114*VLOOKUP('Données projet'!$B$13,Paramètres!$A$1:$I$89,3,0)*0.475*44/12</f>
        <v>5.6561834730246625</v>
      </c>
      <c r="DI114" s="22">
        <f t="shared" si="69"/>
        <v>92.777938700879858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-1.7053025658242404E-13</v>
      </c>
      <c r="DP114" s="17">
        <f>DO114*VLOOKUP('Données projet'!$B$14,Paramètres!$A$1:$I$89,3,0)*VLOOKUP('Données projet'!$B$14,Paramètres!$A$1:$I$89,5,0)</f>
        <v>-1.4897523215040567E-13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324.86930206492627</v>
      </c>
      <c r="DU114" s="59">
        <f t="shared" si="98"/>
        <v>317.03005098025352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24.936972081391115</v>
      </c>
      <c r="EB114" s="21">
        <f>EXP(-LN(2)/25)*EB113+(1-EXP(-LN(2)/25))/(LN(2)/25)*Calculateur!DW114*Calculateur!DY114*VLOOKUP('Données projet'!$B$14,Paramètres!$A$1:$I$89,3,0)*0.475*44/12</f>
        <v>19.693271334165466</v>
      </c>
      <c r="EC114" s="21">
        <f>EXP(-LN(2)/2)*EC113+(1-EXP(-LN(2)/2))/(LN(2)/2)*DW114*DZ114*VLOOKUP('Données projet'!$B$14,Paramètres!$A$1:$I$89,3,0)*0.475*44/12</f>
        <v>1.2316538397410793E-3</v>
      </c>
      <c r="ED114" s="22">
        <f t="shared" si="72"/>
        <v>44.631475069396316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302.00825291248458</v>
      </c>
      <c r="T115" s="59">
        <f t="shared" si="88"/>
        <v>307.35115839449355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49.586229234308618</v>
      </c>
      <c r="AA115" s="21">
        <f>EXP(-LN(2)/25)*AA114+(1-EXP(-LN(2)/25))/(LN(2)/25)*Calculateur!V115*Calculateur!X115*VLOOKUP('Données projet'!$B$9,Paramètres!$A$1:$I$89,3,0)*0.475*44/12</f>
        <v>11.456880560459863</v>
      </c>
      <c r="AB115" s="21">
        <f>EXP(-LN(2)/2)*AB114+(1-EXP(-LN(2)/2))/(LN(2)/2)*V115*Y115*VLOOKUP('Données projet'!$B$9,Paramètres!$A$1:$I$89,3,0)*0.475*44/12</f>
        <v>8.9349512492647013E-7</v>
      </c>
      <c r="AC115" s="22">
        <f t="shared" si="57"/>
        <v>61.04311068826361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5.0249582272954292E-14</v>
      </c>
      <c r="AK115" s="13">
        <f t="shared" si="89"/>
        <v>8.1784820119191593E-13</v>
      </c>
      <c r="AL115" s="20">
        <f t="shared" si="58"/>
        <v>1.5119369728679821E-12</v>
      </c>
      <c r="AM115" s="59">
        <f t="shared" si="59"/>
        <v>293.33333333333485</v>
      </c>
      <c r="AN115" s="59">
        <f ca="1">AVERAGE(OFFSET($AM$3,0,0,'Données projet'!$E$10+1,1))-AVERAGE(OFFSET($H$3,0,0,'Données projet'!$E$10+1,1))</f>
        <v>394.37446333077651</v>
      </c>
      <c r="AO115" s="59">
        <f t="shared" si="90"/>
        <v>335.44327961212963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109.64114949358213</v>
      </c>
      <c r="AV115" s="21">
        <f>EXP(-LN(2)/25)*AV114+(1-EXP(-LN(2)/25))/(LN(2)/25)*Calculateur!AQ115*Calculateur!AS115*VLOOKUP('Données projet'!$B$10,Paramètres!$A$1:$I$89,3,0)*0.475*44/12</f>
        <v>29.606417986395126</v>
      </c>
      <c r="AW115" s="21">
        <f>EXP(-LN(2)/2)*AW114+(1-EXP(-LN(2)/2))/(LN(2)/2)*AQ115*AT115*VLOOKUP('Données projet'!$B$10,Paramètres!$A$1:$I$89,3,0)*0.475*44/12</f>
        <v>1.1994001948291849E-3</v>
      </c>
      <c r="AX115" s="21">
        <f t="shared" si="60"/>
        <v>139.24876688017207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7.5129999999999999</v>
      </c>
      <c r="BD115" s="12">
        <f>IF('Données projet'!$A$88&gt;35,BD114+BC115-BL114,IF(A115&lt;'Données projet'!$A$88,$BA$205^A115,IF(A115='Données projet'!$A$88,'Données projet'!$B$88,BD114+BC115-BL114)))</f>
        <v>348.53700000000032</v>
      </c>
      <c r="BE115" s="13">
        <f>BD115*VLOOKUP('Données projet'!$B$11,Paramètres!$A$1:$I$89,3,0)*VLOOKUP('Données projet'!$B$11,Paramètres!$A$1:$I$89,5,0)</f>
        <v>315.35627760000028</v>
      </c>
      <c r="BF115" s="13">
        <f t="shared" si="91"/>
        <v>74.386316421858538</v>
      </c>
      <c r="BG115" s="20">
        <f t="shared" si="61"/>
        <v>678.80168458807077</v>
      </c>
      <c r="BH115" s="59">
        <f t="shared" si="62"/>
        <v>972.13501792140414</v>
      </c>
      <c r="BI115" s="59">
        <f ca="1">AVERAGE(OFFSET($BH$3,0,0,'Données projet'!$E$11+1,1))-AVERAGE(OFFSET($H$3,0,0,'Données projet'!$E$11+1,1))</f>
        <v>490.06222615476065</v>
      </c>
      <c r="BJ115" s="59">
        <f t="shared" si="92"/>
        <v>310.43914804089906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24.52029652211932</v>
      </c>
      <c r="BQ115" s="21">
        <f>EXP(-LN(2)/25)*BQ114+(1-EXP(-LN(2)/25))/(LN(2)/25)*Calculateur!BL115*Calculateur!BN115*VLOOKUP('Données projet'!$B$11,Paramètres!$A$1:$I$89,3,0)*0.475*44/12</f>
        <v>18.445464904132066</v>
      </c>
      <c r="BR115" s="21">
        <f>EXP(-LN(2)/2)*BR114+(1-EXP(-LN(2)/2))/(LN(2)/2)*BL115*BO115*VLOOKUP('Données projet'!$B$11,Paramètres!$A$1:$I$89,3,0)*0.475*44/12</f>
        <v>0.21958997034839958</v>
      </c>
      <c r="BS115" s="22">
        <f t="shared" si="63"/>
        <v>43.185351396599792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353.37479213497227</v>
      </c>
      <c r="CE115" s="59">
        <f t="shared" si="94"/>
        <v>345.4750813433123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27.582034434880992</v>
      </c>
      <c r="CL115" s="21">
        <f>EXP(-LN(2)/25)*CL114+(1-EXP(-LN(2)/25))/(LN(2)/25)*Calculateur!CG115*Calculateur!CI115*VLOOKUP('Données projet'!$B$12,Paramètres!$A$1:$I$89,3,0)*0.475*44/12</f>
        <v>21.134888436541797</v>
      </c>
      <c r="CM115" s="21">
        <f>EXP(-LN(2)/2)*CM114+(1-EXP(-LN(2)/2))/(LN(2)/2)*CG115*CJ115*VLOOKUP('Données projet'!$B$12,Paramètres!$A$1:$I$89,3,0)*0.475*44/12</f>
        <v>9.5247377326051694E-4</v>
      </c>
      <c r="CN115" s="22">
        <f t="shared" si="66"/>
        <v>48.717875345196049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3.2919999999999989</v>
      </c>
      <c r="CT115" s="12">
        <f>IF('Données projet'!$A$140&gt;35,CT114+CS115-DB114,IF(A115&lt;'Données projet'!$A$140,$CQ$205^A115,IF(A115='Données projet'!$A$140,'Données projet'!$B$140,CT114+CS115-DB114)))</f>
        <v>157.13399999999925</v>
      </c>
      <c r="CU115" s="17">
        <f>CT115*VLOOKUP('Données projet'!$B$13,Paramètres!$A$1:$I$89,3,0)*VLOOKUP('Données projet'!$B$13,Paramètres!$A$1:$I$89,5,0)</f>
        <v>75.581453999999638</v>
      </c>
      <c r="CV115" s="13">
        <f t="shared" si="95"/>
        <v>21.053280321175407</v>
      </c>
      <c r="CW115" s="20">
        <f t="shared" si="67"/>
        <v>168.30549560937985</v>
      </c>
      <c r="CX115" s="59">
        <f t="shared" si="68"/>
        <v>461.63882894271319</v>
      </c>
      <c r="CY115" s="59">
        <f ca="1">AVERAGE(OFFSET($CX$3,0,0,'Données projet'!$E$13+1,1))-AVERAGE(OFFSET($H$3,0,0,'Données projet'!$E$13+1,1))</f>
        <v>314.18760071409162</v>
      </c>
      <c r="CZ115" s="59">
        <f t="shared" si="96"/>
        <v>267.72650645201787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67.856477762200129</v>
      </c>
      <c r="DG115" s="21">
        <f>EXP(-LN(2)/25)*DG114+(1-EXP(-LN(2)/25))/(LN(2)/25)*Calculateur!DB115*Calculateur!DD115*VLOOKUP('Données projet'!$B$13,Paramètres!$A$1:$I$89,3,0)*0.475*44/12</f>
        <v>17.418342440742215</v>
      </c>
      <c r="DH115" s="21">
        <f>EXP(-LN(2)/2)*DH114+(1-EXP(-LN(2)/2))/(LN(2)/2)*DB115*DE115*VLOOKUP('Données projet'!$B$13,Paramètres!$A$1:$I$89,3,0)*0.475*44/12</f>
        <v>3.9995256894110169</v>
      </c>
      <c r="DI115" s="22">
        <f t="shared" si="69"/>
        <v>89.274345892353367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-1.7053025658242404E-13</v>
      </c>
      <c r="DP115" s="17">
        <f>DO115*VLOOKUP('Données projet'!$B$14,Paramètres!$A$1:$I$89,3,0)*VLOOKUP('Données projet'!$B$14,Paramètres!$A$1:$I$89,5,0)</f>
        <v>-1.4897523215040567E-13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324.86930206492627</v>
      </c>
      <c r="DU115" s="59">
        <f t="shared" si="98"/>
        <v>317.03005098025352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24.447973268926138</v>
      </c>
      <c r="EB115" s="21">
        <f>EXP(-LN(2)/25)*EB114+(1-EXP(-LN(2)/25))/(LN(2)/25)*Calculateur!DW115*Calculateur!DY115*VLOOKUP('Données projet'!$B$14,Paramètres!$A$1:$I$89,3,0)*0.475*44/12</f>
        <v>19.154757793908583</v>
      </c>
      <c r="EC115" s="21">
        <f>EXP(-LN(2)/2)*EC114+(1-EXP(-LN(2)/2))/(LN(2)/2)*DW115*DZ115*VLOOKUP('Données projet'!$B$14,Paramètres!$A$1:$I$89,3,0)*0.475*44/12</f>
        <v>8.7091078215536643E-4</v>
      </c>
      <c r="ED115" s="22">
        <f t="shared" si="72"/>
        <v>43.603601973616875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302.00825291248458</v>
      </c>
      <c r="T116" s="59">
        <f t="shared" si="88"/>
        <v>307.35115839449355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48.613873523637253</v>
      </c>
      <c r="AA116" s="21">
        <f>EXP(-LN(2)/25)*AA115+(1-EXP(-LN(2)/25))/(LN(2)/25)*Calculateur!V116*Calculateur!X116*VLOOKUP('Données projet'!$B$9,Paramètres!$A$1:$I$89,3,0)*0.475*44/12</f>
        <v>11.143591559042925</v>
      </c>
      <c r="AB116" s="21">
        <f>EXP(-LN(2)/2)*AB115+(1-EXP(-LN(2)/2))/(LN(2)/2)*V116*Y116*VLOOKUP('Données projet'!$B$9,Paramètres!$A$1:$I$89,3,0)*0.475*44/12</f>
        <v>6.3179646179262845E-7</v>
      </c>
      <c r="AC116" s="22">
        <f t="shared" si="57"/>
        <v>59.757465714476638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5.0249582272954292E-14</v>
      </c>
      <c r="AK116" s="13">
        <f t="shared" si="89"/>
        <v>8.1784820119191593E-13</v>
      </c>
      <c r="AL116" s="20">
        <f t="shared" si="58"/>
        <v>1.5119369728679821E-12</v>
      </c>
      <c r="AM116" s="59">
        <f t="shared" si="59"/>
        <v>293.33333333333485</v>
      </c>
      <c r="AN116" s="59">
        <f ca="1">AVERAGE(OFFSET($AM$3,0,0,'Données projet'!$E$10+1,1))-AVERAGE(OFFSET($H$3,0,0,'Données projet'!$E$10+1,1))</f>
        <v>394.37446333077651</v>
      </c>
      <c r="AO116" s="59">
        <f t="shared" si="90"/>
        <v>335.44327961212963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107.49115342651088</v>
      </c>
      <c r="AV116" s="21">
        <f>EXP(-LN(2)/25)*AV115+(1-EXP(-LN(2)/25))/(LN(2)/25)*Calculateur!AQ116*Calculateur!AS116*VLOOKUP('Données projet'!$B$10,Paramètres!$A$1:$I$89,3,0)*0.475*44/12</f>
        <v>28.796828929623295</v>
      </c>
      <c r="AW116" s="21">
        <f>EXP(-LN(2)/2)*AW115+(1-EXP(-LN(2)/2))/(LN(2)/2)*AQ116*AT116*VLOOKUP('Données projet'!$B$10,Paramètres!$A$1:$I$89,3,0)*0.475*44/12</f>
        <v>8.4810401112018292E-4</v>
      </c>
      <c r="AX116" s="21">
        <f t="shared" si="60"/>
        <v>136.28883046014528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7.5129999999999999</v>
      </c>
      <c r="BC116" s="12">
        <f t="array" ref="BC116">INDEX(BB:BB,MIN(IF(ISNUMBER(BB116:BB312),ROW(BB116:BB312),"")))</f>
        <v>7.5129999999999999</v>
      </c>
      <c r="BD116" s="12">
        <f>IF('Données projet'!$A$88&gt;35,BD115+BC116-BL115,IF(A116&lt;'Données projet'!$A$88,$BA$205^A116,IF(A116='Données projet'!$A$88,'Données projet'!$B$88,BD115+BC116-BL115)))</f>
        <v>356.0500000000003</v>
      </c>
      <c r="BE116" s="13">
        <f>BD116*VLOOKUP('Données projet'!$B$11,Paramètres!$A$1:$I$89,3,0)*VLOOKUP('Données projet'!$B$11,Paramètres!$A$1:$I$89,5,0)</f>
        <v>322.15404000000024</v>
      </c>
      <c r="BF116" s="13">
        <f t="shared" si="91"/>
        <v>75.801368428867207</v>
      </c>
      <c r="BG116" s="20">
        <f t="shared" si="61"/>
        <v>693.1056696802774</v>
      </c>
      <c r="BH116" s="59">
        <f t="shared" si="62"/>
        <v>986.43900301361077</v>
      </c>
      <c r="BI116" s="59">
        <f ca="1">AVERAGE(OFFSET($BH$3,0,0,'Données projet'!$E$11+1,1))-AVERAGE(OFFSET($H$3,0,0,'Données projet'!$E$11+1,1))</f>
        <v>490.06222615476065</v>
      </c>
      <c r="BJ116" s="59">
        <f t="shared" si="92"/>
        <v>310.43914804089906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45.660000000000025</v>
      </c>
      <c r="BM116" s="16">
        <f>IF(ISNA(VLOOKUP(A116,'Données projet'!$A$87:$I$107,5,0)),0%,VLOOKUP(A116,'Données projet'!$A$87:$I$107,5,0)*VLOOKUP('Données projet'!$B$11,Paramètres!$A$1:$I$89,7,0))</f>
        <v>0.215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33.858622417588407</v>
      </c>
      <c r="BQ116" s="21">
        <f>EXP(-LN(2)/25)*BQ115+(1-EXP(-LN(2)/25))/(LN(2)/25)*Calculateur!BL116*Calculateur!BN116*VLOOKUP('Données projet'!$B$11,Paramètres!$A$1:$I$89,3,0)*0.475*44/12</f>
        <v>21.853269577865508</v>
      </c>
      <c r="BR116" s="21">
        <f>EXP(-LN(2)/2)*BR115+(1-EXP(-LN(2)/2))/(LN(2)/2)*BL116*BO116*VLOOKUP('Données projet'!$B$11,Paramètres!$A$1:$I$89,3,0)*0.475*44/12</f>
        <v>0.15527355711390625</v>
      </c>
      <c r="BS116" s="22">
        <f t="shared" si="63"/>
        <v>55.867165552567819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353.37479213497227</v>
      </c>
      <c r="CE116" s="59">
        <f t="shared" si="94"/>
        <v>345.4750813433123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27.041167562992811</v>
      </c>
      <c r="CL116" s="21">
        <f>EXP(-LN(2)/25)*CL115+(1-EXP(-LN(2)/25))/(LN(2)/25)*Calculateur!CG116*Calculateur!CI116*VLOOKUP('Données projet'!$B$12,Paramètres!$A$1:$I$89,3,0)*0.475*44/12</f>
        <v>20.556953800809083</v>
      </c>
      <c r="CM116" s="21">
        <f>EXP(-LN(2)/2)*CM115+(1-EXP(-LN(2)/2))/(LN(2)/2)*CG116*CJ116*VLOOKUP('Données projet'!$B$12,Paramètres!$A$1:$I$89,3,0)*0.475*44/12</f>
        <v>6.7350066397484966E-4</v>
      </c>
      <c r="CN116" s="22">
        <f t="shared" si="66"/>
        <v>47.598794864465866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3.2919999999999989</v>
      </c>
      <c r="CT116" s="12">
        <f>IF('Données projet'!$A$140&gt;35,CT115+CS116-DB115,IF(A116&lt;'Données projet'!$A$140,$CQ$205^A116,IF(A116='Données projet'!$A$140,'Données projet'!$B$140,CT115+CS116-DB115)))</f>
        <v>160.42599999999925</v>
      </c>
      <c r="CU116" s="17">
        <f>CT116*VLOOKUP('Données projet'!$B$13,Paramètres!$A$1:$I$89,3,0)*VLOOKUP('Données projet'!$B$13,Paramètres!$A$1:$I$89,5,0)</f>
        <v>77.164905999999633</v>
      </c>
      <c r="CV116" s="13">
        <f t="shared" si="95"/>
        <v>21.44253995350925</v>
      </c>
      <c r="CW116" s="20">
        <f t="shared" si="67"/>
        <v>171.74130170236131</v>
      </c>
      <c r="CX116" s="59">
        <f t="shared" si="68"/>
        <v>465.07463503569466</v>
      </c>
      <c r="CY116" s="59">
        <f ca="1">AVERAGE(OFFSET($CX$3,0,0,'Données projet'!$E$13+1,1))-AVERAGE(OFFSET($H$3,0,0,'Données projet'!$E$13+1,1))</f>
        <v>314.18760071409162</v>
      </c>
      <c r="CZ116" s="59">
        <f t="shared" si="96"/>
        <v>267.72650645201787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66.525853621648054</v>
      </c>
      <c r="DG116" s="21">
        <f>EXP(-LN(2)/25)*DG115+(1-EXP(-LN(2)/25))/(LN(2)/25)*Calculateur!DB116*Calculateur!DD116*VLOOKUP('Données projet'!$B$13,Paramètres!$A$1:$I$89,3,0)*0.475*44/12</f>
        <v>16.942036950709301</v>
      </c>
      <c r="DH116" s="21">
        <f>EXP(-LN(2)/2)*DH115+(1-EXP(-LN(2)/2))/(LN(2)/2)*DB116*DE116*VLOOKUP('Données projet'!$B$13,Paramètres!$A$1:$I$89,3,0)*0.475*44/12</f>
        <v>2.8280917365123317</v>
      </c>
      <c r="DI116" s="22">
        <f t="shared" si="69"/>
        <v>86.295982308869696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-1.7053025658242404E-13</v>
      </c>
      <c r="DP116" s="17">
        <f>DO116*VLOOKUP('Données projet'!$B$14,Paramètres!$A$1:$I$89,3,0)*VLOOKUP('Données projet'!$B$14,Paramètres!$A$1:$I$89,5,0)</f>
        <v>-1.4897523215040567E-13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324.86930206492627</v>
      </c>
      <c r="DU116" s="59">
        <f t="shared" si="98"/>
        <v>317.03005098025352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23.968563424913771</v>
      </c>
      <c r="EB116" s="21">
        <f>EXP(-LN(2)/25)*EB115+(1-EXP(-LN(2)/25))/(LN(2)/25)*Calculateur!DW116*Calculateur!DY116*VLOOKUP('Données projet'!$B$14,Paramètres!$A$1:$I$89,3,0)*0.475*44/12</f>
        <v>18.630969934729219</v>
      </c>
      <c r="EC116" s="21">
        <f>EXP(-LN(2)/2)*EC115+(1-EXP(-LN(2)/2))/(LN(2)/2)*DW116*DZ116*VLOOKUP('Données projet'!$B$14,Paramètres!$A$1:$I$89,3,0)*0.475*44/12</f>
        <v>6.1582691987053964E-4</v>
      </c>
      <c r="ED116" s="22">
        <f t="shared" si="72"/>
        <v>42.600149186562859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302.00825291248458</v>
      </c>
      <c r="T117" s="59">
        <f t="shared" si="88"/>
        <v>307.35115839449355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47.660585115373728</v>
      </c>
      <c r="AA117" s="21">
        <f>EXP(-LN(2)/25)*AA116+(1-EXP(-LN(2)/25))/(LN(2)/25)*Calculateur!V117*Calculateur!X117*VLOOKUP('Données projet'!$B$9,Paramètres!$A$1:$I$89,3,0)*0.475*44/12</f>
        <v>10.838869461844885</v>
      </c>
      <c r="AB117" s="21">
        <f>EXP(-LN(2)/2)*AB116+(1-EXP(-LN(2)/2))/(LN(2)/2)*V117*Y117*VLOOKUP('Données projet'!$B$9,Paramètres!$A$1:$I$89,3,0)*0.475*44/12</f>
        <v>4.4674756246323506E-7</v>
      </c>
      <c r="AC117" s="22">
        <f t="shared" si="57"/>
        <v>58.499455023966178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5.0249582272954292E-14</v>
      </c>
      <c r="AK117" s="13">
        <f t="shared" si="89"/>
        <v>8.1784820119191593E-13</v>
      </c>
      <c r="AL117" s="20">
        <f t="shared" si="58"/>
        <v>1.5119369728679821E-12</v>
      </c>
      <c r="AM117" s="59">
        <f t="shared" si="59"/>
        <v>293.33333333333485</v>
      </c>
      <c r="AN117" s="59">
        <f ca="1">AVERAGE(OFFSET($AM$3,0,0,'Données projet'!$E$10+1,1))-AVERAGE(OFFSET($H$3,0,0,'Données projet'!$E$10+1,1))</f>
        <v>394.37446333077651</v>
      </c>
      <c r="AO117" s="59">
        <f t="shared" si="90"/>
        <v>335.44327961212963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105.38331747094676</v>
      </c>
      <c r="AV117" s="21">
        <f>EXP(-LN(2)/25)*AV116+(1-EXP(-LN(2)/25))/(LN(2)/25)*Calculateur!AQ117*Calculateur!AS117*VLOOKUP('Données projet'!$B$10,Paramètres!$A$1:$I$89,3,0)*0.475*44/12</f>
        <v>28.009378128183329</v>
      </c>
      <c r="AW117" s="21">
        <f>EXP(-LN(2)/2)*AW116+(1-EXP(-LN(2)/2))/(LN(2)/2)*AQ117*AT117*VLOOKUP('Données projet'!$B$10,Paramètres!$A$1:$I$89,3,0)*0.475*44/12</f>
        <v>5.9970009741459245E-4</v>
      </c>
      <c r="AX117" s="21">
        <f t="shared" si="60"/>
        <v>133.3932952992275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7.8516666666666692</v>
      </c>
      <c r="BD117" s="12">
        <f>IF('Données projet'!$A$88&gt;35,BD116+BC117-BL116,IF(A117&lt;'Données projet'!$A$88,$BA$205^A117,IF(A117='Données projet'!$A$88,'Données projet'!$B$88,BD116+BC117-BL116)))</f>
        <v>318.24166666666696</v>
      </c>
      <c r="BE117" s="13">
        <f>BD117*VLOOKUP('Données projet'!$B$11,Paramètres!$A$1:$I$89,3,0)*VLOOKUP('Données projet'!$B$11,Paramètres!$A$1:$I$89,5,0)</f>
        <v>287.94506000000024</v>
      </c>
      <c r="BF117" s="13">
        <f t="shared" si="91"/>
        <v>68.643284503725127</v>
      </c>
      <c r="BG117" s="20">
        <f t="shared" si="61"/>
        <v>621.05803334398831</v>
      </c>
      <c r="BH117" s="59">
        <f t="shared" si="62"/>
        <v>914.39136667732168</v>
      </c>
      <c r="BI117" s="59">
        <f ca="1">AVERAGE(OFFSET($BH$3,0,0,'Données projet'!$E$11+1,1))-AVERAGE(OFFSET($H$3,0,0,'Données projet'!$E$11+1,1))</f>
        <v>490.06222615476065</v>
      </c>
      <c r="BJ117" s="59">
        <f t="shared" si="92"/>
        <v>310.43914804089906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33.194675483699982</v>
      </c>
      <c r="BQ117" s="21">
        <f>EXP(-LN(2)/25)*BQ116+(1-EXP(-LN(2)/25))/(LN(2)/25)*Calculateur!BL117*Calculateur!BN117*VLOOKUP('Données projet'!$B$11,Paramètres!$A$1:$I$89,3,0)*0.475*44/12</f>
        <v>21.255690772045273</v>
      </c>
      <c r="BR117" s="21">
        <f>EXP(-LN(2)/2)*BR116+(1-EXP(-LN(2)/2))/(LN(2)/2)*BL117*BO117*VLOOKUP('Données projet'!$B$11,Paramètres!$A$1:$I$89,3,0)*0.475*44/12</f>
        <v>0.10979498517419981</v>
      </c>
      <c r="BS117" s="22">
        <f t="shared" si="63"/>
        <v>54.560161240919449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353.37479213497227</v>
      </c>
      <c r="CE117" s="59">
        <f t="shared" si="94"/>
        <v>345.4750813433123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26.51090676056614</v>
      </c>
      <c r="CL117" s="21">
        <f>EXP(-LN(2)/25)*CL116+(1-EXP(-LN(2)/25))/(LN(2)/25)*Calculateur!CG117*Calculateur!CI117*VLOOKUP('Données projet'!$B$12,Paramètres!$A$1:$I$89,3,0)*0.475*44/12</f>
        <v>19.994822818082742</v>
      </c>
      <c r="CM117" s="21">
        <f>EXP(-LN(2)/2)*CM116+(1-EXP(-LN(2)/2))/(LN(2)/2)*CG117*CJ117*VLOOKUP('Données projet'!$B$12,Paramètres!$A$1:$I$89,3,0)*0.475*44/12</f>
        <v>4.7623688663025852E-4</v>
      </c>
      <c r="CN117" s="22">
        <f t="shared" si="66"/>
        <v>46.506205815535516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3.2919999999999989</v>
      </c>
      <c r="CT117" s="12">
        <f>IF('Données projet'!$A$140&gt;35,CT116+CS117-DB116,IF(A117&lt;'Données projet'!$A$140,$CQ$205^A117,IF(A117='Données projet'!$A$140,'Données projet'!$B$140,CT116+CS117-DB116)))</f>
        <v>163.71799999999925</v>
      </c>
      <c r="CU117" s="17">
        <f>CT117*VLOOKUP('Données projet'!$B$13,Paramètres!$A$1:$I$89,3,0)*VLOOKUP('Données projet'!$B$13,Paramètres!$A$1:$I$89,5,0)</f>
        <v>78.748357999999641</v>
      </c>
      <c r="CV117" s="13">
        <f t="shared" si="95"/>
        <v>21.830870852429594</v>
      </c>
      <c r="CW117" s="20">
        <f t="shared" si="67"/>
        <v>175.17549025131424</v>
      </c>
      <c r="CX117" s="59">
        <f t="shared" si="68"/>
        <v>468.50882358464753</v>
      </c>
      <c r="CY117" s="59">
        <f ca="1">AVERAGE(OFFSET($CX$3,0,0,'Données projet'!$E$13+1,1))-AVERAGE(OFFSET($H$3,0,0,'Données projet'!$E$13+1,1))</f>
        <v>314.18760071409162</v>
      </c>
      <c r="CZ117" s="59">
        <f t="shared" si="96"/>
        <v>267.72650645201787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65.221322208891621</v>
      </c>
      <c r="DG117" s="21">
        <f>EXP(-LN(2)/25)*DG116+(1-EXP(-LN(2)/25))/(LN(2)/25)*Calculateur!DB117*Calculateur!DD117*VLOOKUP('Données projet'!$B$13,Paramètres!$A$1:$I$89,3,0)*0.475*44/12</f>
        <v>16.478756059349156</v>
      </c>
      <c r="DH117" s="21">
        <f>EXP(-LN(2)/2)*DH116+(1-EXP(-LN(2)/2))/(LN(2)/2)*DB117*DE117*VLOOKUP('Données projet'!$B$13,Paramètres!$A$1:$I$89,3,0)*0.475*44/12</f>
        <v>1.9997628447055087</v>
      </c>
      <c r="DI117" s="22">
        <f t="shared" si="69"/>
        <v>83.699841112946288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-1.7053025658242404E-13</v>
      </c>
      <c r="DP117" s="17">
        <f>DO117*VLOOKUP('Données projet'!$B$14,Paramètres!$A$1:$I$89,3,0)*VLOOKUP('Données projet'!$B$14,Paramètres!$A$1:$I$89,5,0)</f>
        <v>-1.4897523215040567E-13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324.86930206492627</v>
      </c>
      <c r="DU117" s="59">
        <f t="shared" si="98"/>
        <v>317.03005098025352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23.498554515531357</v>
      </c>
      <c r="EB117" s="21">
        <f>EXP(-LN(2)/25)*EB116+(1-EXP(-LN(2)/25))/(LN(2)/25)*Calculateur!DW117*Calculateur!DY117*VLOOKUP('Données projet'!$B$14,Paramètres!$A$1:$I$89,3,0)*0.475*44/12</f>
        <v>18.121505082103923</v>
      </c>
      <c r="EC117" s="21">
        <f>EXP(-LN(2)/2)*EC116+(1-EXP(-LN(2)/2))/(LN(2)/2)*DW117*DZ117*VLOOKUP('Données projet'!$B$14,Paramètres!$A$1:$I$89,3,0)*0.475*44/12</f>
        <v>4.3545539107768321E-4</v>
      </c>
      <c r="ED117" s="22">
        <f t="shared" si="72"/>
        <v>41.620495053026353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302.00825291248458</v>
      </c>
      <c r="T118" s="59">
        <f t="shared" si="88"/>
        <v>307.35115839449355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46.725990111347734</v>
      </c>
      <c r="AA118" s="21">
        <f>EXP(-LN(2)/25)*AA117+(1-EXP(-LN(2)/25))/(LN(2)/25)*Calculateur!V118*Calculateur!X118*VLOOKUP('Données projet'!$B$9,Paramètres!$A$1:$I$89,3,0)*0.475*44/12</f>
        <v>10.542480006419364</v>
      </c>
      <c r="AB118" s="21">
        <f>EXP(-LN(2)/2)*AB117+(1-EXP(-LN(2)/2))/(LN(2)/2)*V118*Y118*VLOOKUP('Données projet'!$B$9,Paramètres!$A$1:$I$89,3,0)*0.475*44/12</f>
        <v>3.1589823089631423E-7</v>
      </c>
      <c r="AC118" s="22">
        <f t="shared" si="57"/>
        <v>57.268470433665328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5.0249582272954292E-14</v>
      </c>
      <c r="AK118" s="13">
        <f t="shared" si="89"/>
        <v>8.1784820119191593E-13</v>
      </c>
      <c r="AL118" s="20">
        <f t="shared" si="58"/>
        <v>1.5119369728679821E-12</v>
      </c>
      <c r="AM118" s="59">
        <f t="shared" si="59"/>
        <v>293.33333333333485</v>
      </c>
      <c r="AN118" s="59">
        <f ca="1">AVERAGE(OFFSET($AM$3,0,0,'Données projet'!$E$10+1,1))-AVERAGE(OFFSET($H$3,0,0,'Données projet'!$E$10+1,1))</f>
        <v>394.37446333077651</v>
      </c>
      <c r="AO118" s="59">
        <f t="shared" si="90"/>
        <v>335.44327961212963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103.31681489281829</v>
      </c>
      <c r="AV118" s="21">
        <f>EXP(-LN(2)/25)*AV117+(1-EXP(-LN(2)/25))/(LN(2)/25)*Calculateur!AQ118*Calculateur!AS118*VLOOKUP('Données projet'!$B$10,Paramètres!$A$1:$I$89,3,0)*0.475*44/12</f>
        <v>27.243460210318975</v>
      </c>
      <c r="AW118" s="21">
        <f>EXP(-LN(2)/2)*AW117+(1-EXP(-LN(2)/2))/(LN(2)/2)*AQ118*AT118*VLOOKUP('Données projet'!$B$10,Paramètres!$A$1:$I$89,3,0)*0.475*44/12</f>
        <v>4.2405200556009146E-4</v>
      </c>
      <c r="AX118" s="21">
        <f t="shared" si="60"/>
        <v>130.56069915514283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7.8516666666666692</v>
      </c>
      <c r="BD118" s="12">
        <f>IF('Données projet'!$A$88&gt;35,BD117+BC118-BL117,IF(A118&lt;'Données projet'!$A$88,$BA$205^A118,IF(A118='Données projet'!$A$88,'Données projet'!$B$88,BD117+BC118-BL117)))</f>
        <v>326.09333333333365</v>
      </c>
      <c r="BE118" s="13">
        <f>BD118*VLOOKUP('Données projet'!$B$11,Paramètres!$A$1:$I$89,3,0)*VLOOKUP('Données projet'!$B$11,Paramètres!$A$1:$I$89,5,0)</f>
        <v>295.04924800000026</v>
      </c>
      <c r="BF118" s="13">
        <f t="shared" si="91"/>
        <v>70.13759270458003</v>
      </c>
      <c r="BG118" s="20">
        <f t="shared" si="61"/>
        <v>636.03374756047731</v>
      </c>
      <c r="BH118" s="59">
        <f t="shared" si="62"/>
        <v>929.36708089381068</v>
      </c>
      <c r="BI118" s="59">
        <f ca="1">AVERAGE(OFFSET($BH$3,0,0,'Données projet'!$E$11+1,1))-AVERAGE(OFFSET($H$3,0,0,'Données projet'!$E$11+1,1))</f>
        <v>490.06222615476065</v>
      </c>
      <c r="BJ118" s="59">
        <f t="shared" si="92"/>
        <v>310.43914804089906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32.543748144217467</v>
      </c>
      <c r="BQ118" s="21">
        <f>EXP(-LN(2)/25)*BQ117+(1-EXP(-LN(2)/25))/(LN(2)/25)*Calculateur!BL118*Calculateur!BN118*VLOOKUP('Données projet'!$B$11,Paramètres!$A$1:$I$89,3,0)*0.475*44/12</f>
        <v>20.674452790095497</v>
      </c>
      <c r="BR118" s="21">
        <f>EXP(-LN(2)/2)*BR117+(1-EXP(-LN(2)/2))/(LN(2)/2)*BL118*BO118*VLOOKUP('Données projet'!$B$11,Paramètres!$A$1:$I$89,3,0)*0.475*44/12</f>
        <v>7.763677855695314E-2</v>
      </c>
      <c r="BS118" s="22">
        <f t="shared" si="63"/>
        <v>53.295837712869911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353.37479213497227</v>
      </c>
      <c r="CE118" s="59">
        <f t="shared" si="94"/>
        <v>345.4750813433123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25.9910440490479</v>
      </c>
      <c r="CL118" s="21">
        <f>EXP(-LN(2)/25)*CL117+(1-EXP(-LN(2)/25))/(LN(2)/25)*Calculateur!CG118*Calculateur!CI118*VLOOKUP('Données projet'!$B$12,Paramètres!$A$1:$I$89,3,0)*0.475*44/12</f>
        <v>19.448063336640235</v>
      </c>
      <c r="CM118" s="21">
        <f>EXP(-LN(2)/2)*CM117+(1-EXP(-LN(2)/2))/(LN(2)/2)*CG118*CJ118*VLOOKUP('Données projet'!$B$12,Paramètres!$A$1:$I$89,3,0)*0.475*44/12</f>
        <v>3.3675033198742488E-4</v>
      </c>
      <c r="CN118" s="22">
        <f t="shared" si="66"/>
        <v>45.439444136020121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3.2919999999999989</v>
      </c>
      <c r="CT118" s="12">
        <f>IF('Données projet'!$A$140&gt;35,CT117+CS118-DB117,IF(A118&lt;'Données projet'!$A$140,$CQ$205^A118,IF(A118='Données projet'!$A$140,'Données projet'!$B$140,CT117+CS118-DB117)))</f>
        <v>167.00999999999925</v>
      </c>
      <c r="CU118" s="17">
        <f>CT118*VLOOKUP('Données projet'!$B$13,Paramètres!$A$1:$I$89,3,0)*VLOOKUP('Données projet'!$B$13,Paramètres!$A$1:$I$89,5,0)</f>
        <v>80.331809999999649</v>
      </c>
      <c r="CV118" s="13">
        <f t="shared" si="95"/>
        <v>22.218293844864824</v>
      </c>
      <c r="CW118" s="20">
        <f t="shared" si="67"/>
        <v>178.6080975298056</v>
      </c>
      <c r="CX118" s="59">
        <f t="shared" si="68"/>
        <v>471.94143086313892</v>
      </c>
      <c r="CY118" s="59">
        <f ca="1">AVERAGE(OFFSET($CX$3,0,0,'Données projet'!$E$13+1,1))-AVERAGE(OFFSET($H$3,0,0,'Données projet'!$E$13+1,1))</f>
        <v>314.18760071409162</v>
      </c>
      <c r="CZ118" s="59">
        <f t="shared" si="96"/>
        <v>267.72650645201787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63.942371861453751</v>
      </c>
      <c r="DG118" s="21">
        <f>EXP(-LN(2)/25)*DG117+(1-EXP(-LN(2)/25))/(LN(2)/25)*Calculateur!DB118*Calculateur!DD118*VLOOKUP('Données projet'!$B$13,Paramètres!$A$1:$I$89,3,0)*0.475*44/12</f>
        <v>16.028143608326136</v>
      </c>
      <c r="DH118" s="21">
        <f>EXP(-LN(2)/2)*DH117+(1-EXP(-LN(2)/2))/(LN(2)/2)*DB118*DE118*VLOOKUP('Données projet'!$B$13,Paramètres!$A$1:$I$89,3,0)*0.475*44/12</f>
        <v>1.4140458682561661</v>
      </c>
      <c r="DI118" s="22">
        <f t="shared" si="69"/>
        <v>81.38456133803605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-1.7053025658242404E-13</v>
      </c>
      <c r="DP118" s="17">
        <f>DO118*VLOOKUP('Données projet'!$B$14,Paramètres!$A$1:$I$89,3,0)*VLOOKUP('Données projet'!$B$14,Paramètres!$A$1:$I$89,5,0)</f>
        <v>-1.4897523215040567E-13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324.86930206492627</v>
      </c>
      <c r="DU118" s="59">
        <f t="shared" si="98"/>
        <v>317.03005098025352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23.037762194184804</v>
      </c>
      <c r="EB118" s="21">
        <f>EXP(-LN(2)/25)*EB117+(1-EXP(-LN(2)/25))/(LN(2)/25)*Calculateur!DW118*Calculateur!DY118*VLOOKUP('Données projet'!$B$14,Paramètres!$A$1:$I$89,3,0)*0.475*44/12</f>
        <v>17.625971572665257</v>
      </c>
      <c r="EC118" s="21">
        <f>EXP(-LN(2)/2)*EC117+(1-EXP(-LN(2)/2))/(LN(2)/2)*DW118*DZ118*VLOOKUP('Données projet'!$B$14,Paramètres!$A$1:$I$89,3,0)*0.475*44/12</f>
        <v>3.0791345993526982E-4</v>
      </c>
      <c r="ED118" s="22">
        <f t="shared" si="72"/>
        <v>40.664041680309992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302.00825291248458</v>
      </c>
      <c r="T119" s="59">
        <f t="shared" si="88"/>
        <v>307.35115839449355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45.809721945304027</v>
      </c>
      <c r="AA119" s="21">
        <f>EXP(-LN(2)/25)*AA118+(1-EXP(-LN(2)/25))/(LN(2)/25)*Calculateur!V119*Calculateur!X119*VLOOKUP('Données projet'!$B$9,Paramètres!$A$1:$I$89,3,0)*0.475*44/12</f>
        <v>10.254195336238897</v>
      </c>
      <c r="AB119" s="21">
        <f>EXP(-LN(2)/2)*AB118+(1-EXP(-LN(2)/2))/(LN(2)/2)*V119*Y119*VLOOKUP('Données projet'!$B$9,Paramètres!$A$1:$I$89,3,0)*0.475*44/12</f>
        <v>2.2337378123161753E-7</v>
      </c>
      <c r="AC119" s="22">
        <f t="shared" si="57"/>
        <v>56.063917504916709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5.0249582272954292E-14</v>
      </c>
      <c r="AK119" s="13">
        <f t="shared" si="89"/>
        <v>8.1784820119191593E-13</v>
      </c>
      <c r="AL119" s="20">
        <f t="shared" si="58"/>
        <v>1.5119369728679821E-12</v>
      </c>
      <c r="AM119" s="59">
        <f t="shared" si="59"/>
        <v>293.33333333333485</v>
      </c>
      <c r="AN119" s="59">
        <f ca="1">AVERAGE(OFFSET($AM$3,0,0,'Données projet'!$E$10+1,1))-AVERAGE(OFFSET($H$3,0,0,'Données projet'!$E$10+1,1))</f>
        <v>394.37446333077651</v>
      </c>
      <c r="AO119" s="59">
        <f t="shared" si="90"/>
        <v>335.44327961212963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101.29083516980479</v>
      </c>
      <c r="AV119" s="21">
        <f>EXP(-LN(2)/25)*AV118+(1-EXP(-LN(2)/25))/(LN(2)/25)*Calculateur!AQ119*Calculateur!AS119*VLOOKUP('Données projet'!$B$10,Paramètres!$A$1:$I$89,3,0)*0.475*44/12</f>
        <v>26.498486358196498</v>
      </c>
      <c r="AW119" s="21">
        <f>EXP(-LN(2)/2)*AW118+(1-EXP(-LN(2)/2))/(LN(2)/2)*AQ119*AT119*VLOOKUP('Données projet'!$B$10,Paramètres!$A$1:$I$89,3,0)*0.475*44/12</f>
        <v>2.9985004870729622E-4</v>
      </c>
      <c r="AX119" s="21">
        <f t="shared" si="60"/>
        <v>127.78962137805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7.8516666666666692</v>
      </c>
      <c r="BD119" s="12">
        <f>IF('Données projet'!$A$88&gt;35,BD118+BC119-BL118,IF(A119&lt;'Données projet'!$A$88,$BA$205^A119,IF(A119='Données projet'!$A$88,'Données projet'!$B$88,BD118+BC119-BL118)))</f>
        <v>333.94500000000033</v>
      </c>
      <c r="BE119" s="13">
        <f>BD119*VLOOKUP('Données projet'!$B$11,Paramètres!$A$1:$I$89,3,0)*VLOOKUP('Données projet'!$B$11,Paramètres!$A$1:$I$89,5,0)</f>
        <v>302.15343600000028</v>
      </c>
      <c r="BF119" s="13">
        <f t="shared" si="91"/>
        <v>71.627718279800249</v>
      </c>
      <c r="BG119" s="20">
        <f t="shared" si="61"/>
        <v>651.00217703731926</v>
      </c>
      <c r="BH119" s="59">
        <f t="shared" si="62"/>
        <v>944.33551037065263</v>
      </c>
      <c r="BI119" s="59">
        <f ca="1">AVERAGE(OFFSET($BH$3,0,0,'Données projet'!$E$11+1,1))-AVERAGE(OFFSET($H$3,0,0,'Données projet'!$E$11+1,1))</f>
        <v>490.06222615476065</v>
      </c>
      <c r="BJ119" s="59">
        <f t="shared" si="92"/>
        <v>310.43914804089906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31.905585092835732</v>
      </c>
      <c r="BQ119" s="21">
        <f>EXP(-LN(2)/25)*BQ118+(1-EXP(-LN(2)/25))/(LN(2)/25)*Calculateur!BL119*Calculateur!BN119*VLOOKUP('Données projet'!$B$11,Paramètres!$A$1:$I$89,3,0)*0.475*44/12</f>
        <v>20.109108791328115</v>
      </c>
      <c r="BR119" s="21">
        <f>EXP(-LN(2)/2)*BR118+(1-EXP(-LN(2)/2))/(LN(2)/2)*BL119*BO119*VLOOKUP('Données projet'!$B$11,Paramètres!$A$1:$I$89,3,0)*0.475*44/12</f>
        <v>5.4897492587099909E-2</v>
      </c>
      <c r="BS119" s="22">
        <f t="shared" si="63"/>
        <v>52.06959137675095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353.37479213497227</v>
      </c>
      <c r="CE119" s="59">
        <f t="shared" si="94"/>
        <v>345.4750813433123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25.48137552821759</v>
      </c>
      <c r="CL119" s="21">
        <f>EXP(-LN(2)/25)*CL118+(1-EXP(-LN(2)/25))/(LN(2)/25)*Calculateur!CG119*Calculateur!CI119*VLOOKUP('Données projet'!$B$12,Paramètres!$A$1:$I$89,3,0)*0.475*44/12</f>
        <v>18.916255021970606</v>
      </c>
      <c r="CM119" s="21">
        <f>EXP(-LN(2)/2)*CM118+(1-EXP(-LN(2)/2))/(LN(2)/2)*CG119*CJ119*VLOOKUP('Données projet'!$B$12,Paramètres!$A$1:$I$89,3,0)*0.475*44/12</f>
        <v>2.3811844331512929E-4</v>
      </c>
      <c r="CN119" s="22">
        <f t="shared" si="66"/>
        <v>44.39786866863151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3.2919999999999989</v>
      </c>
      <c r="CT119" s="12">
        <f>IF('Données projet'!$A$140&gt;35,CT118+CS119-DB118,IF(A119&lt;'Données projet'!$A$140,$CQ$205^A119,IF(A119='Données projet'!$A$140,'Données projet'!$B$140,CT118+CS119-DB118)))</f>
        <v>170.30199999999925</v>
      </c>
      <c r="CU119" s="17">
        <f>CT119*VLOOKUP('Données projet'!$B$13,Paramètres!$A$1:$I$89,3,0)*VLOOKUP('Données projet'!$B$13,Paramètres!$A$1:$I$89,5,0)</f>
        <v>81.915261999999643</v>
      </c>
      <c r="CV119" s="13">
        <f t="shared" si="95"/>
        <v>22.604828889729724</v>
      </c>
      <c r="CW119" s="20">
        <f t="shared" si="67"/>
        <v>182.03915829961201</v>
      </c>
      <c r="CX119" s="59">
        <f t="shared" si="68"/>
        <v>475.3724916329453</v>
      </c>
      <c r="CY119" s="59">
        <f ca="1">AVERAGE(OFFSET($CX$3,0,0,'Données projet'!$E$13+1,1))-AVERAGE(OFFSET($H$3,0,0,'Données projet'!$E$13+1,1))</f>
        <v>314.18760071409162</v>
      </c>
      <c r="CZ119" s="59">
        <f t="shared" si="96"/>
        <v>267.72650645201787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62.68850095024645</v>
      </c>
      <c r="DG119" s="21">
        <f>EXP(-LN(2)/25)*DG118+(1-EXP(-LN(2)/25))/(LN(2)/25)*Calculateur!DB119*Calculateur!DD119*VLOOKUP('Données projet'!$B$13,Paramètres!$A$1:$I$89,3,0)*0.475*44/12</f>
        <v>15.589853178473019</v>
      </c>
      <c r="DH119" s="21">
        <f>EXP(-LN(2)/2)*DH118+(1-EXP(-LN(2)/2))/(LN(2)/2)*DB119*DE119*VLOOKUP('Données projet'!$B$13,Paramètres!$A$1:$I$89,3,0)*0.475*44/12</f>
        <v>0.99988142235275446</v>
      </c>
      <c r="DI119" s="22">
        <f t="shared" si="69"/>
        <v>79.278235551072228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-1.7053025658242404E-13</v>
      </c>
      <c r="DP119" s="17">
        <f>DO119*VLOOKUP('Données projet'!$B$14,Paramètres!$A$1:$I$89,3,0)*VLOOKUP('Données projet'!$B$14,Paramètres!$A$1:$I$89,5,0)</f>
        <v>-1.4897523215040567E-13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324.86930206492627</v>
      </c>
      <c r="DU119" s="59">
        <f t="shared" si="98"/>
        <v>317.03005098025352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22.586005729204295</v>
      </c>
      <c r="EB119" s="21">
        <f>EXP(-LN(2)/25)*EB118+(1-EXP(-LN(2)/25))/(LN(2)/25)*Calculateur!DW119*Calculateur!DY119*VLOOKUP('Données projet'!$B$14,Paramètres!$A$1:$I$89,3,0)*0.475*44/12</f>
        <v>17.143988453101166</v>
      </c>
      <c r="EC119" s="21">
        <f>EXP(-LN(2)/2)*EC118+(1-EXP(-LN(2)/2))/(LN(2)/2)*DW119*DZ119*VLOOKUP('Données projet'!$B$14,Paramètres!$A$1:$I$89,3,0)*0.475*44/12</f>
        <v>2.1772769553884161E-4</v>
      </c>
      <c r="ED119" s="22">
        <f t="shared" si="72"/>
        <v>39.730211910001003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302.00825291248458</v>
      </c>
      <c r="T120" s="59">
        <f t="shared" si="88"/>
        <v>307.35115839449355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44.911421239128039</v>
      </c>
      <c r="AA120" s="21">
        <f>EXP(-LN(2)/25)*AA119+(1-EXP(-LN(2)/25))/(LN(2)/25)*Calculateur!V120*Calculateur!X120*VLOOKUP('Données projet'!$B$9,Paramètres!$A$1:$I$89,3,0)*0.475*44/12</f>
        <v>9.9737938255247478</v>
      </c>
      <c r="AB120" s="21">
        <f>EXP(-LN(2)/2)*AB119+(1-EXP(-LN(2)/2))/(LN(2)/2)*V120*Y120*VLOOKUP('Données projet'!$B$9,Paramètres!$A$1:$I$89,3,0)*0.475*44/12</f>
        <v>1.5794911544815711E-7</v>
      </c>
      <c r="AC120" s="22">
        <f t="shared" si="57"/>
        <v>54.8852152226019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5.0249582272954292E-14</v>
      </c>
      <c r="AK120" s="13">
        <f t="shared" si="89"/>
        <v>8.1784820119191593E-13</v>
      </c>
      <c r="AL120" s="20">
        <f t="shared" si="58"/>
        <v>1.5119369728679821E-12</v>
      </c>
      <c r="AM120" s="59">
        <f t="shared" si="59"/>
        <v>293.33333333333485</v>
      </c>
      <c r="AN120" s="59">
        <f ca="1">AVERAGE(OFFSET($AM$3,0,0,'Données projet'!$E$10+1,1))-AVERAGE(OFFSET($H$3,0,0,'Données projet'!$E$10+1,1))</f>
        <v>394.37446333077651</v>
      </c>
      <c r="AO120" s="59">
        <f t="shared" si="90"/>
        <v>335.44327961212963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99.304583673433982</v>
      </c>
      <c r="AV120" s="21">
        <f>EXP(-LN(2)/25)*AV119+(1-EXP(-LN(2)/25))/(LN(2)/25)*Calculateur!AQ120*Calculateur!AS120*VLOOKUP('Données projet'!$B$10,Paramètres!$A$1:$I$89,3,0)*0.475*44/12</f>
        <v>25.773883855236779</v>
      </c>
      <c r="AW120" s="21">
        <f>EXP(-LN(2)/2)*AW119+(1-EXP(-LN(2)/2))/(LN(2)/2)*AQ120*AT120*VLOOKUP('Données projet'!$B$10,Paramètres!$A$1:$I$89,3,0)*0.475*44/12</f>
        <v>2.1202600278004573E-4</v>
      </c>
      <c r="AX120" s="21">
        <f t="shared" si="60"/>
        <v>125.07867955467354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7.8516666666666692</v>
      </c>
      <c r="BD120" s="12">
        <f>IF('Données projet'!$A$88&gt;35,BD119+BC120-BL119,IF(A120&lt;'Données projet'!$A$88,$BA$205^A120,IF(A120='Données projet'!$A$88,'Données projet'!$B$88,BD119+BC120-BL119)))</f>
        <v>341.79666666666702</v>
      </c>
      <c r="BE120" s="13">
        <f>BD120*VLOOKUP('Données projet'!$B$11,Paramètres!$A$1:$I$89,3,0)*VLOOKUP('Données projet'!$B$11,Paramètres!$A$1:$I$89,5,0)</f>
        <v>309.25762400000031</v>
      </c>
      <c r="BF120" s="13">
        <f t="shared" si="91"/>
        <v>73.113770887931139</v>
      </c>
      <c r="BG120" s="20">
        <f t="shared" si="61"/>
        <v>665.96351276314715</v>
      </c>
      <c r="BH120" s="59">
        <f t="shared" si="62"/>
        <v>959.29684609648052</v>
      </c>
      <c r="BI120" s="59">
        <f ca="1">AVERAGE(OFFSET($BH$3,0,0,'Données projet'!$E$11+1,1))-AVERAGE(OFFSET($H$3,0,0,'Données projet'!$E$11+1,1))</f>
        <v>490.06222615476065</v>
      </c>
      <c r="BJ120" s="59">
        <f t="shared" si="92"/>
        <v>310.43914804089906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31.279936029650568</v>
      </c>
      <c r="BQ120" s="21">
        <f>EXP(-LN(2)/25)*BQ119+(1-EXP(-LN(2)/25))/(LN(2)/25)*Calculateur!BL120*Calculateur!BN120*VLOOKUP('Données projet'!$B$11,Paramètres!$A$1:$I$89,3,0)*0.475*44/12</f>
        <v>19.559224153937176</v>
      </c>
      <c r="BR120" s="21">
        <f>EXP(-LN(2)/2)*BR119+(1-EXP(-LN(2)/2))/(LN(2)/2)*BL120*BO120*VLOOKUP('Données projet'!$B$11,Paramètres!$A$1:$I$89,3,0)*0.475*44/12</f>
        <v>3.881838927847657E-2</v>
      </c>
      <c r="BS120" s="22">
        <f t="shared" si="63"/>
        <v>50.877978572866219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353.37479213497227</v>
      </c>
      <c r="CE120" s="59">
        <f t="shared" si="94"/>
        <v>345.4750813433123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24.981701296213661</v>
      </c>
      <c r="CL120" s="21">
        <f>EXP(-LN(2)/25)*CL119+(1-EXP(-LN(2)/25))/(LN(2)/25)*Calculateur!CG120*Calculateur!CI120*VLOOKUP('Données projet'!$B$12,Paramètres!$A$1:$I$89,3,0)*0.475*44/12</f>
        <v>18.398989033632201</v>
      </c>
      <c r="CM120" s="21">
        <f>EXP(-LN(2)/2)*CM119+(1-EXP(-LN(2)/2))/(LN(2)/2)*CG120*CJ120*VLOOKUP('Données projet'!$B$12,Paramètres!$A$1:$I$89,3,0)*0.475*44/12</f>
        <v>1.6837516599371247E-4</v>
      </c>
      <c r="CN120" s="22">
        <f t="shared" si="66"/>
        <v>43.380858705011853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3.2919999999999989</v>
      </c>
      <c r="CT120" s="12">
        <f>IF('Données projet'!$A$140&gt;35,CT119+CS120-DB119,IF(A120&lt;'Données projet'!$A$140,$CQ$205^A120,IF(A120='Données projet'!$A$140,'Données projet'!$B$140,CT119+CS120-DB119)))</f>
        <v>173.59399999999926</v>
      </c>
      <c r="CU120" s="17">
        <f>CT120*VLOOKUP('Données projet'!$B$13,Paramètres!$A$1:$I$89,3,0)*VLOOKUP('Données projet'!$B$13,Paramètres!$A$1:$I$89,5,0)</f>
        <v>83.498713999999637</v>
      </c>
      <c r="CV120" s="13">
        <f t="shared" si="95"/>
        <v>22.990495130169815</v>
      </c>
      <c r="CW120" s="20">
        <f t="shared" si="67"/>
        <v>185.46870590171181</v>
      </c>
      <c r="CX120" s="59">
        <f t="shared" si="68"/>
        <v>478.80203923504513</v>
      </c>
      <c r="CY120" s="59">
        <f ca="1">AVERAGE(OFFSET($CX$3,0,0,'Données projet'!$E$13+1,1))-AVERAGE(OFFSET($H$3,0,0,'Données projet'!$E$13+1,1))</f>
        <v>314.18760071409162</v>
      </c>
      <c r="CZ120" s="59">
        <f t="shared" si="96"/>
        <v>267.72650645201787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61.459217682822185</v>
      </c>
      <c r="DG120" s="21">
        <f>EXP(-LN(2)/25)*DG119+(1-EXP(-LN(2)/25))/(LN(2)/25)*Calculateur!DB120*Calculateur!DD120*VLOOKUP('Données projet'!$B$13,Paramètres!$A$1:$I$89,3,0)*0.475*44/12</f>
        <v>15.163547823472927</v>
      </c>
      <c r="DH120" s="21">
        <f>EXP(-LN(2)/2)*DH119+(1-EXP(-LN(2)/2))/(LN(2)/2)*DB120*DE120*VLOOKUP('Données projet'!$B$13,Paramètres!$A$1:$I$89,3,0)*0.475*44/12</f>
        <v>0.70702293412808315</v>
      </c>
      <c r="DI120" s="22">
        <f t="shared" si="69"/>
        <v>77.329788440423187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-1.7053025658242404E-13</v>
      </c>
      <c r="DP120" s="17">
        <f>DO120*VLOOKUP('Données projet'!$B$14,Paramètres!$A$1:$I$89,3,0)*VLOOKUP('Données projet'!$B$14,Paramètres!$A$1:$I$89,5,0)</f>
        <v>-1.4897523215040567E-13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324.86930206492627</v>
      </c>
      <c r="DU120" s="59">
        <f t="shared" si="98"/>
        <v>317.03005098025352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22.143107932957818</v>
      </c>
      <c r="EB120" s="21">
        <f>EXP(-LN(2)/25)*EB119+(1-EXP(-LN(2)/25))/(LN(2)/25)*Calculateur!DW120*Calculateur!DY120*VLOOKUP('Données projet'!$B$14,Paramètres!$A$1:$I$89,3,0)*0.475*44/12</f>
        <v>16.675185187287944</v>
      </c>
      <c r="EC120" s="21">
        <f>EXP(-LN(2)/2)*EC119+(1-EXP(-LN(2)/2))/(LN(2)/2)*DW120*DZ120*VLOOKUP('Données projet'!$B$14,Paramètres!$A$1:$I$89,3,0)*0.475*44/12</f>
        <v>1.5395672996763491E-4</v>
      </c>
      <c r="ED120" s="22">
        <f t="shared" si="72"/>
        <v>38.81844707697573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302.00825291248458</v>
      </c>
      <c r="T121" s="59">
        <f t="shared" si="88"/>
        <v>307.35115839449355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44.030735661890837</v>
      </c>
      <c r="AA121" s="21">
        <f>EXP(-LN(2)/25)*AA120+(1-EXP(-LN(2)/25))/(LN(2)/25)*Calculateur!V121*Calculateur!X121*VLOOKUP('Données projet'!$B$9,Paramètres!$A$1:$I$89,3,0)*0.475*44/12</f>
        <v>9.7010599088667515</v>
      </c>
      <c r="AB121" s="21">
        <f>EXP(-LN(2)/2)*AB120+(1-EXP(-LN(2)/2))/(LN(2)/2)*V121*Y121*VLOOKUP('Données projet'!$B$9,Paramètres!$A$1:$I$89,3,0)*0.475*44/12</f>
        <v>1.1168689061580877E-7</v>
      </c>
      <c r="AC121" s="22">
        <f t="shared" si="57"/>
        <v>53.731795682444478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5.0249582272954292E-14</v>
      </c>
      <c r="AK121" s="13">
        <f t="shared" si="89"/>
        <v>8.1784820119191593E-13</v>
      </c>
      <c r="AL121" s="20">
        <f t="shared" si="58"/>
        <v>1.5119369728679821E-12</v>
      </c>
      <c r="AM121" s="59">
        <f t="shared" si="59"/>
        <v>293.33333333333485</v>
      </c>
      <c r="AN121" s="59">
        <f ca="1">AVERAGE(OFFSET($AM$3,0,0,'Données projet'!$E$10+1,1))-AVERAGE(OFFSET($H$3,0,0,'Données projet'!$E$10+1,1))</f>
        <v>394.37446333077651</v>
      </c>
      <c r="AO121" s="59">
        <f t="shared" si="90"/>
        <v>335.44327961212963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97.357281357413214</v>
      </c>
      <c r="AV121" s="21">
        <f>EXP(-LN(2)/25)*AV120+(1-EXP(-LN(2)/25))/(LN(2)/25)*Calculateur!AQ121*Calculateur!AS121*VLOOKUP('Données projet'!$B$10,Paramètres!$A$1:$I$89,3,0)*0.475*44/12</f>
        <v>25.069095645825684</v>
      </c>
      <c r="AW121" s="21">
        <f>EXP(-LN(2)/2)*AW120+(1-EXP(-LN(2)/2))/(LN(2)/2)*AQ121*AT121*VLOOKUP('Données projet'!$B$10,Paramètres!$A$1:$I$89,3,0)*0.475*44/12</f>
        <v>1.4992502435364811E-4</v>
      </c>
      <c r="AX121" s="21">
        <f t="shared" si="60"/>
        <v>122.42652692826326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7.8516666666666692</v>
      </c>
      <c r="BD121" s="12">
        <f>IF('Données projet'!$A$88&gt;35,BD120+BC121-BL120,IF(A121&lt;'Données projet'!$A$88,$BA$205^A121,IF(A121='Données projet'!$A$88,'Données projet'!$B$88,BD120+BC121-BL120)))</f>
        <v>349.64833333333371</v>
      </c>
      <c r="BE121" s="13">
        <f>BD121*VLOOKUP('Données projet'!$B$11,Paramètres!$A$1:$I$89,3,0)*VLOOKUP('Données projet'!$B$11,Paramètres!$A$1:$I$89,5,0)</f>
        <v>316.36181200000033</v>
      </c>
      <c r="BF121" s="13">
        <f t="shared" si="91"/>
        <v>74.59585486191655</v>
      </c>
      <c r="BG121" s="20">
        <f t="shared" si="61"/>
        <v>680.91793645117184</v>
      </c>
      <c r="BH121" s="59">
        <f t="shared" si="62"/>
        <v>974.25126978450521</v>
      </c>
      <c r="BI121" s="59">
        <f ca="1">AVERAGE(OFFSET($BH$3,0,0,'Données projet'!$E$11+1,1))-AVERAGE(OFFSET($H$3,0,0,'Données projet'!$E$11+1,1))</f>
        <v>490.06222615476065</v>
      </c>
      <c r="BJ121" s="59">
        <f t="shared" si="92"/>
        <v>310.43914804089906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30.666555562986215</v>
      </c>
      <c r="BQ121" s="21">
        <f>EXP(-LN(2)/25)*BQ120+(1-EXP(-LN(2)/25))/(LN(2)/25)*Calculateur!BL121*Calculateur!BN121*VLOOKUP('Données projet'!$B$11,Paramètres!$A$1:$I$89,3,0)*0.475*44/12</f>
        <v>19.024376140872871</v>
      </c>
      <c r="BR121" s="21">
        <f>EXP(-LN(2)/2)*BR120+(1-EXP(-LN(2)/2))/(LN(2)/2)*BL121*BO121*VLOOKUP('Données projet'!$B$11,Paramètres!$A$1:$I$89,3,0)*0.475*44/12</f>
        <v>2.7448746293549955E-2</v>
      </c>
      <c r="BS121" s="22">
        <f t="shared" si="63"/>
        <v>49.718380450152637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353.37479213497227</v>
      </c>
      <c r="CE121" s="59">
        <f t="shared" si="94"/>
        <v>345.4750813433123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24.49182537112814</v>
      </c>
      <c r="CL121" s="21">
        <f>EXP(-LN(2)/25)*CL120+(1-EXP(-LN(2)/25))/(LN(2)/25)*Calculateur!CG121*Calculateur!CI121*VLOOKUP('Données projet'!$B$12,Paramètres!$A$1:$I$89,3,0)*0.475*44/12</f>
        <v>17.895867710946746</v>
      </c>
      <c r="CM121" s="21">
        <f>EXP(-LN(2)/2)*CM120+(1-EXP(-LN(2)/2))/(LN(2)/2)*CG121*CJ121*VLOOKUP('Données projet'!$B$12,Paramètres!$A$1:$I$89,3,0)*0.475*44/12</f>
        <v>1.1905922165756467E-4</v>
      </c>
      <c r="CN121" s="22">
        <f t="shared" si="66"/>
        <v>42.38781214129655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3.2919999999999989</v>
      </c>
      <c r="CT121" s="12">
        <f>IF('Données projet'!$A$140&gt;35,CT120+CS121-DB120,IF(A121&lt;'Données projet'!$A$140,$CQ$205^A121,IF(A121='Données projet'!$A$140,'Données projet'!$B$140,CT120+CS121-DB120)))</f>
        <v>176.88599999999926</v>
      </c>
      <c r="CU121" s="17">
        <f>CT121*VLOOKUP('Données projet'!$B$13,Paramètres!$A$1:$I$89,3,0)*VLOOKUP('Données projet'!$B$13,Paramètres!$A$1:$I$89,5,0)</f>
        <v>85.082165999999646</v>
      </c>
      <c r="CV121" s="13">
        <f t="shared" si="95"/>
        <v>23.375310941730699</v>
      </c>
      <c r="CW121" s="20">
        <f t="shared" si="67"/>
        <v>188.89677234018038</v>
      </c>
      <c r="CX121" s="59">
        <f t="shared" si="68"/>
        <v>482.23010567351366</v>
      </c>
      <c r="CY121" s="59">
        <f ca="1">AVERAGE(OFFSET($CX$3,0,0,'Données projet'!$E$13+1,1))-AVERAGE(OFFSET($H$3,0,0,'Données projet'!$E$13+1,1))</f>
        <v>314.18760071409162</v>
      </c>
      <c r="CZ121" s="59">
        <f t="shared" si="96"/>
        <v>267.72650645201787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60.25403991048335</v>
      </c>
      <c r="DG121" s="21">
        <f>EXP(-LN(2)/25)*DG120+(1-EXP(-LN(2)/25))/(LN(2)/25)*Calculateur!DB121*Calculateur!DD121*VLOOKUP('Données projet'!$B$13,Paramètres!$A$1:$I$89,3,0)*0.475*44/12</f>
        <v>14.748899810823737</v>
      </c>
      <c r="DH121" s="21">
        <f>EXP(-LN(2)/2)*DH120+(1-EXP(-LN(2)/2))/(LN(2)/2)*DB121*DE121*VLOOKUP('Données projet'!$B$13,Paramètres!$A$1:$I$89,3,0)*0.475*44/12</f>
        <v>0.49994071117637734</v>
      </c>
      <c r="DI121" s="22">
        <f t="shared" si="69"/>
        <v>75.502880432483465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-1.7053025658242404E-13</v>
      </c>
      <c r="DP121" s="17">
        <f>DO121*VLOOKUP('Données projet'!$B$14,Paramètres!$A$1:$I$89,3,0)*VLOOKUP('Données projet'!$B$14,Paramètres!$A$1:$I$89,5,0)</f>
        <v>-1.4897523215040567E-13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324.86930206492627</v>
      </c>
      <c r="DU121" s="59">
        <f t="shared" si="98"/>
        <v>317.03005098025352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21.708895092354751</v>
      </c>
      <c r="EB121" s="21">
        <f>EXP(-LN(2)/25)*EB120+(1-EXP(-LN(2)/25))/(LN(2)/25)*Calculateur!DW121*Calculateur!DY121*VLOOKUP('Données projet'!$B$14,Paramètres!$A$1:$I$89,3,0)*0.475*44/12</f>
        <v>16.219201371431677</v>
      </c>
      <c r="EC121" s="21">
        <f>EXP(-LN(2)/2)*EC120+(1-EXP(-LN(2)/2))/(LN(2)/2)*DW121*DZ121*VLOOKUP('Données projet'!$B$14,Paramètres!$A$1:$I$89,3,0)*0.475*44/12</f>
        <v>1.088638477694208E-4</v>
      </c>
      <c r="ED121" s="22">
        <f t="shared" si="72"/>
        <v>37.928205327634203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302.00825291248458</v>
      </c>
      <c r="T122" s="59">
        <f t="shared" si="88"/>
        <v>307.35115839449355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43.167319791658095</v>
      </c>
      <c r="AA122" s="21">
        <f>EXP(-LN(2)/25)*AA121+(1-EXP(-LN(2)/25))/(LN(2)/25)*Calculateur!V122*Calculateur!X122*VLOOKUP('Données projet'!$B$9,Paramètres!$A$1:$I$89,3,0)*0.475*44/12</f>
        <v>9.4357839155022223</v>
      </c>
      <c r="AB122" s="21">
        <f>EXP(-LN(2)/2)*AB121+(1-EXP(-LN(2)/2))/(LN(2)/2)*V122*Y122*VLOOKUP('Données projet'!$B$9,Paramètres!$A$1:$I$89,3,0)*0.475*44/12</f>
        <v>7.8974557724078556E-8</v>
      </c>
      <c r="AC122" s="22">
        <f t="shared" si="57"/>
        <v>52.603103786134874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5.0249582272954292E-14</v>
      </c>
      <c r="AK122" s="13">
        <f t="shared" si="89"/>
        <v>8.1784820119191593E-13</v>
      </c>
      <c r="AL122" s="20">
        <f t="shared" si="58"/>
        <v>1.5119369728679821E-12</v>
      </c>
      <c r="AM122" s="59">
        <f t="shared" si="59"/>
        <v>293.33333333333485</v>
      </c>
      <c r="AN122" s="59">
        <f ca="1">AVERAGE(OFFSET($AM$3,0,0,'Données projet'!$E$10+1,1))-AVERAGE(OFFSET($H$3,0,0,'Données projet'!$E$10+1,1))</f>
        <v>394.37446333077651</v>
      </c>
      <c r="AO122" s="59">
        <f t="shared" si="90"/>
        <v>335.44327961212963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95.448164452072476</v>
      </c>
      <c r="AV122" s="21">
        <f>EXP(-LN(2)/25)*AV121+(1-EXP(-LN(2)/25))/(LN(2)/25)*Calculateur!AQ122*Calculateur!AS122*VLOOKUP('Données projet'!$B$10,Paramètres!$A$1:$I$89,3,0)*0.475*44/12</f>
        <v>24.383579907064135</v>
      </c>
      <c r="AW122" s="21">
        <f>EXP(-LN(2)/2)*AW121+(1-EXP(-LN(2)/2))/(LN(2)/2)*AQ122*AT122*VLOOKUP('Données projet'!$B$10,Paramètres!$A$1:$I$89,3,0)*0.475*44/12</f>
        <v>1.0601300139002287E-4</v>
      </c>
      <c r="AX122" s="21">
        <f t="shared" si="60"/>
        <v>119.83185037213799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7.8516666666666692</v>
      </c>
      <c r="BD122" s="12">
        <f>IF('Données projet'!$A$88&gt;35,BD121+BC122-BL121,IF(A122&lt;'Données projet'!$A$88,$BA$205^A122,IF(A122='Données projet'!$A$88,'Données projet'!$B$88,BD121+BC122-BL121)))</f>
        <v>357.5000000000004</v>
      </c>
      <c r="BE122" s="13">
        <f>BD122*VLOOKUP('Données projet'!$B$11,Paramètres!$A$1:$I$89,3,0)*VLOOKUP('Données projet'!$B$11,Paramètres!$A$1:$I$89,5,0)</f>
        <v>323.46600000000035</v>
      </c>
      <c r="BF122" s="13">
        <f t="shared" si="91"/>
        <v>76.074069581431218</v>
      </c>
      <c r="BG122" s="20">
        <f t="shared" si="61"/>
        <v>695.86562118765994</v>
      </c>
      <c r="BH122" s="59">
        <f t="shared" si="62"/>
        <v>989.19895452099331</v>
      </c>
      <c r="BI122" s="59">
        <f ca="1">AVERAGE(OFFSET($BH$3,0,0,'Données projet'!$E$11+1,1))-AVERAGE(OFFSET($H$3,0,0,'Données projet'!$E$11+1,1))</f>
        <v>490.06222615476065</v>
      </c>
      <c r="BJ122" s="59">
        <f t="shared" si="92"/>
        <v>310.43914804089906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30.065203113148009</v>
      </c>
      <c r="BQ122" s="21">
        <f>EXP(-LN(2)/25)*BQ121+(1-EXP(-LN(2)/25))/(LN(2)/25)*Calculateur!BL122*Calculateur!BN122*VLOOKUP('Données projet'!$B$11,Paramètres!$A$1:$I$89,3,0)*0.475*44/12</f>
        <v>18.504153574852243</v>
      </c>
      <c r="BR122" s="21">
        <f>EXP(-LN(2)/2)*BR121+(1-EXP(-LN(2)/2))/(LN(2)/2)*BL122*BO122*VLOOKUP('Données projet'!$B$11,Paramètres!$A$1:$I$89,3,0)*0.475*44/12</f>
        <v>1.9409194639238285E-2</v>
      </c>
      <c r="BS122" s="22">
        <f t="shared" si="63"/>
        <v>48.588765882639493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353.37479213497227</v>
      </c>
      <c r="CE122" s="59">
        <f t="shared" si="94"/>
        <v>345.4750813433123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24.011555614138736</v>
      </c>
      <c r="CL122" s="21">
        <f>EXP(-LN(2)/25)*CL121+(1-EXP(-LN(2)/25))/(LN(2)/25)*Calculateur!CG122*Calculateur!CI122*VLOOKUP('Données projet'!$B$12,Paramètres!$A$1:$I$89,3,0)*0.475*44/12</f>
        <v>17.406504267288124</v>
      </c>
      <c r="CM122" s="21">
        <f>EXP(-LN(2)/2)*CM121+(1-EXP(-LN(2)/2))/(LN(2)/2)*CG122*CJ122*VLOOKUP('Données projet'!$B$12,Paramètres!$A$1:$I$89,3,0)*0.475*44/12</f>
        <v>8.4187582996856248E-5</v>
      </c>
      <c r="CN122" s="22">
        <f t="shared" si="66"/>
        <v>41.418144069009855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3.2919999999999989</v>
      </c>
      <c r="CT122" s="12">
        <f>IF('Données projet'!$A$140&gt;35,CT121+CS122-DB121,IF(A122&lt;'Données projet'!$A$140,$CQ$205^A122,IF(A122='Données projet'!$A$140,'Données projet'!$B$140,CT121+CS122-DB121)))</f>
        <v>180.17799999999926</v>
      </c>
      <c r="CU122" s="17">
        <f>CT122*VLOOKUP('Données projet'!$B$13,Paramètres!$A$1:$I$89,3,0)*VLOOKUP('Données projet'!$B$13,Paramètres!$A$1:$I$89,5,0)</f>
        <v>86.66561799999964</v>
      </c>
      <c r="CV122" s="13">
        <f t="shared" si="95"/>
        <v>23.759293976840009</v>
      </c>
      <c r="CW122" s="20">
        <f t="shared" si="67"/>
        <v>192.3233883596624</v>
      </c>
      <c r="CX122" s="59">
        <f t="shared" si="68"/>
        <v>485.65672169299569</v>
      </c>
      <c r="CY122" s="59">
        <f ca="1">AVERAGE(OFFSET($CX$3,0,0,'Données projet'!$E$13+1,1))-AVERAGE(OFFSET($H$3,0,0,'Données projet'!$E$13+1,1))</f>
        <v>314.18760071409162</v>
      </c>
      <c r="CZ122" s="59">
        <f t="shared" si="96"/>
        <v>267.72650645201787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59.072494939174227</v>
      </c>
      <c r="DG122" s="21">
        <f>EXP(-LN(2)/25)*DG121+(1-EXP(-LN(2)/25))/(LN(2)/25)*Calculateur!DB122*Calculateur!DD122*VLOOKUP('Données projet'!$B$13,Paramètres!$A$1:$I$89,3,0)*0.475*44/12</f>
        <v>14.34559036988583</v>
      </c>
      <c r="DH122" s="21">
        <f>EXP(-LN(2)/2)*DH121+(1-EXP(-LN(2)/2))/(LN(2)/2)*DB122*DE122*VLOOKUP('Données projet'!$B$13,Paramètres!$A$1:$I$89,3,0)*0.475*44/12</f>
        <v>0.35351146706404163</v>
      </c>
      <c r="DI122" s="22">
        <f t="shared" si="69"/>
        <v>73.771596776124099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-1.7053025658242404E-13</v>
      </c>
      <c r="DP122" s="17">
        <f>DO122*VLOOKUP('Données projet'!$B$14,Paramètres!$A$1:$I$89,3,0)*VLOOKUP('Données projet'!$B$14,Paramètres!$A$1:$I$89,5,0)</f>
        <v>-1.4897523215040567E-13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324.86930206492627</v>
      </c>
      <c r="DU122" s="59">
        <f t="shared" si="98"/>
        <v>317.03005098025352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21.28319690071223</v>
      </c>
      <c r="EB122" s="21">
        <f>EXP(-LN(2)/25)*EB121+(1-EXP(-LN(2)/25))/(LN(2)/25)*Calculateur!DW122*Calculateur!DY122*VLOOKUP('Données projet'!$B$14,Paramètres!$A$1:$I$89,3,0)*0.475*44/12</f>
        <v>15.775686456999146</v>
      </c>
      <c r="EC122" s="21">
        <f>EXP(-LN(2)/2)*EC121+(1-EXP(-LN(2)/2))/(LN(2)/2)*DW122*DZ122*VLOOKUP('Données projet'!$B$14,Paramètres!$A$1:$I$89,3,0)*0.475*44/12</f>
        <v>7.6978364983817455E-5</v>
      </c>
      <c r="ED122" s="22">
        <f t="shared" si="72"/>
        <v>37.058960336076368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302.00825291248458</v>
      </c>
      <c r="T123" s="59">
        <f t="shared" si="88"/>
        <v>307.35115839449355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42.320834980008932</v>
      </c>
      <c r="AA123" s="21">
        <f>EXP(-LN(2)/25)*AA122+(1-EXP(-LN(2)/25))/(LN(2)/25)*Calculateur!V123*Calculateur!X123*VLOOKUP('Données projet'!$B$9,Paramètres!$A$1:$I$89,3,0)*0.475*44/12</f>
        <v>9.1777619081265041</v>
      </c>
      <c r="AB123" s="21">
        <f>EXP(-LN(2)/2)*AB122+(1-EXP(-LN(2)/2))/(LN(2)/2)*V123*Y123*VLOOKUP('Données projet'!$B$9,Paramètres!$A$1:$I$89,3,0)*0.475*44/12</f>
        <v>5.5843445307904383E-8</v>
      </c>
      <c r="AC123" s="22">
        <f t="shared" si="57"/>
        <v>51.498596943978882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5.0249582272954292E-14</v>
      </c>
      <c r="AK123" s="13">
        <f t="shared" si="89"/>
        <v>8.1784820119191593E-13</v>
      </c>
      <c r="AL123" s="20">
        <f t="shared" si="58"/>
        <v>1.5119369728679821E-12</v>
      </c>
      <c r="AM123" s="59">
        <f t="shared" si="59"/>
        <v>293.33333333333485</v>
      </c>
      <c r="AN123" s="59">
        <f ca="1">AVERAGE(OFFSET($AM$3,0,0,'Données projet'!$E$10+1,1))-AVERAGE(OFFSET($H$3,0,0,'Données projet'!$E$10+1,1))</f>
        <v>394.37446333077651</v>
      </c>
      <c r="AO123" s="59">
        <f t="shared" si="90"/>
        <v>335.44327961212963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93.57648416479914</v>
      </c>
      <c r="AV123" s="21">
        <f>EXP(-LN(2)/25)*AV122+(1-EXP(-LN(2)/25))/(LN(2)/25)*Calculateur!AQ123*Calculateur!AS123*VLOOKUP('Données projet'!$B$10,Paramètres!$A$1:$I$89,3,0)*0.475*44/12</f>
        <v>23.716809632228728</v>
      </c>
      <c r="AW123" s="21">
        <f>EXP(-LN(2)/2)*AW122+(1-EXP(-LN(2)/2))/(LN(2)/2)*AQ123*AT123*VLOOKUP('Données projet'!$B$10,Paramètres!$A$1:$I$89,3,0)*0.475*44/12</f>
        <v>7.4962512176824056E-5</v>
      </c>
      <c r="AX123" s="21">
        <f t="shared" si="60"/>
        <v>117.29336875954004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7.8516666666666692</v>
      </c>
      <c r="BD123" s="12">
        <f>IF('Données projet'!$A$88&gt;35,BD122+BC123-BL122,IF(A123&lt;'Données projet'!$A$88,$BA$205^A123,IF(A123='Données projet'!$A$88,'Données projet'!$B$88,BD122+BC123-BL122)))</f>
        <v>365.35166666666709</v>
      </c>
      <c r="BE123" s="13">
        <f>BD123*VLOOKUP('Données projet'!$B$11,Paramètres!$A$1:$I$89,3,0)*VLOOKUP('Données projet'!$B$11,Paramètres!$A$1:$I$89,5,0)</f>
        <v>330.57018800000037</v>
      </c>
      <c r="BF123" s="13">
        <f t="shared" si="91"/>
        <v>77.548509811581681</v>
      </c>
      <c r="BG123" s="20">
        <f t="shared" si="61"/>
        <v>710.80673202183868</v>
      </c>
      <c r="BH123" s="59">
        <f t="shared" si="62"/>
        <v>1004.1400653551721</v>
      </c>
      <c r="BI123" s="59">
        <f ca="1">AVERAGE(OFFSET($BH$3,0,0,'Données projet'!$E$11+1,1))-AVERAGE(OFFSET($H$3,0,0,'Données projet'!$E$11+1,1))</f>
        <v>490.06222615476065</v>
      </c>
      <c r="BJ123" s="59">
        <f t="shared" si="92"/>
        <v>310.43914804089906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29.475642818062351</v>
      </c>
      <c r="BQ123" s="21">
        <f>EXP(-LN(2)/25)*BQ122+(1-EXP(-LN(2)/25))/(LN(2)/25)*Calculateur!BL123*Calculateur!BN123*VLOOKUP('Données projet'!$B$11,Paramètres!$A$1:$I$89,3,0)*0.475*44/12</f>
        <v>17.998156522256764</v>
      </c>
      <c r="BR123" s="21">
        <f>EXP(-LN(2)/2)*BR122+(1-EXP(-LN(2)/2))/(LN(2)/2)*BL123*BO123*VLOOKUP('Données projet'!$B$11,Paramètres!$A$1:$I$89,3,0)*0.475*44/12</f>
        <v>1.3724373146774977E-2</v>
      </c>
      <c r="BS123" s="22">
        <f t="shared" si="63"/>
        <v>47.48752371346589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353.37479213497227</v>
      </c>
      <c r="CE123" s="59">
        <f t="shared" si="94"/>
        <v>345.4750813433123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23.540703654148267</v>
      </c>
      <c r="CL123" s="21">
        <f>EXP(-LN(2)/25)*CL122+(1-EXP(-LN(2)/25))/(LN(2)/25)*Calculateur!CG123*Calculateur!CI123*VLOOKUP('Données projet'!$B$12,Paramètres!$A$1:$I$89,3,0)*0.475*44/12</f>
        <v>16.930522492730855</v>
      </c>
      <c r="CM123" s="21">
        <f>EXP(-LN(2)/2)*CM122+(1-EXP(-LN(2)/2))/(LN(2)/2)*CG123*CJ123*VLOOKUP('Données projet'!$B$12,Paramètres!$A$1:$I$89,3,0)*0.475*44/12</f>
        <v>5.9529610828782342E-5</v>
      </c>
      <c r="CN123" s="22">
        <f t="shared" si="66"/>
        <v>40.471285676489948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183.47</v>
      </c>
      <c r="CR123" s="12">
        <f>VLOOKUP(A123,'Données projet'!$A$139:$I$159,9,0)</f>
        <v>3.2919999999999989</v>
      </c>
      <c r="CS123" s="12">
        <f t="array" ref="CS123">INDEX(CR:CR,MIN(IF(ISNUMBER(CR123:CR319),ROW(CR123:CR319),"")))</f>
        <v>3.2919999999999989</v>
      </c>
      <c r="CT123" s="12">
        <f>IF('Données projet'!$A$140&gt;35,CT122+CS123-DB122,IF(A123&lt;'Données projet'!$A$140,$CQ$205^A123,IF(A123='Données projet'!$A$140,'Données projet'!$B$140,CT122+CS123-DB122)))</f>
        <v>183.46999999999926</v>
      </c>
      <c r="CU123" s="17">
        <f>CT123*VLOOKUP('Données projet'!$B$13,Paramètres!$A$1:$I$89,3,0)*VLOOKUP('Données projet'!$B$13,Paramètres!$A$1:$I$89,5,0)</f>
        <v>88.249069999999648</v>
      </c>
      <c r="CV123" s="13">
        <f t="shared" si="95"/>
        <v>24.142461205946546</v>
      </c>
      <c r="CW123" s="20">
        <f t="shared" si="67"/>
        <v>195.74858351702292</v>
      </c>
      <c r="CX123" s="59">
        <f t="shared" si="68"/>
        <v>489.08191685035627</v>
      </c>
      <c r="CY123" s="59">
        <f ca="1">AVERAGE(OFFSET($CX$3,0,0,'Données projet'!$E$13+1,1))-AVERAGE(OFFSET($H$3,0,0,'Données projet'!$E$13+1,1))</f>
        <v>314.18760071409162</v>
      </c>
      <c r="CZ123" s="59">
        <f t="shared" si="96"/>
        <v>267.72650645201787</v>
      </c>
      <c r="DA123" s="15">
        <f>IF(ISNA(VLOOKUP(A123,'Données projet'!$A$139:$I$159,3,0)),0,VLOOKUP(A123,'Données projet'!$A$139:$I$159,3,0))</f>
        <v>8</v>
      </c>
      <c r="DB123" s="15">
        <f>IF(ISNA(VLOOKUP(A123,'Données projet'!$A$139:$I$159,4,0)),0,VLOOKUP(A123,'Données projet'!$A$139:$I$159,4,0))</f>
        <v>183.47</v>
      </c>
      <c r="DC123" s="16">
        <f>IF(ISNA(VLOOKUP(A123,'Données projet'!$A$139:$I$159,5,0)),0%,VLOOKUP(A123,'Données projet'!$A$139:$I$159,5,0)*VLOOKUP('Données projet'!$B$13,Paramètres!$A$1:$I$89,7,0))</f>
        <v>0.22000000000000003</v>
      </c>
      <c r="DD123" s="16">
        <f>IF(ISNA(VLOOKUP(A123,'Données projet'!$A$139:$I$159,6,0)),0%,VLOOKUP(A123,'Données projet'!$A$139:$I$159,6,0)*VLOOKUP('Données projet'!$B$13,Paramètres!$A$1:$I$89,7,0))</f>
        <v>5.5000000000000007E-2</v>
      </c>
      <c r="DE123" s="16">
        <f>IF(ISNA(VLOOKUP(A123,'Données projet'!$A$139:$I$159,7,0)),0%,VLOOKUP(A123,'Données projet'!$A$139:$I$159,7,0))</f>
        <v>0.1</v>
      </c>
      <c r="DF123" s="21">
        <f>EXP(-LN(2)/35)*DF122+(1-EXP(-LN(2)/35))/(LN(2)/35)*DB123*DC123*VLOOKUP('Données projet'!$B$13,Paramètres!$A$1:$I$89,3,0)*0.475*44/12</f>
        <v>83.669096831352292</v>
      </c>
      <c r="DG123" s="21">
        <f>EXP(-LN(2)/25)*DG122+(1-EXP(-LN(2)/25))/(LN(2)/25)*Calculateur!DB123*Calculateur!DD123*VLOOKUP('Données projet'!$B$13,Paramètres!$A$1:$I$89,3,0)*0.475*44/12</f>
        <v>20.366702028691474</v>
      </c>
      <c r="DH123" s="21">
        <f>EXP(-LN(2)/2)*DH122+(1-EXP(-LN(2)/2))/(LN(2)/2)*DB123*DE123*VLOOKUP('Données projet'!$B$13,Paramètres!$A$1:$I$89,3,0)*0.475*44/12</f>
        <v>10.241815083655579</v>
      </c>
      <c r="DI123" s="22">
        <f t="shared" si="69"/>
        <v>114.27761394369935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-1.7053025658242404E-13</v>
      </c>
      <c r="DP123" s="17">
        <f>DO123*VLOOKUP('Données projet'!$B$14,Paramètres!$A$1:$I$89,3,0)*VLOOKUP('Données projet'!$B$14,Paramètres!$A$1:$I$89,5,0)</f>
        <v>-1.4897523215040567E-13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324.86930206492627</v>
      </c>
      <c r="DU123" s="59">
        <f t="shared" si="98"/>
        <v>317.03005098025352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20.865846390957561</v>
      </c>
      <c r="EB123" s="21">
        <f>EXP(-LN(2)/25)*EB122+(1-EXP(-LN(2)/25))/(LN(2)/25)*Calculateur!DW123*Calculateur!DY123*VLOOKUP('Données projet'!$B$14,Paramètres!$A$1:$I$89,3,0)*0.475*44/12</f>
        <v>15.34429948122521</v>
      </c>
      <c r="EC123" s="21">
        <f>EXP(-LN(2)/2)*EC122+(1-EXP(-LN(2)/2))/(LN(2)/2)*DW123*DZ123*VLOOKUP('Données projet'!$B$14,Paramètres!$A$1:$I$89,3,0)*0.475*44/12</f>
        <v>5.4431923884710402E-5</v>
      </c>
      <c r="ED123" s="22">
        <f t="shared" si="72"/>
        <v>36.210200304106657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302.00825291248458</v>
      </c>
      <c r="T124" s="59">
        <f t="shared" si="88"/>
        <v>307.35115839449355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41.490949219211458</v>
      </c>
      <c r="AA124" s="21">
        <f>EXP(-LN(2)/25)*AA123+(1-EXP(-LN(2)/25))/(LN(2)/25)*Calculateur!V124*Calculateur!X124*VLOOKUP('Données projet'!$B$9,Paramètres!$A$1:$I$89,3,0)*0.475*44/12</f>
        <v>8.9267955261112615</v>
      </c>
      <c r="AB124" s="21">
        <f>EXP(-LN(2)/2)*AB123+(1-EXP(-LN(2)/2))/(LN(2)/2)*V124*Y124*VLOOKUP('Données projet'!$B$9,Paramètres!$A$1:$I$89,3,0)*0.475*44/12</f>
        <v>3.9487278862039278E-8</v>
      </c>
      <c r="AC124" s="22">
        <f t="shared" si="57"/>
        <v>50.417744784809997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5.0249582272954292E-14</v>
      </c>
      <c r="AK124" s="13">
        <f t="shared" si="89"/>
        <v>8.1784820119191593E-13</v>
      </c>
      <c r="AL124" s="20">
        <f t="shared" si="58"/>
        <v>1.5119369728679821E-12</v>
      </c>
      <c r="AM124" s="59">
        <f t="shared" si="59"/>
        <v>293.33333333333485</v>
      </c>
      <c r="AN124" s="59">
        <f ca="1">AVERAGE(OFFSET($AM$3,0,0,'Données projet'!$E$10+1,1))-AVERAGE(OFFSET($H$3,0,0,'Données projet'!$E$10+1,1))</f>
        <v>394.37446333077651</v>
      </c>
      <c r="AO124" s="59">
        <f t="shared" si="90"/>
        <v>335.44327961212963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91.741506386346984</v>
      </c>
      <c r="AV124" s="21">
        <f>EXP(-LN(2)/25)*AV123+(1-EXP(-LN(2)/25))/(LN(2)/25)*Calculateur!AQ124*Calculateur!AS124*VLOOKUP('Données projet'!$B$10,Paramètres!$A$1:$I$89,3,0)*0.475*44/12</f>
        <v>23.068272225622621</v>
      </c>
      <c r="AW124" s="21">
        <f>EXP(-LN(2)/2)*AW123+(1-EXP(-LN(2)/2))/(LN(2)/2)*AQ124*AT124*VLOOKUP('Données projet'!$B$10,Paramètres!$A$1:$I$89,3,0)*0.475*44/12</f>
        <v>5.3006500695011433E-5</v>
      </c>
      <c r="AX124" s="21">
        <f t="shared" si="60"/>
        <v>114.8098316184703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7.8516666666666692</v>
      </c>
      <c r="BD124" s="12">
        <f>IF('Données projet'!$A$88&gt;35,BD123+BC124-BL123,IF(A124&lt;'Données projet'!$A$88,$BA$205^A124,IF(A124='Données projet'!$A$88,'Données projet'!$B$88,BD123+BC124-BL123)))</f>
        <v>373.20333333333377</v>
      </c>
      <c r="BE124" s="13">
        <f>BD124*VLOOKUP('Données projet'!$B$11,Paramètres!$A$1:$I$89,3,0)*VLOOKUP('Données projet'!$B$11,Paramètres!$A$1:$I$89,5,0)</f>
        <v>337.67437600000039</v>
      </c>
      <c r="BF124" s="13">
        <f t="shared" si="91"/>
        <v>79.019266011670013</v>
      </c>
      <c r="BG124" s="20">
        <f t="shared" si="61"/>
        <v>725.74142650365923</v>
      </c>
      <c r="BH124" s="59">
        <f t="shared" si="62"/>
        <v>1019.0747598369926</v>
      </c>
      <c r="BI124" s="59">
        <f ca="1">AVERAGE(OFFSET($BH$3,0,0,'Données projet'!$E$11+1,1))-AVERAGE(OFFSET($H$3,0,0,'Données projet'!$E$11+1,1))</f>
        <v>490.06222615476065</v>
      </c>
      <c r="BJ124" s="59">
        <f t="shared" si="92"/>
        <v>310.43914804089906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28.897643440767052</v>
      </c>
      <c r="BQ124" s="21">
        <f>EXP(-LN(2)/25)*BQ123+(1-EXP(-LN(2)/25))/(LN(2)/25)*Calculateur!BL124*Calculateur!BN124*VLOOKUP('Données projet'!$B$11,Paramètres!$A$1:$I$89,3,0)*0.475*44/12</f>
        <v>17.505995985673735</v>
      </c>
      <c r="BR124" s="21">
        <f>EXP(-LN(2)/2)*BR123+(1-EXP(-LN(2)/2))/(LN(2)/2)*BL124*BO124*VLOOKUP('Données projet'!$B$11,Paramètres!$A$1:$I$89,3,0)*0.475*44/12</f>
        <v>9.7045973196191425E-3</v>
      </c>
      <c r="BS124" s="22">
        <f t="shared" si="63"/>
        <v>46.413344023760409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353.37479213497227</v>
      </c>
      <c r="CE124" s="59">
        <f t="shared" si="94"/>
        <v>345.4750813433123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23.079084813901872</v>
      </c>
      <c r="CL124" s="21">
        <f>EXP(-LN(2)/25)*CL123+(1-EXP(-LN(2)/25))/(LN(2)/25)*Calculateur!CG124*Calculateur!CI124*VLOOKUP('Données projet'!$B$12,Paramètres!$A$1:$I$89,3,0)*0.475*44/12</f>
        <v>16.467556464829649</v>
      </c>
      <c r="CM124" s="21">
        <f>EXP(-LN(2)/2)*CM123+(1-EXP(-LN(2)/2))/(LN(2)/2)*CG124*CJ124*VLOOKUP('Données projet'!$B$12,Paramètres!$A$1:$I$89,3,0)*0.475*44/12</f>
        <v>4.2093791498428131E-5</v>
      </c>
      <c r="CN124" s="22">
        <f t="shared" si="66"/>
        <v>39.54668337252302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-7.3896444519050419E-13</v>
      </c>
      <c r="CU124" s="17">
        <f>CT124*VLOOKUP('Données projet'!$B$13,Paramètres!$A$1:$I$89,3,0)*VLOOKUP('Données projet'!$B$13,Paramètres!$A$1:$I$89,5,0)</f>
        <v>-3.5544189813663252E-13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314.18760071409162</v>
      </c>
      <c r="CZ124" s="59">
        <f t="shared" si="96"/>
        <v>267.72650645201787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82.028396875599441</v>
      </c>
      <c r="DG124" s="21">
        <f>EXP(-LN(2)/25)*DG123+(1-EXP(-LN(2)/25))/(LN(2)/25)*Calculateur!DB124*Calculateur!DD124*VLOOKUP('Données projet'!$B$13,Paramètres!$A$1:$I$89,3,0)*0.475*44/12</f>
        <v>19.809773490678594</v>
      </c>
      <c r="DH124" s="21">
        <f>EXP(-LN(2)/2)*DH123+(1-EXP(-LN(2)/2))/(LN(2)/2)*DB124*DE124*VLOOKUP('Données projet'!$B$13,Paramètres!$A$1:$I$89,3,0)*0.475*44/12</f>
        <v>7.242056897311528</v>
      </c>
      <c r="DI124" s="22">
        <f t="shared" si="69"/>
        <v>109.08022726358956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-1.7053025658242404E-13</v>
      </c>
      <c r="DP124" s="17">
        <f>DO124*VLOOKUP('Données projet'!$B$14,Paramètres!$A$1:$I$89,3,0)*VLOOKUP('Données projet'!$B$14,Paramètres!$A$1:$I$89,5,0)</f>
        <v>-1.4897523215040567E-13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324.86930206492627</v>
      </c>
      <c r="DU124" s="59">
        <f t="shared" si="98"/>
        <v>317.03005098025352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20.456679870140505</v>
      </c>
      <c r="EB124" s="21">
        <f>EXP(-LN(2)/25)*EB123+(1-EXP(-LN(2)/25))/(LN(2)/25)*Calculateur!DW124*Calculateur!DY124*VLOOKUP('Données projet'!$B$14,Paramètres!$A$1:$I$89,3,0)*0.475*44/12</f>
        <v>14.924708804989468</v>
      </c>
      <c r="EC124" s="21">
        <f>EXP(-LN(2)/2)*EC123+(1-EXP(-LN(2)/2))/(LN(2)/2)*DW124*DZ124*VLOOKUP('Données projet'!$B$14,Paramètres!$A$1:$I$89,3,0)*0.475*44/12</f>
        <v>3.8489182491908727E-5</v>
      </c>
      <c r="ED124" s="22">
        <f t="shared" si="72"/>
        <v>35.381427164312463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302.00825291248458</v>
      </c>
      <c r="T125" s="59">
        <f t="shared" si="88"/>
        <v>307.35115839449355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40.677337012002887</v>
      </c>
      <c r="AA125" s="21">
        <f>EXP(-LN(2)/25)*AA124+(1-EXP(-LN(2)/25))/(LN(2)/25)*Calculateur!V125*Calculateur!X125*VLOOKUP('Données projet'!$B$9,Paramètres!$A$1:$I$89,3,0)*0.475*44/12</f>
        <v>8.682691833009974</v>
      </c>
      <c r="AB125" s="21">
        <f>EXP(-LN(2)/2)*AB124+(1-EXP(-LN(2)/2))/(LN(2)/2)*V125*Y125*VLOOKUP('Données projet'!$B$9,Paramètres!$A$1:$I$89,3,0)*0.475*44/12</f>
        <v>2.7921722653952191E-8</v>
      </c>
      <c r="AC125" s="22">
        <f t="shared" si="57"/>
        <v>49.360028872934585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5.0249582272954292E-14</v>
      </c>
      <c r="AK125" s="13">
        <f t="shared" si="89"/>
        <v>8.1784820119191593E-13</v>
      </c>
      <c r="AL125" s="20">
        <f t="shared" si="58"/>
        <v>1.5119369728679821E-12</v>
      </c>
      <c r="AM125" s="59">
        <f t="shared" si="59"/>
        <v>293.33333333333485</v>
      </c>
      <c r="AN125" s="59">
        <f ca="1">AVERAGE(OFFSET($AM$3,0,0,'Données projet'!$E$10+1,1))-AVERAGE(OFFSET($H$3,0,0,'Données projet'!$E$10+1,1))</f>
        <v>394.37446333077651</v>
      </c>
      <c r="AO125" s="59">
        <f t="shared" si="90"/>
        <v>335.44327961212963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89.942511402904344</v>
      </c>
      <c r="AV125" s="21">
        <f>EXP(-LN(2)/25)*AV124+(1-EXP(-LN(2)/25))/(LN(2)/25)*Calculateur!AQ125*Calculateur!AS125*VLOOKUP('Données projet'!$B$10,Paramètres!$A$1:$I$89,3,0)*0.475*44/12</f>
        <v>22.437469108505258</v>
      </c>
      <c r="AW125" s="21">
        <f>EXP(-LN(2)/2)*AW124+(1-EXP(-LN(2)/2))/(LN(2)/2)*AQ125*AT125*VLOOKUP('Données projet'!$B$10,Paramètres!$A$1:$I$89,3,0)*0.475*44/12</f>
        <v>3.7481256088412028E-5</v>
      </c>
      <c r="AX125" s="21">
        <f t="shared" si="60"/>
        <v>112.38001799266569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7.8516666666666692</v>
      </c>
      <c r="BD125" s="12">
        <f>IF('Données projet'!$A$88&gt;35,BD124+BC125-BL124,IF(A125&lt;'Données projet'!$A$88,$BA$205^A125,IF(A125='Données projet'!$A$88,'Données projet'!$B$88,BD124+BC125-BL124)))</f>
        <v>381.05500000000046</v>
      </c>
      <c r="BE125" s="13">
        <f>BD125*VLOOKUP('Données projet'!$B$11,Paramètres!$A$1:$I$89,3,0)*VLOOKUP('Données projet'!$B$11,Paramètres!$A$1:$I$89,5,0)</f>
        <v>344.77856400000042</v>
      </c>
      <c r="BF125" s="13">
        <f t="shared" si="91"/>
        <v>80.486424617240047</v>
      </c>
      <c r="BG125" s="20">
        <f t="shared" si="61"/>
        <v>740.66985517502701</v>
      </c>
      <c r="BH125" s="59">
        <f t="shared" si="62"/>
        <v>1034.0031885083604</v>
      </c>
      <c r="BI125" s="59">
        <f ca="1">AVERAGE(OFFSET($BH$3,0,0,'Données projet'!$E$11+1,1))-AVERAGE(OFFSET($H$3,0,0,'Données projet'!$E$11+1,1))</f>
        <v>490.06222615476065</v>
      </c>
      <c r="BJ125" s="59">
        <f t="shared" si="92"/>
        <v>310.43914804089906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28.330978278715705</v>
      </c>
      <c r="BQ125" s="21">
        <f>EXP(-LN(2)/25)*BQ124+(1-EXP(-LN(2)/25))/(LN(2)/25)*Calculateur!BL125*Calculateur!BN125*VLOOKUP('Données projet'!$B$11,Paramètres!$A$1:$I$89,3,0)*0.475*44/12</f>
        <v>17.02729360484517</v>
      </c>
      <c r="BR125" s="21">
        <f>EXP(-LN(2)/2)*BR124+(1-EXP(-LN(2)/2))/(LN(2)/2)*BL125*BO125*VLOOKUP('Données projet'!$B$11,Paramètres!$A$1:$I$89,3,0)*0.475*44/12</f>
        <v>6.8621865733874887E-3</v>
      </c>
      <c r="BS125" s="22">
        <f t="shared" si="63"/>
        <v>45.36513407013426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353.37479213497227</v>
      </c>
      <c r="CE125" s="59">
        <f t="shared" si="94"/>
        <v>345.4750813433123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22.626518037553019</v>
      </c>
      <c r="CL125" s="21">
        <f>EXP(-LN(2)/25)*CL124+(1-EXP(-LN(2)/25))/(LN(2)/25)*Calculateur!CG125*Calculateur!CI125*VLOOKUP('Données projet'!$B$12,Paramètres!$A$1:$I$89,3,0)*0.475*44/12</f>
        <v>16.017250267307723</v>
      </c>
      <c r="CM125" s="21">
        <f>EXP(-LN(2)/2)*CM124+(1-EXP(-LN(2)/2))/(LN(2)/2)*CG125*CJ125*VLOOKUP('Données projet'!$B$12,Paramètres!$A$1:$I$89,3,0)*0.475*44/12</f>
        <v>2.9764805414391178E-5</v>
      </c>
      <c r="CN125" s="22">
        <f t="shared" si="66"/>
        <v>38.643798069666154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-7.3896444519050419E-13</v>
      </c>
      <c r="CU125" s="17">
        <f>CT125*VLOOKUP('Données projet'!$B$13,Paramètres!$A$1:$I$89,3,0)*VLOOKUP('Données projet'!$B$13,Paramètres!$A$1:$I$89,5,0)</f>
        <v>-3.5544189813663252E-13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314.18760071409162</v>
      </c>
      <c r="CZ125" s="59">
        <f t="shared" si="96"/>
        <v>267.72650645201787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80.419870045250747</v>
      </c>
      <c r="DG125" s="21">
        <f>EXP(-LN(2)/25)*DG124+(1-EXP(-LN(2)/25))/(LN(2)/25)*Calculateur!DB125*Calculateur!DD125*VLOOKUP('Données projet'!$B$13,Paramètres!$A$1:$I$89,3,0)*0.475*44/12</f>
        <v>19.268074192825278</v>
      </c>
      <c r="DH125" s="21">
        <f>EXP(-LN(2)/2)*DH124+(1-EXP(-LN(2)/2))/(LN(2)/2)*DB125*DE125*VLOOKUP('Données projet'!$B$13,Paramètres!$A$1:$I$89,3,0)*0.475*44/12</f>
        <v>5.1209075418277905</v>
      </c>
      <c r="DI125" s="22">
        <f t="shared" si="69"/>
        <v>104.80885177990382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-1.7053025658242404E-13</v>
      </c>
      <c r="DP125" s="17">
        <f>DO125*VLOOKUP('Données projet'!$B$14,Paramètres!$A$1:$I$89,3,0)*VLOOKUP('Données projet'!$B$14,Paramètres!$A$1:$I$89,5,0)</f>
        <v>-1.4897523215040567E-13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324.86930206492627</v>
      </c>
      <c r="DU125" s="59">
        <f t="shared" si="98"/>
        <v>317.03005098025352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20.055536855229736</v>
      </c>
      <c r="EB125" s="21">
        <f>EXP(-LN(2)/25)*EB124+(1-EXP(-LN(2)/25))/(LN(2)/25)*Calculateur!DW125*Calculateur!DY125*VLOOKUP('Données projet'!$B$14,Paramètres!$A$1:$I$89,3,0)*0.475*44/12</f>
        <v>14.516591857860705</v>
      </c>
      <c r="EC125" s="21">
        <f>EXP(-LN(2)/2)*EC124+(1-EXP(-LN(2)/2))/(LN(2)/2)*DW125*DZ125*VLOOKUP('Données projet'!$B$14,Paramètres!$A$1:$I$89,3,0)*0.475*44/12</f>
        <v>2.7215961942355201E-5</v>
      </c>
      <c r="ED125" s="22">
        <f t="shared" si="72"/>
        <v>34.572155929052386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302.00825291248458</v>
      </c>
      <c r="T126" s="59">
        <f t="shared" si="88"/>
        <v>307.35115839449355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39.879679243923235</v>
      </c>
      <c r="AA126" s="21">
        <f>EXP(-LN(2)/25)*AA125+(1-EXP(-LN(2)/25))/(LN(2)/25)*Calculateur!V126*Calculateur!X126*VLOOKUP('Données projet'!$B$9,Paramètres!$A$1:$I$89,3,0)*0.475*44/12</f>
        <v>8.4452631682333976</v>
      </c>
      <c r="AB126" s="21">
        <f>EXP(-LN(2)/2)*AB125+(1-EXP(-LN(2)/2))/(LN(2)/2)*V126*Y126*VLOOKUP('Données projet'!$B$9,Paramètres!$A$1:$I$89,3,0)*0.475*44/12</f>
        <v>1.9743639431019639E-8</v>
      </c>
      <c r="AC126" s="22">
        <f t="shared" si="57"/>
        <v>48.324942431900269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5.0249582272954292E-14</v>
      </c>
      <c r="AK126" s="13">
        <f t="shared" si="89"/>
        <v>8.1784820119191593E-13</v>
      </c>
      <c r="AL126" s="20">
        <f t="shared" si="58"/>
        <v>1.5119369728679821E-12</v>
      </c>
      <c r="AM126" s="59">
        <f t="shared" si="59"/>
        <v>293.33333333333485</v>
      </c>
      <c r="AN126" s="59">
        <f ca="1">AVERAGE(OFFSET($AM$3,0,0,'Données projet'!$E$10+1,1))-AVERAGE(OFFSET($H$3,0,0,'Données projet'!$E$10+1,1))</f>
        <v>394.37446333077651</v>
      </c>
      <c r="AO126" s="59">
        <f t="shared" si="90"/>
        <v>335.44327961212963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88.178793613808423</v>
      </c>
      <c r="AV126" s="21">
        <f>EXP(-LN(2)/25)*AV125+(1-EXP(-LN(2)/25))/(LN(2)/25)*Calculateur!AQ126*Calculateur!AS126*VLOOKUP('Données projet'!$B$10,Paramètres!$A$1:$I$89,3,0)*0.475*44/12</f>
        <v>21.823915335797963</v>
      </c>
      <c r="AW126" s="21">
        <f>EXP(-LN(2)/2)*AW125+(1-EXP(-LN(2)/2))/(LN(2)/2)*AQ126*AT126*VLOOKUP('Données projet'!$B$10,Paramètres!$A$1:$I$89,3,0)*0.475*44/12</f>
        <v>2.6503250347505716E-5</v>
      </c>
      <c r="AX126" s="21">
        <f t="shared" si="60"/>
        <v>110.00273545285674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7.8516666666666692</v>
      </c>
      <c r="BD126" s="12">
        <f>IF('Données projet'!$A$88&gt;35,BD125+BC126-BL125,IF(A126&lt;'Données projet'!$A$88,$BA$205^A126,IF(A126='Données projet'!$A$88,'Données projet'!$B$88,BD125+BC126-BL125)))</f>
        <v>388.90666666666715</v>
      </c>
      <c r="BE126" s="13">
        <f>BD126*VLOOKUP('Données projet'!$B$11,Paramètres!$A$1:$I$89,3,0)*VLOOKUP('Données projet'!$B$11,Paramètres!$A$1:$I$89,5,0)</f>
        <v>351.88275200000038</v>
      </c>
      <c r="BF126" s="13">
        <f t="shared" si="91"/>
        <v>81.950068298221169</v>
      </c>
      <c r="BG126" s="20">
        <f t="shared" si="61"/>
        <v>755.59216201940251</v>
      </c>
      <c r="BH126" s="59">
        <f t="shared" si="62"/>
        <v>1048.9254953527359</v>
      </c>
      <c r="BI126" s="59">
        <f ca="1">AVERAGE(OFFSET($BH$3,0,0,'Données projet'!$E$11+1,1))-AVERAGE(OFFSET($H$3,0,0,'Données projet'!$E$11+1,1))</f>
        <v>490.06222615476065</v>
      </c>
      <c r="BJ126" s="59">
        <f t="shared" si="92"/>
        <v>310.43914804089906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27.775425074860564</v>
      </c>
      <c r="BQ126" s="21">
        <f>EXP(-LN(2)/25)*BQ125+(1-EXP(-LN(2)/25))/(LN(2)/25)*Calculateur!BL126*Calculateur!BN126*VLOOKUP('Données projet'!$B$11,Paramètres!$A$1:$I$89,3,0)*0.475*44/12</f>
        <v>16.561681365794225</v>
      </c>
      <c r="BR126" s="21">
        <f>EXP(-LN(2)/2)*BR125+(1-EXP(-LN(2)/2))/(LN(2)/2)*BL126*BO126*VLOOKUP('Données projet'!$B$11,Paramètres!$A$1:$I$89,3,0)*0.475*44/12</f>
        <v>4.8522986598095712E-3</v>
      </c>
      <c r="BS126" s="22">
        <f t="shared" si="63"/>
        <v>44.341958739314606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353.37479213497227</v>
      </c>
      <c r="CE126" s="59">
        <f t="shared" si="94"/>
        <v>345.4750813433123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22.182825819649889</v>
      </c>
      <c r="CL126" s="21">
        <f>EXP(-LN(2)/25)*CL125+(1-EXP(-LN(2)/25))/(LN(2)/25)*Calculateur!CG126*Calculateur!CI126*VLOOKUP('Données projet'!$B$12,Paramètres!$A$1:$I$89,3,0)*0.475*44/12</f>
        <v>15.57925771643761</v>
      </c>
      <c r="CM126" s="21">
        <f>EXP(-LN(2)/2)*CM125+(1-EXP(-LN(2)/2))/(LN(2)/2)*CG126*CJ126*VLOOKUP('Données projet'!$B$12,Paramètres!$A$1:$I$89,3,0)*0.475*44/12</f>
        <v>2.1046895749214069E-5</v>
      </c>
      <c r="CN126" s="22">
        <f t="shared" si="66"/>
        <v>37.762104582983248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-7.3896444519050419E-13</v>
      </c>
      <c r="CU126" s="17">
        <f>CT126*VLOOKUP('Données projet'!$B$13,Paramètres!$A$1:$I$89,3,0)*VLOOKUP('Données projet'!$B$13,Paramètres!$A$1:$I$89,5,0)</f>
        <v>-3.5544189813663252E-13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314.18760071409162</v>
      </c>
      <c r="CZ126" s="59">
        <f t="shared" si="96"/>
        <v>267.72650645201787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78.842885444940691</v>
      </c>
      <c r="DG126" s="21">
        <f>EXP(-LN(2)/25)*DG125+(1-EXP(-LN(2)/25))/(LN(2)/25)*Calculateur!DB126*Calculateur!DD126*VLOOKUP('Données projet'!$B$13,Paramètres!$A$1:$I$89,3,0)*0.475*44/12</f>
        <v>18.741187690758487</v>
      </c>
      <c r="DH126" s="21">
        <f>EXP(-LN(2)/2)*DH125+(1-EXP(-LN(2)/2))/(LN(2)/2)*DB126*DE126*VLOOKUP('Données projet'!$B$13,Paramètres!$A$1:$I$89,3,0)*0.475*44/12</f>
        <v>3.6210284486557649</v>
      </c>
      <c r="DI126" s="22">
        <f t="shared" si="69"/>
        <v>101.20510158435495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-1.7053025658242404E-13</v>
      </c>
      <c r="DP126" s="17">
        <f>DO126*VLOOKUP('Données projet'!$B$14,Paramètres!$A$1:$I$89,3,0)*VLOOKUP('Données projet'!$B$14,Paramètres!$A$1:$I$89,5,0)</f>
        <v>-1.4897523215040567E-13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324.86930206492627</v>
      </c>
      <c r="DU126" s="59">
        <f t="shared" si="98"/>
        <v>317.03005098025352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19.662260010168286</v>
      </c>
      <c r="EB126" s="21">
        <f>EXP(-LN(2)/25)*EB125+(1-EXP(-LN(2)/25))/(LN(2)/25)*Calculateur!DW126*Calculateur!DY126*VLOOKUP('Données projet'!$B$14,Paramètres!$A$1:$I$89,3,0)*0.475*44/12</f>
        <v>14.119634890113117</v>
      </c>
      <c r="EC126" s="21">
        <f>EXP(-LN(2)/2)*EC125+(1-EXP(-LN(2)/2))/(LN(2)/2)*DW126*DZ126*VLOOKUP('Données projet'!$B$14,Paramètres!$A$1:$I$89,3,0)*0.475*44/12</f>
        <v>1.9244591245954364E-5</v>
      </c>
      <c r="ED126" s="22">
        <f t="shared" si="72"/>
        <v>33.781914144872644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302.00825291248458</v>
      </c>
      <c r="T127" s="59">
        <f t="shared" si="88"/>
        <v>307.35115839449355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39.09766305815242</v>
      </c>
      <c r="AA127" s="21">
        <f>EXP(-LN(2)/25)*AA126+(1-EXP(-LN(2)/25))/(LN(2)/25)*Calculateur!V127*Calculateur!X127*VLOOKUP('Données projet'!$B$9,Paramètres!$A$1:$I$89,3,0)*0.475*44/12</f>
        <v>8.2143270027809674</v>
      </c>
      <c r="AB127" s="21">
        <f>EXP(-LN(2)/2)*AB126+(1-EXP(-LN(2)/2))/(LN(2)/2)*V127*Y127*VLOOKUP('Données projet'!$B$9,Paramètres!$A$1:$I$89,3,0)*0.475*44/12</f>
        <v>1.3960861326976096E-8</v>
      </c>
      <c r="AC127" s="22">
        <f t="shared" si="57"/>
        <v>47.311990074894254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5.0249582272954292E-14</v>
      </c>
      <c r="AK127" s="13">
        <f t="shared" si="89"/>
        <v>8.1784820119191593E-13</v>
      </c>
      <c r="AL127" s="20">
        <f t="shared" si="58"/>
        <v>1.5119369728679821E-12</v>
      </c>
      <c r="AM127" s="59">
        <f t="shared" si="59"/>
        <v>293.33333333333485</v>
      </c>
      <c r="AN127" s="59">
        <f ca="1">AVERAGE(OFFSET($AM$3,0,0,'Données projet'!$E$10+1,1))-AVERAGE(OFFSET($H$3,0,0,'Données projet'!$E$10+1,1))</f>
        <v>394.37446333077651</v>
      </c>
      <c r="AO127" s="59">
        <f t="shared" si="90"/>
        <v>335.44327961212963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86.449661254795046</v>
      </c>
      <c r="AV127" s="21">
        <f>EXP(-LN(2)/25)*AV126+(1-EXP(-LN(2)/25))/(LN(2)/25)*Calculateur!AQ127*Calculateur!AS127*VLOOKUP('Données projet'!$B$10,Paramètres!$A$1:$I$89,3,0)*0.475*44/12</f>
        <v>21.22713922327074</v>
      </c>
      <c r="AW127" s="21">
        <f>EXP(-LN(2)/2)*AW126+(1-EXP(-LN(2)/2))/(LN(2)/2)*AQ127*AT127*VLOOKUP('Données projet'!$B$10,Paramètres!$A$1:$I$89,3,0)*0.475*44/12</f>
        <v>1.8740628044206014E-5</v>
      </c>
      <c r="AX127" s="21">
        <f t="shared" si="60"/>
        <v>107.67681921869384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7.8516666666666692</v>
      </c>
      <c r="BD127" s="12">
        <f>IF('Données projet'!$A$88&gt;35,BD126+BC127-BL126,IF(A127&lt;'Données projet'!$A$88,$BA$205^A127,IF(A127='Données projet'!$A$88,'Données projet'!$B$88,BD126+BC127-BL126)))</f>
        <v>396.75833333333384</v>
      </c>
      <c r="BE127" s="13">
        <f>BD127*VLOOKUP('Données projet'!$B$11,Paramètres!$A$1:$I$89,3,0)*VLOOKUP('Données projet'!$B$11,Paramètres!$A$1:$I$89,5,0)</f>
        <v>358.98694000000046</v>
      </c>
      <c r="BF127" s="13">
        <f t="shared" si="91"/>
        <v>83.410276195636754</v>
      </c>
      <c r="BG127" s="20">
        <f t="shared" si="61"/>
        <v>770.50848487406813</v>
      </c>
      <c r="BH127" s="59">
        <f t="shared" si="62"/>
        <v>1063.8418182074015</v>
      </c>
      <c r="BI127" s="59">
        <f ca="1">AVERAGE(OFFSET($BH$3,0,0,'Données projet'!$E$11+1,1))-AVERAGE(OFFSET($H$3,0,0,'Données projet'!$E$11+1,1))</f>
        <v>490.06222615476065</v>
      </c>
      <c r="BJ127" s="59">
        <f t="shared" si="92"/>
        <v>310.43914804089906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27.230765930479027</v>
      </c>
      <c r="BQ127" s="21">
        <f>EXP(-LN(2)/25)*BQ126+(1-EXP(-LN(2)/25))/(LN(2)/25)*Calculateur!BL127*Calculateur!BN127*VLOOKUP('Données projet'!$B$11,Paramètres!$A$1:$I$89,3,0)*0.475*44/12</f>
        <v>16.108801317905613</v>
      </c>
      <c r="BR127" s="21">
        <f>EXP(-LN(2)/2)*BR126+(1-EXP(-LN(2)/2))/(LN(2)/2)*BL127*BO127*VLOOKUP('Données projet'!$B$11,Paramètres!$A$1:$I$89,3,0)*0.475*44/12</f>
        <v>3.4310932866937443E-3</v>
      </c>
      <c r="BS127" s="22">
        <f t="shared" si="63"/>
        <v>43.342998341671333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353.37479213497227</v>
      </c>
      <c r="CE127" s="59">
        <f t="shared" si="94"/>
        <v>345.4750813433123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21.74783413551431</v>
      </c>
      <c r="CL127" s="21">
        <f>EXP(-LN(2)/25)*CL126+(1-EXP(-LN(2)/25))/(LN(2)/25)*Calculateur!CG127*Calculateur!CI127*VLOOKUP('Données projet'!$B$12,Paramètres!$A$1:$I$89,3,0)*0.475*44/12</f>
        <v>15.153242094904067</v>
      </c>
      <c r="CM127" s="21">
        <f>EXP(-LN(2)/2)*CM126+(1-EXP(-LN(2)/2))/(LN(2)/2)*CG127*CJ127*VLOOKUP('Données projet'!$B$12,Paramètres!$A$1:$I$89,3,0)*0.475*44/12</f>
        <v>1.4882402707195591E-5</v>
      </c>
      <c r="CN127" s="22">
        <f t="shared" si="66"/>
        <v>36.901091112821085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-7.3896444519050419E-13</v>
      </c>
      <c r="CU127" s="17">
        <f>CT127*VLOOKUP('Données projet'!$B$13,Paramètres!$A$1:$I$89,3,0)*VLOOKUP('Données projet'!$B$13,Paramètres!$A$1:$I$89,5,0)</f>
        <v>-3.5544189813663252E-13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314.18760071409162</v>
      </c>
      <c r="CZ127" s="59">
        <f t="shared" si="96"/>
        <v>267.72650645201787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77.296824550777089</v>
      </c>
      <c r="DG127" s="21">
        <f>EXP(-LN(2)/25)*DG126+(1-EXP(-LN(2)/25))/(LN(2)/25)*Calculateur!DB127*Calculateur!DD127*VLOOKUP('Données projet'!$B$13,Paramètres!$A$1:$I$89,3,0)*0.475*44/12</f>
        <v>18.228708927798468</v>
      </c>
      <c r="DH127" s="21">
        <f>EXP(-LN(2)/2)*DH126+(1-EXP(-LN(2)/2))/(LN(2)/2)*DB127*DE127*VLOOKUP('Données projet'!$B$13,Paramètres!$A$1:$I$89,3,0)*0.475*44/12</f>
        <v>2.5604537709138957</v>
      </c>
      <c r="DI127" s="22">
        <f t="shared" si="69"/>
        <v>98.085987249489449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-1.7053025658242404E-13</v>
      </c>
      <c r="DP127" s="17">
        <f>DO127*VLOOKUP('Données projet'!$B$14,Paramètres!$A$1:$I$89,3,0)*VLOOKUP('Données projet'!$B$14,Paramètres!$A$1:$I$89,5,0)</f>
        <v>-1.4897523215040567E-13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324.86930206492627</v>
      </c>
      <c r="DU127" s="59">
        <f t="shared" si="98"/>
        <v>317.03005098025352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19.2766950841633</v>
      </c>
      <c r="EB127" s="21">
        <f>EXP(-LN(2)/25)*EB126+(1-EXP(-LN(2)/25))/(LN(2)/25)*Calculateur!DW127*Calculateur!DY127*VLOOKUP('Données projet'!$B$14,Paramètres!$A$1:$I$89,3,0)*0.475*44/12</f>
        <v>13.733532731523646</v>
      </c>
      <c r="EC127" s="21">
        <f>EXP(-LN(2)/2)*EC126+(1-EXP(-LN(2)/2))/(LN(2)/2)*DW127*DZ127*VLOOKUP('Données projet'!$B$14,Paramètres!$A$1:$I$89,3,0)*0.475*44/12</f>
        <v>1.36079809711776E-5</v>
      </c>
      <c r="ED127" s="22">
        <f t="shared" si="72"/>
        <v>33.010241423667914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302.00825291248458</v>
      </c>
      <c r="T128" s="59">
        <f t="shared" si="88"/>
        <v>307.35115839449355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38.330981732801803</v>
      </c>
      <c r="AA128" s="21">
        <f>EXP(-LN(2)/25)*AA127+(1-EXP(-LN(2)/25))/(LN(2)/25)*Calculateur!V128*Calculateur!X128*VLOOKUP('Données projet'!$B$9,Paramètres!$A$1:$I$89,3,0)*0.475*44/12</f>
        <v>7.9897057989172389</v>
      </c>
      <c r="AB128" s="21">
        <f>EXP(-LN(2)/2)*AB127+(1-EXP(-LN(2)/2))/(LN(2)/2)*V128*Y128*VLOOKUP('Données projet'!$B$9,Paramètres!$A$1:$I$89,3,0)*0.475*44/12</f>
        <v>9.8718197155098195E-9</v>
      </c>
      <c r="AC128" s="22">
        <f t="shared" si="57"/>
        <v>46.320687541590864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5.0249582272954292E-14</v>
      </c>
      <c r="AK128" s="13">
        <f t="shared" si="89"/>
        <v>8.1784820119191593E-13</v>
      </c>
      <c r="AL128" s="20">
        <f t="shared" si="58"/>
        <v>1.5119369728679821E-12</v>
      </c>
      <c r="AM128" s="59">
        <f t="shared" si="59"/>
        <v>293.33333333333485</v>
      </c>
      <c r="AN128" s="59">
        <f ca="1">AVERAGE(OFFSET($AM$3,0,0,'Données projet'!$E$10+1,1))-AVERAGE(OFFSET($H$3,0,0,'Données projet'!$E$10+1,1))</f>
        <v>394.37446333077651</v>
      </c>
      <c r="AO128" s="59">
        <f t="shared" si="90"/>
        <v>335.44327961212963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84.754436126675316</v>
      </c>
      <c r="AV128" s="21">
        <f>EXP(-LN(2)/25)*AV127+(1-EXP(-LN(2)/25))/(LN(2)/25)*Calculateur!AQ128*Calculateur!AS128*VLOOKUP('Données projet'!$B$10,Paramètres!$A$1:$I$89,3,0)*0.475*44/12</f>
        <v>20.646681984923664</v>
      </c>
      <c r="AW128" s="21">
        <f>EXP(-LN(2)/2)*AW127+(1-EXP(-LN(2)/2))/(LN(2)/2)*AQ128*AT128*VLOOKUP('Données projet'!$B$10,Paramètres!$A$1:$I$89,3,0)*0.475*44/12</f>
        <v>1.3251625173752858E-5</v>
      </c>
      <c r="AX128" s="21">
        <f t="shared" si="60"/>
        <v>105.40113136322415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7.8516666666666692</v>
      </c>
      <c r="BC128" s="12">
        <f t="array" ref="BC128">INDEX(BB:BB,MIN(IF(ISNUMBER(BB128:BB324),ROW(BB128:BB324),"")))</f>
        <v>7.8516666666666692</v>
      </c>
      <c r="BD128" s="12">
        <f>IF('Données projet'!$A$88&gt;35,BD127+BC128-BL127,IF(A128&lt;'Données projet'!$A$88,$BA$205^A128,IF(A128='Données projet'!$A$88,'Données projet'!$B$88,BD127+BC128-BL127)))</f>
        <v>404.61000000000053</v>
      </c>
      <c r="BE128" s="13">
        <f>BD128*VLOOKUP('Données projet'!$B$11,Paramètres!$A$1:$I$89,3,0)*VLOOKUP('Données projet'!$B$11,Paramètres!$A$1:$I$89,5,0)</f>
        <v>366.09112800000048</v>
      </c>
      <c r="BF128" s="13">
        <f t="shared" si="91"/>
        <v>84.86712413904533</v>
      </c>
      <c r="BG128" s="20">
        <f t="shared" si="61"/>
        <v>785.41895580883818</v>
      </c>
      <c r="BH128" s="59">
        <f t="shared" si="62"/>
        <v>1078.7522891421715</v>
      </c>
      <c r="BI128" s="59">
        <f ca="1">AVERAGE(OFFSET($BH$3,0,0,'Données projet'!$E$11+1,1))-AVERAGE(OFFSET($H$3,0,0,'Données projet'!$E$11+1,1))</f>
        <v>490.06222615476065</v>
      </c>
      <c r="BJ128" s="59">
        <f t="shared" si="92"/>
        <v>310.43914804089906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70</v>
      </c>
      <c r="BM128" s="16">
        <f>IF(ISNA(VLOOKUP(A128,'Données projet'!$A$87:$I$107,5,0)),0%,VLOOKUP(A128,'Données projet'!$A$87:$I$107,5,0)*VLOOKUP('Données projet'!$B$11,Paramètres!$A$1:$I$89,7,0))</f>
        <v>0.215</v>
      </c>
      <c r="BN128" s="16">
        <f>IF(ISNA(VLOOKUP(A128,'Données projet'!$A$87:$I$107,6,0)),0%,VLOOKUP(A128,'Données projet'!$A$87:$I$107,6,0)*VLOOKUP('Données projet'!$B$11,Paramètres!$A$1:$I$89,7,0))</f>
        <v>8.6000000000000007E-2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41.750242690700809</v>
      </c>
      <c r="BQ128" s="21">
        <f>EXP(-LN(2)/25)*BQ127+(1-EXP(-LN(2)/25))/(LN(2)/25)*Calculateur!BL128*Calculateur!BN128*VLOOKUP('Données projet'!$B$11,Paramètres!$A$1:$I$89,3,0)*0.475*44/12</f>
        <v>21.665979011136745</v>
      </c>
      <c r="BR128" s="21">
        <f>EXP(-LN(2)/2)*BR127+(1-EXP(-LN(2)/2))/(LN(2)/2)*BL128*BO128*VLOOKUP('Données projet'!$B$11,Paramètres!$A$1:$I$89,3,0)*0.475*44/12</f>
        <v>2.4261493299047856E-3</v>
      </c>
      <c r="BS128" s="22">
        <f t="shared" si="63"/>
        <v>63.418647851167464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353.37479213497227</v>
      </c>
      <c r="CE128" s="59">
        <f t="shared" si="94"/>
        <v>345.4750813433123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21.321372372985898</v>
      </c>
      <c r="CL128" s="21">
        <f>EXP(-LN(2)/25)*CL127+(1-EXP(-LN(2)/25))/(LN(2)/25)*Calculateur!CG128*Calculateur!CI128*VLOOKUP('Données projet'!$B$12,Paramètres!$A$1:$I$89,3,0)*0.475*44/12</f>
        <v>14.738875892944547</v>
      </c>
      <c r="CM128" s="21">
        <f>EXP(-LN(2)/2)*CM127+(1-EXP(-LN(2)/2))/(LN(2)/2)*CG128*CJ128*VLOOKUP('Données projet'!$B$12,Paramètres!$A$1:$I$89,3,0)*0.475*44/12</f>
        <v>1.0523447874607036E-5</v>
      </c>
      <c r="CN128" s="22">
        <f t="shared" si="66"/>
        <v>36.060258789378324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-7.3896444519050419E-13</v>
      </c>
      <c r="CU128" s="17">
        <f>CT128*VLOOKUP('Données projet'!$B$13,Paramètres!$A$1:$I$89,3,0)*VLOOKUP('Données projet'!$B$13,Paramètres!$A$1:$I$89,5,0)</f>
        <v>-3.5544189813663252E-13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314.18760071409162</v>
      </c>
      <c r="CZ128" s="59">
        <f t="shared" si="96"/>
        <v>267.72650645201787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75.781080967744003</v>
      </c>
      <c r="DG128" s="21">
        <f>EXP(-LN(2)/25)*DG127+(1-EXP(-LN(2)/25))/(LN(2)/25)*Calculateur!DB128*Calculateur!DD128*VLOOKUP('Données projet'!$B$13,Paramètres!$A$1:$I$89,3,0)*0.475*44/12</f>
        <v>17.73024392356168</v>
      </c>
      <c r="DH128" s="21">
        <f>EXP(-LN(2)/2)*DH127+(1-EXP(-LN(2)/2))/(LN(2)/2)*DB128*DE128*VLOOKUP('Données projet'!$B$13,Paramètres!$A$1:$I$89,3,0)*0.475*44/12</f>
        <v>1.8105142243278827</v>
      </c>
      <c r="DI128" s="22">
        <f t="shared" si="69"/>
        <v>95.32183911563358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-1.7053025658242404E-13</v>
      </c>
      <c r="DP128" s="17">
        <f>DO128*VLOOKUP('Données projet'!$B$14,Paramètres!$A$1:$I$89,3,0)*VLOOKUP('Données projet'!$B$14,Paramètres!$A$1:$I$89,5,0)</f>
        <v>-1.4897523215040567E-13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324.86930206492627</v>
      </c>
      <c r="DU128" s="59">
        <f t="shared" si="98"/>
        <v>317.03005098025352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18.89869085118589</v>
      </c>
      <c r="EB128" s="21">
        <f>EXP(-LN(2)/25)*EB127+(1-EXP(-LN(2)/25))/(LN(2)/25)*Calculateur!DW128*Calculateur!DY128*VLOOKUP('Données projet'!$B$14,Paramètres!$A$1:$I$89,3,0)*0.475*44/12</f>
        <v>13.357988556765033</v>
      </c>
      <c r="EC128" s="21">
        <f>EXP(-LN(2)/2)*EC127+(1-EXP(-LN(2)/2))/(LN(2)/2)*DW128*DZ128*VLOOKUP('Données projet'!$B$14,Paramètres!$A$1:$I$89,3,0)*0.475*44/12</f>
        <v>9.6222956229771819E-6</v>
      </c>
      <c r="ED128" s="22">
        <f t="shared" si="72"/>
        <v>32.256689030246548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302.00825291248458</v>
      </c>
      <c r="T129" s="59">
        <f t="shared" si="88"/>
        <v>307.35115839449355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37.579334560611876</v>
      </c>
      <c r="AA129" s="21">
        <f>EXP(-LN(2)/25)*AA128+(1-EXP(-LN(2)/25))/(LN(2)/25)*Calculateur!V129*Calculateur!X129*VLOOKUP('Données projet'!$B$9,Paramètres!$A$1:$I$89,3,0)*0.475*44/12</f>
        <v>7.7712268736854799</v>
      </c>
      <c r="AB129" s="21">
        <f>EXP(-LN(2)/2)*AB128+(1-EXP(-LN(2)/2))/(LN(2)/2)*V129*Y129*VLOOKUP('Données projet'!$B$9,Paramètres!$A$1:$I$89,3,0)*0.475*44/12</f>
        <v>6.9804306634880479E-9</v>
      </c>
      <c r="AC129" s="22">
        <f t="shared" si="57"/>
        <v>45.350561441277783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5.0249582272954292E-14</v>
      </c>
      <c r="AK129" s="13">
        <f t="shared" si="89"/>
        <v>8.1784820119191593E-13</v>
      </c>
      <c r="AL129" s="20">
        <f t="shared" si="58"/>
        <v>1.5119369728679821E-12</v>
      </c>
      <c r="AM129" s="59">
        <f t="shared" si="59"/>
        <v>293.33333333333485</v>
      </c>
      <c r="AN129" s="59">
        <f ca="1">AVERAGE(OFFSET($AM$3,0,0,'Données projet'!$E$10+1,1))-AVERAGE(OFFSET($H$3,0,0,'Données projet'!$E$10+1,1))</f>
        <v>394.37446333077651</v>
      </c>
      <c r="AO129" s="59">
        <f t="shared" si="90"/>
        <v>335.44327961212963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83.092453329332784</v>
      </c>
      <c r="AV129" s="21">
        <f>EXP(-LN(2)/25)*AV128+(1-EXP(-LN(2)/25))/(LN(2)/25)*Calculateur!AQ129*Calculateur!AS129*VLOOKUP('Données projet'!$B$10,Paramètres!$A$1:$I$89,3,0)*0.475*44/12</f>
        <v>20.082097380284107</v>
      </c>
      <c r="AW129" s="21">
        <f>EXP(-LN(2)/2)*AW128+(1-EXP(-LN(2)/2))/(LN(2)/2)*AQ129*AT129*VLOOKUP('Données projet'!$B$10,Paramètres!$A$1:$I$89,3,0)*0.475*44/12</f>
        <v>9.370314022103007E-6</v>
      </c>
      <c r="AX129" s="21">
        <f t="shared" si="60"/>
        <v>103.17456007993091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7.7849999999999966</v>
      </c>
      <c r="BD129" s="12">
        <f>IF('Données projet'!$A$88&gt;35,BD128+BC129-BL128,IF(A129&lt;'Données projet'!$A$88,$BA$205^A129,IF(A129='Données projet'!$A$88,'Données projet'!$B$88,BD128+BC129-BL128)))</f>
        <v>342.39500000000055</v>
      </c>
      <c r="BE129" s="13">
        <f>BD129*VLOOKUP('Données projet'!$B$11,Paramètres!$A$1:$I$89,3,0)*VLOOKUP('Données projet'!$B$11,Paramètres!$A$1:$I$89,5,0)</f>
        <v>309.7989960000005</v>
      </c>
      <c r="BF129" s="13">
        <f t="shared" si="91"/>
        <v>73.226850951914003</v>
      </c>
      <c r="BG129" s="20">
        <f t="shared" si="61"/>
        <v>667.10335010791766</v>
      </c>
      <c r="BH129" s="59">
        <f t="shared" si="62"/>
        <v>960.43668344125103</v>
      </c>
      <c r="BI129" s="59">
        <f ca="1">AVERAGE(OFFSET($BH$3,0,0,'Données projet'!$E$11+1,1))-AVERAGE(OFFSET($H$3,0,0,'Données projet'!$E$11+1,1))</f>
        <v>490.06222615476065</v>
      </c>
      <c r="BJ129" s="59">
        <f t="shared" si="92"/>
        <v>310.43914804089906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40.931545896669732</v>
      </c>
      <c r="BQ129" s="21">
        <f>EXP(-LN(2)/25)*BQ128+(1-EXP(-LN(2)/25))/(LN(2)/25)*Calculateur!BL129*Calculateur!BN129*VLOOKUP('Données projet'!$B$11,Paramètres!$A$1:$I$89,3,0)*0.475*44/12</f>
        <v>21.073521675712893</v>
      </c>
      <c r="BR129" s="21">
        <f>EXP(-LN(2)/2)*BR128+(1-EXP(-LN(2)/2))/(LN(2)/2)*BL129*BO129*VLOOKUP('Données projet'!$B$11,Paramètres!$A$1:$I$89,3,0)*0.475*44/12</f>
        <v>1.7155466433468722E-3</v>
      </c>
      <c r="BS129" s="22">
        <f t="shared" si="63"/>
        <v>62.006783119025975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353.37479213497227</v>
      </c>
      <c r="CE129" s="59">
        <f t="shared" si="94"/>
        <v>345.4750813433123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20.90327326550468</v>
      </c>
      <c r="CL129" s="21">
        <f>EXP(-LN(2)/25)*CL128+(1-EXP(-LN(2)/25))/(LN(2)/25)*Calculateur!CG129*Calculateur!CI129*VLOOKUP('Données projet'!$B$12,Paramètres!$A$1:$I$89,3,0)*0.475*44/12</f>
        <v>14.335840556568181</v>
      </c>
      <c r="CM129" s="21">
        <f>EXP(-LN(2)/2)*CM128+(1-EXP(-LN(2)/2))/(LN(2)/2)*CG129*CJ129*VLOOKUP('Données projet'!$B$12,Paramètres!$A$1:$I$89,3,0)*0.475*44/12</f>
        <v>7.4412013535977962E-6</v>
      </c>
      <c r="CN129" s="22">
        <f t="shared" si="66"/>
        <v>35.239121263274214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-7.3896444519050419E-13</v>
      </c>
      <c r="CU129" s="17">
        <f>CT129*VLOOKUP('Données projet'!$B$13,Paramètres!$A$1:$I$89,3,0)*VLOOKUP('Données projet'!$B$13,Paramètres!$A$1:$I$89,5,0)</f>
        <v>-3.5544189813663252E-13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314.18760071409162</v>
      </c>
      <c r="CZ129" s="59">
        <f t="shared" si="96"/>
        <v>267.72650645201787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74.295060191861907</v>
      </c>
      <c r="DG129" s="21">
        <f>EXP(-LN(2)/25)*DG128+(1-EXP(-LN(2)/25))/(LN(2)/25)*Calculateur!DB129*Calculateur!DD129*VLOOKUP('Données projet'!$B$13,Paramètres!$A$1:$I$89,3,0)*0.475*44/12</f>
        <v>17.245409471078879</v>
      </c>
      <c r="DH129" s="21">
        <f>EXP(-LN(2)/2)*DH128+(1-EXP(-LN(2)/2))/(LN(2)/2)*DB129*DE129*VLOOKUP('Données projet'!$B$13,Paramètres!$A$1:$I$89,3,0)*0.475*44/12</f>
        <v>1.2802268854569481</v>
      </c>
      <c r="DI129" s="22">
        <f t="shared" si="69"/>
        <v>92.820696548397734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-1.7053025658242404E-13</v>
      </c>
      <c r="DP129" s="17">
        <f>DO129*VLOOKUP('Données projet'!$B$14,Paramètres!$A$1:$I$89,3,0)*VLOOKUP('Données projet'!$B$14,Paramètres!$A$1:$I$89,5,0)</f>
        <v>-1.4897523215040567E-13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324.86930206492627</v>
      </c>
      <c r="DU129" s="59">
        <f t="shared" si="98"/>
        <v>317.03005098025352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18.52809905065735</v>
      </c>
      <c r="EB129" s="21">
        <f>EXP(-LN(2)/25)*EB128+(1-EXP(-LN(2)/25))/(LN(2)/25)*Calculateur!DW129*Calculateur!DY129*VLOOKUP('Données projet'!$B$14,Paramètres!$A$1:$I$89,3,0)*0.475*44/12</f>
        <v>12.992713657214205</v>
      </c>
      <c r="EC129" s="21">
        <f>EXP(-LN(2)/2)*EC128+(1-EXP(-LN(2)/2))/(LN(2)/2)*DW129*DZ129*VLOOKUP('Données projet'!$B$14,Paramètres!$A$1:$I$89,3,0)*0.475*44/12</f>
        <v>6.8039904855888002E-6</v>
      </c>
      <c r="ED129" s="22">
        <f t="shared" si="72"/>
        <v>31.52081951186204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302.00825291248458</v>
      </c>
      <c r="T130" s="59">
        <f t="shared" si="88"/>
        <v>307.35115839449355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36.842426731009084</v>
      </c>
      <c r="AA130" s="21">
        <f>EXP(-LN(2)/25)*AA129+(1-EXP(-LN(2)/25))/(LN(2)/25)*Calculateur!V130*Calculateur!X130*VLOOKUP('Données projet'!$B$9,Paramètres!$A$1:$I$89,3,0)*0.475*44/12</f>
        <v>7.5587222661534907</v>
      </c>
      <c r="AB130" s="21">
        <f>EXP(-LN(2)/2)*AB129+(1-EXP(-LN(2)/2))/(LN(2)/2)*V130*Y130*VLOOKUP('Données projet'!$B$9,Paramètres!$A$1:$I$89,3,0)*0.475*44/12</f>
        <v>4.9359098577549098E-9</v>
      </c>
      <c r="AC130" s="22">
        <f t="shared" si="57"/>
        <v>44.401149002098485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5.0249582272954292E-14</v>
      </c>
      <c r="AK130" s="13">
        <f t="shared" si="89"/>
        <v>8.1784820119191593E-13</v>
      </c>
      <c r="AL130" s="20">
        <f t="shared" si="58"/>
        <v>1.5119369728679821E-12</v>
      </c>
      <c r="AM130" s="59">
        <f t="shared" si="59"/>
        <v>293.33333333333485</v>
      </c>
      <c r="AN130" s="59">
        <f ca="1">AVERAGE(OFFSET($AM$3,0,0,'Données projet'!$E$10+1,1))-AVERAGE(OFFSET($H$3,0,0,'Données projet'!$E$10+1,1))</f>
        <v>394.37446333077651</v>
      </c>
      <c r="AO130" s="59">
        <f t="shared" si="90"/>
        <v>335.44327961212963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81.463061000936733</v>
      </c>
      <c r="AV130" s="21">
        <f>EXP(-LN(2)/25)*AV129+(1-EXP(-LN(2)/25))/(LN(2)/25)*Calculateur!AQ130*Calculateur!AS130*VLOOKUP('Données projet'!$B$10,Paramètres!$A$1:$I$89,3,0)*0.475*44/12</f>
        <v>19.532951371348634</v>
      </c>
      <c r="AW130" s="21">
        <f>EXP(-LN(2)/2)*AW129+(1-EXP(-LN(2)/2))/(LN(2)/2)*AQ130*AT130*VLOOKUP('Données projet'!$B$10,Paramètres!$A$1:$I$89,3,0)*0.475*44/12</f>
        <v>6.6258125868764291E-6</v>
      </c>
      <c r="AX130" s="21">
        <f t="shared" si="60"/>
        <v>100.99601899809795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7.7849999999999966</v>
      </c>
      <c r="BD130" s="12">
        <f>IF('Données projet'!$A$88&gt;35,BD129+BC130-BL129,IF(A130&lt;'Données projet'!$A$88,$BA$205^A130,IF(A130='Données projet'!$A$88,'Données projet'!$B$88,BD129+BC130-BL129)))</f>
        <v>350.18000000000052</v>
      </c>
      <c r="BE130" s="13">
        <f>BD130*VLOOKUP('Données projet'!$B$11,Paramètres!$A$1:$I$89,3,0)*VLOOKUP('Données projet'!$B$11,Paramètres!$A$1:$I$89,5,0)</f>
        <v>316.84286400000047</v>
      </c>
      <c r="BF130" s="13">
        <f t="shared" si="91"/>
        <v>74.696071529813665</v>
      </c>
      <c r="BG130" s="20">
        <f t="shared" si="61"/>
        <v>681.93031271442624</v>
      </c>
      <c r="BH130" s="59">
        <f t="shared" si="62"/>
        <v>975.26364604775949</v>
      </c>
      <c r="BI130" s="59">
        <f ca="1">AVERAGE(OFFSET($BH$3,0,0,'Données projet'!$E$11+1,1))-AVERAGE(OFFSET($H$3,0,0,'Données projet'!$E$11+1,1))</f>
        <v>490.06222615476065</v>
      </c>
      <c r="BJ130" s="59">
        <f t="shared" si="92"/>
        <v>310.43914804089906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40.128903247413866</v>
      </c>
      <c r="BQ130" s="21">
        <f>EXP(-LN(2)/25)*BQ129+(1-EXP(-LN(2)/25))/(LN(2)/25)*Calculateur!BL130*Calculateur!BN130*VLOOKUP('Données projet'!$B$11,Paramètres!$A$1:$I$89,3,0)*0.475*44/12</f>
        <v>20.497265117282183</v>
      </c>
      <c r="BR130" s="21">
        <f>EXP(-LN(2)/2)*BR129+(1-EXP(-LN(2)/2))/(LN(2)/2)*BL130*BO130*VLOOKUP('Données projet'!$B$11,Paramètres!$A$1:$I$89,3,0)*0.475*44/12</f>
        <v>1.2130746649523928E-3</v>
      </c>
      <c r="BS130" s="22">
        <f t="shared" si="63"/>
        <v>60.627381439361002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353.37479213497227</v>
      </c>
      <c r="CE130" s="59">
        <f t="shared" si="94"/>
        <v>345.4750813433123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20.493372826505894</v>
      </c>
      <c r="CL130" s="21">
        <f>EXP(-LN(2)/25)*CL129+(1-EXP(-LN(2)/25))/(LN(2)/25)*Calculateur!CG130*Calculateur!CI130*VLOOKUP('Données projet'!$B$12,Paramètres!$A$1:$I$89,3,0)*0.475*44/12</f>
        <v>13.943826242659734</v>
      </c>
      <c r="CM130" s="21">
        <f>EXP(-LN(2)/2)*CM129+(1-EXP(-LN(2)/2))/(LN(2)/2)*CG130*CJ130*VLOOKUP('Données projet'!$B$12,Paramètres!$A$1:$I$89,3,0)*0.475*44/12</f>
        <v>5.2617239373035189E-6</v>
      </c>
      <c r="CN130" s="22">
        <f t="shared" si="66"/>
        <v>34.437204330889564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-7.3896444519050419E-13</v>
      </c>
      <c r="CU130" s="17">
        <f>CT130*VLOOKUP('Données projet'!$B$13,Paramètres!$A$1:$I$89,3,0)*VLOOKUP('Données projet'!$B$13,Paramètres!$A$1:$I$89,5,0)</f>
        <v>-3.5544189813663252E-13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314.18760071409162</v>
      </c>
      <c r="CZ130" s="59">
        <f t="shared" si="96"/>
        <v>267.72650645201787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72.83817937701167</v>
      </c>
      <c r="DG130" s="21">
        <f>EXP(-LN(2)/25)*DG129+(1-EXP(-LN(2)/25))/(LN(2)/25)*Calculateur!DB130*Calculateur!DD130*VLOOKUP('Données projet'!$B$13,Paramètres!$A$1:$I$89,3,0)*0.475*44/12</f>
        <v>16.77383284219556</v>
      </c>
      <c r="DH130" s="21">
        <f>EXP(-LN(2)/2)*DH129+(1-EXP(-LN(2)/2))/(LN(2)/2)*DB130*DE130*VLOOKUP('Données projet'!$B$13,Paramètres!$A$1:$I$89,3,0)*0.475*44/12</f>
        <v>0.90525711216394145</v>
      </c>
      <c r="DI130" s="22">
        <f t="shared" si="69"/>
        <v>90.517269331371168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-1.7053025658242404E-13</v>
      </c>
      <c r="DP130" s="17">
        <f>DO130*VLOOKUP('Données projet'!$B$14,Paramètres!$A$1:$I$89,3,0)*VLOOKUP('Données projet'!$B$14,Paramètres!$A$1:$I$89,5,0)</f>
        <v>-1.4897523215040567E-13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324.86930206492627</v>
      </c>
      <c r="DU130" s="59">
        <f t="shared" si="98"/>
        <v>317.03005098025352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18.164774329298496</v>
      </c>
      <c r="EB130" s="21">
        <f>EXP(-LN(2)/25)*EB129+(1-EXP(-LN(2)/25))/(LN(2)/25)*Calculateur!DW130*Calculateur!DY130*VLOOKUP('Données projet'!$B$14,Paramètres!$A$1:$I$89,3,0)*0.475*44/12</f>
        <v>12.637427219000566</v>
      </c>
      <c r="EC130" s="21">
        <f>EXP(-LN(2)/2)*EC129+(1-EXP(-LN(2)/2))/(LN(2)/2)*DW130*DZ130*VLOOKUP('Données projet'!$B$14,Paramètres!$A$1:$I$89,3,0)*0.475*44/12</f>
        <v>4.8111478114885909E-6</v>
      </c>
      <c r="ED130" s="22">
        <f t="shared" si="72"/>
        <v>30.80220635944687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302.00825291248458</v>
      </c>
      <c r="T131" s="59">
        <f t="shared" si="88"/>
        <v>307.35115839449355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36.119969214475411</v>
      </c>
      <c r="AA131" s="21">
        <f>EXP(-LN(2)/25)*AA130+(1-EXP(-LN(2)/25))/(LN(2)/25)*Calculateur!V131*Calculateur!X131*VLOOKUP('Données projet'!$B$9,Paramètres!$A$1:$I$89,3,0)*0.475*44/12</f>
        <v>7.3520286082895954</v>
      </c>
      <c r="AB131" s="21">
        <f>EXP(-LN(2)/2)*AB130+(1-EXP(-LN(2)/2))/(LN(2)/2)*V131*Y131*VLOOKUP('Données projet'!$B$9,Paramètres!$A$1:$I$89,3,0)*0.475*44/12</f>
        <v>3.4902153317440239E-9</v>
      </c>
      <c r="AC131" s="22">
        <f t="shared" si="57"/>
        <v>43.471997826255219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5.0249582272954292E-14</v>
      </c>
      <c r="AK131" s="13">
        <f t="shared" si="89"/>
        <v>8.1784820119191593E-13</v>
      </c>
      <c r="AL131" s="20">
        <f t="shared" si="58"/>
        <v>1.5119369728679821E-12</v>
      </c>
      <c r="AM131" s="59">
        <f t="shared" si="59"/>
        <v>293.33333333333485</v>
      </c>
      <c r="AN131" s="59">
        <f ca="1">AVERAGE(OFFSET($AM$3,0,0,'Données projet'!$E$10+1,1))-AVERAGE(OFFSET($H$3,0,0,'Données projet'!$E$10+1,1))</f>
        <v>394.37446333077651</v>
      </c>
      <c r="AO131" s="59">
        <f t="shared" si="90"/>
        <v>335.44327961212963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79.865620062269329</v>
      </c>
      <c r="AV131" s="21">
        <f>EXP(-LN(2)/25)*AV130+(1-EXP(-LN(2)/25))/(LN(2)/25)*Calculateur!AQ131*Calculateur!AS131*VLOOKUP('Données projet'!$B$10,Paramètres!$A$1:$I$89,3,0)*0.475*44/12</f>
        <v>18.998821788905836</v>
      </c>
      <c r="AW131" s="21">
        <f>EXP(-LN(2)/2)*AW130+(1-EXP(-LN(2)/2))/(LN(2)/2)*AQ131*AT131*VLOOKUP('Données projet'!$B$10,Paramètres!$A$1:$I$89,3,0)*0.475*44/12</f>
        <v>4.6851570110515035E-6</v>
      </c>
      <c r="AX131" s="21">
        <f t="shared" si="60"/>
        <v>98.864446536332181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7.7849999999999966</v>
      </c>
      <c r="BD131" s="12">
        <f>IF('Données projet'!$A$88&gt;35,BD130+BC131-BL130,IF(A131&lt;'Données projet'!$A$88,$BA$205^A131,IF(A131='Données projet'!$A$88,'Données projet'!$B$88,BD130+BC131-BL130)))</f>
        <v>357.96500000000049</v>
      </c>
      <c r="BE131" s="13">
        <f>BD131*VLOOKUP('Données projet'!$B$11,Paramètres!$A$1:$I$89,3,0)*VLOOKUP('Données projet'!$B$11,Paramètres!$A$1:$I$89,5,0)</f>
        <v>323.88673200000045</v>
      </c>
      <c r="BF131" s="13">
        <f t="shared" si="91"/>
        <v>76.161494734560648</v>
      </c>
      <c r="BG131" s="20">
        <f t="shared" si="61"/>
        <v>696.75066156269395</v>
      </c>
      <c r="BH131" s="59">
        <f t="shared" si="62"/>
        <v>990.08399489602721</v>
      </c>
      <c r="BI131" s="59">
        <f ca="1">AVERAGE(OFFSET($BH$3,0,0,'Données projet'!$E$11+1,1))-AVERAGE(OFFSET($H$3,0,0,'Données projet'!$E$11+1,1))</f>
        <v>490.06222615476065</v>
      </c>
      <c r="BJ131" s="59">
        <f t="shared" si="92"/>
        <v>310.43914804089906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39.341999930946237</v>
      </c>
      <c r="BQ131" s="21">
        <f>EXP(-LN(2)/25)*BQ130+(1-EXP(-LN(2)/25))/(LN(2)/25)*Calculateur!BL131*Calculateur!BN131*VLOOKUP('Données projet'!$B$11,Paramètres!$A$1:$I$89,3,0)*0.475*44/12</f>
        <v>19.936766324745776</v>
      </c>
      <c r="BR131" s="21">
        <f>EXP(-LN(2)/2)*BR130+(1-EXP(-LN(2)/2))/(LN(2)/2)*BL131*BO131*VLOOKUP('Données projet'!$B$11,Paramètres!$A$1:$I$89,3,0)*0.475*44/12</f>
        <v>8.5777332167343609E-4</v>
      </c>
      <c r="BS131" s="22">
        <f t="shared" si="63"/>
        <v>59.279624029013689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353.37479213497227</v>
      </c>
      <c r="CE131" s="59">
        <f t="shared" si="94"/>
        <v>345.4750813433123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20.091510285101293</v>
      </c>
      <c r="CL131" s="21">
        <f>EXP(-LN(2)/25)*CL130+(1-EXP(-LN(2)/25))/(LN(2)/25)*Calculateur!CG131*Calculateur!CI131*VLOOKUP('Données projet'!$B$12,Paramètres!$A$1:$I$89,3,0)*0.475*44/12</f>
        <v>13.56253158078025</v>
      </c>
      <c r="CM131" s="21">
        <f>EXP(-LN(2)/2)*CM130+(1-EXP(-LN(2)/2))/(LN(2)/2)*CG131*CJ131*VLOOKUP('Données projet'!$B$12,Paramètres!$A$1:$I$89,3,0)*0.475*44/12</f>
        <v>3.7206006767988989E-6</v>
      </c>
      <c r="CN131" s="22">
        <f t="shared" si="66"/>
        <v>33.654045586482219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-7.3896444519050419E-13</v>
      </c>
      <c r="CU131" s="17">
        <f>CT131*VLOOKUP('Données projet'!$B$13,Paramètres!$A$1:$I$89,3,0)*VLOOKUP('Données projet'!$B$13,Paramètres!$A$1:$I$89,5,0)</f>
        <v>-3.5544189813663252E-13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314.18760071409162</v>
      </c>
      <c r="CZ131" s="59">
        <f t="shared" si="96"/>
        <v>267.72650645201787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71.409867106331106</v>
      </c>
      <c r="DG131" s="21">
        <f>EXP(-LN(2)/25)*DG130+(1-EXP(-LN(2)/25))/(LN(2)/25)*Calculateur!DB131*Calculateur!DD131*VLOOKUP('Données projet'!$B$13,Paramètres!$A$1:$I$89,3,0)*0.475*44/12</f>
        <v>16.31515150102819</v>
      </c>
      <c r="DH131" s="21">
        <f>EXP(-LN(2)/2)*DH130+(1-EXP(-LN(2)/2))/(LN(2)/2)*DB131*DE131*VLOOKUP('Données projet'!$B$13,Paramètres!$A$1:$I$89,3,0)*0.475*44/12</f>
        <v>0.64011344272847415</v>
      </c>
      <c r="DI131" s="22">
        <f t="shared" si="69"/>
        <v>88.365132050087766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-1.7053025658242404E-13</v>
      </c>
      <c r="DP131" s="17">
        <f>DO131*VLOOKUP('Données projet'!$B$14,Paramètres!$A$1:$I$89,3,0)*VLOOKUP('Données projet'!$B$14,Paramètres!$A$1:$I$89,5,0)</f>
        <v>-1.4897523215040567E-13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324.86930206492627</v>
      </c>
      <c r="DU131" s="59">
        <f t="shared" si="98"/>
        <v>317.03005098025352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17.808574184119291</v>
      </c>
      <c r="EB131" s="21">
        <f>EXP(-LN(2)/25)*EB130+(1-EXP(-LN(2)/25))/(LN(2)/25)*Calculateur!DW131*Calculateur!DY131*VLOOKUP('Données projet'!$B$14,Paramètres!$A$1:$I$89,3,0)*0.475*44/12</f>
        <v>12.29185610712358</v>
      </c>
      <c r="EC131" s="21">
        <f>EXP(-LN(2)/2)*EC130+(1-EXP(-LN(2)/2))/(LN(2)/2)*DW131*DZ131*VLOOKUP('Données projet'!$B$14,Paramètres!$A$1:$I$89,3,0)*0.475*44/12</f>
        <v>3.4019952427944001E-6</v>
      </c>
      <c r="ED131" s="22">
        <f t="shared" si="72"/>
        <v>30.100433693238116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302.00825291248458</v>
      </c>
      <c r="T132" s="59">
        <f t="shared" si="88"/>
        <v>307.35115839449355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35.41167864918539</v>
      </c>
      <c r="AA132" s="21">
        <f>EXP(-LN(2)/25)*AA131+(1-EXP(-LN(2)/25))/(LN(2)/25)*Calculateur!V132*Calculateur!X132*VLOOKUP('Données projet'!$B$9,Paramètres!$A$1:$I$89,3,0)*0.475*44/12</f>
        <v>7.1509869993695352</v>
      </c>
      <c r="AB132" s="21">
        <f>EXP(-LN(2)/2)*AB131+(1-EXP(-LN(2)/2))/(LN(2)/2)*V132*Y132*VLOOKUP('Données projet'!$B$9,Paramètres!$A$1:$I$89,3,0)*0.475*44/12</f>
        <v>2.4679549288774549E-9</v>
      </c>
      <c r="AC132" s="22">
        <f t="shared" ref="AC132:AC153" si="111">SUM(Z132:AB132)</f>
        <v>42.562665651022883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5.0249582272954292E-14</v>
      </c>
      <c r="AK132" s="13">
        <f t="shared" si="89"/>
        <v>8.1784820119191593E-13</v>
      </c>
      <c r="AL132" s="20">
        <f t="shared" ref="AL132:AL153" si="112">(AJ132+AK132)*0.475*44/12</f>
        <v>1.5119369728679821E-12</v>
      </c>
      <c r="AM132" s="59">
        <f t="shared" ref="AM132:AM195" si="113">AL132+(AD132+AE132)*44/12</f>
        <v>293.33333333333485</v>
      </c>
      <c r="AN132" s="59">
        <f ca="1">AVERAGE(OFFSET($AM$3,0,0,'Données projet'!$E$10+1,1))-AVERAGE(OFFSET($H$3,0,0,'Données projet'!$E$10+1,1))</f>
        <v>394.37446333077651</v>
      </c>
      <c r="AO132" s="59">
        <f t="shared" si="90"/>
        <v>335.44327961212963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78.299503966066439</v>
      </c>
      <c r="AV132" s="21">
        <f>EXP(-LN(2)/25)*AV131+(1-EXP(-LN(2)/25))/(LN(2)/25)*Calculateur!AQ132*Calculateur!AS132*VLOOKUP('Données projet'!$B$10,Paramètres!$A$1:$I$89,3,0)*0.475*44/12</f>
        <v>18.479298007983591</v>
      </c>
      <c r="AW132" s="21">
        <f>EXP(-LN(2)/2)*AW131+(1-EXP(-LN(2)/2))/(LN(2)/2)*AQ132*AT132*VLOOKUP('Données projet'!$B$10,Paramètres!$A$1:$I$89,3,0)*0.475*44/12</f>
        <v>3.3129062934382145E-6</v>
      </c>
      <c r="AX132" s="21">
        <f t="shared" ref="AX132:AX153" si="114">SUM(AU132:AW132)</f>
        <v>96.778805286956313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7.7849999999999966</v>
      </c>
      <c r="BD132" s="12">
        <f>IF('Données projet'!$A$88&gt;35,BD131+BC132-BL131,IF(A132&lt;'Données projet'!$A$88,$BA$205^A132,IF(A132='Données projet'!$A$88,'Données projet'!$B$88,BD131+BC132-BL131)))</f>
        <v>365.75000000000045</v>
      </c>
      <c r="BE132" s="13">
        <f>BD132*VLOOKUP('Données projet'!$B$11,Paramètres!$A$1:$I$89,3,0)*VLOOKUP('Données projet'!$B$11,Paramètres!$A$1:$I$89,5,0)</f>
        <v>330.93060000000037</v>
      </c>
      <c r="BF132" s="13">
        <f t="shared" si="91"/>
        <v>77.623212662146571</v>
      </c>
      <c r="BG132" s="20">
        <f t="shared" ref="BG132:BG153" si="115">(BE132+BF132)*0.475*44/12</f>
        <v>711.56455705323924</v>
      </c>
      <c r="BH132" s="59">
        <f t="shared" ref="BH132:BH195" si="116">BG132+(AY132+AZ132)*44/12</f>
        <v>1004.8978903865725</v>
      </c>
      <c r="BI132" s="59">
        <f ca="1">AVERAGE(OFFSET($BH$3,0,0,'Données projet'!$E$11+1,1))-AVERAGE(OFFSET($H$3,0,0,'Données projet'!$E$11+1,1))</f>
        <v>490.06222615476065</v>
      </c>
      <c r="BJ132" s="59">
        <f t="shared" si="92"/>
        <v>310.43914804089906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38.570527308550908</v>
      </c>
      <c r="BQ132" s="21">
        <f>EXP(-LN(2)/25)*BQ131+(1-EXP(-LN(2)/25))/(LN(2)/25)*Calculateur!BL132*Calculateur!BN132*VLOOKUP('Données projet'!$B$11,Paramètres!$A$1:$I$89,3,0)*0.475*44/12</f>
        <v>19.391594401166628</v>
      </c>
      <c r="BR132" s="21">
        <f>EXP(-LN(2)/2)*BR131+(1-EXP(-LN(2)/2))/(LN(2)/2)*BL132*BO132*VLOOKUP('Données projet'!$B$11,Paramètres!$A$1:$I$89,3,0)*0.475*44/12</f>
        <v>6.0653733247619641E-4</v>
      </c>
      <c r="BS132" s="22">
        <f t="shared" ref="BS132:BS153" si="117">SUM(BP132:BR132)</f>
        <v>57.962728247050009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353.37479213497227</v>
      </c>
      <c r="CE132" s="59">
        <f t="shared" si="94"/>
        <v>345.4750813433123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19.69752802302169</v>
      </c>
      <c r="CL132" s="21">
        <f>EXP(-LN(2)/25)*CL131+(1-EXP(-LN(2)/25))/(LN(2)/25)*Calculateur!CG132*Calculateur!CI132*VLOOKUP('Données projet'!$B$12,Paramètres!$A$1:$I$89,3,0)*0.475*44/12</f>
        <v>13.191663441481277</v>
      </c>
      <c r="CM132" s="21">
        <f>EXP(-LN(2)/2)*CM131+(1-EXP(-LN(2)/2))/(LN(2)/2)*CG132*CJ132*VLOOKUP('Données projet'!$B$12,Paramètres!$A$1:$I$89,3,0)*0.475*44/12</f>
        <v>2.6308619686517599E-6</v>
      </c>
      <c r="CN132" s="22">
        <f t="shared" ref="CN132:CN153" si="120">SUM(CK132:CM132)</f>
        <v>32.889194095364935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-7.3896444519050419E-13</v>
      </c>
      <c r="CU132" s="17">
        <f>CT132*VLOOKUP('Données projet'!$B$13,Paramètres!$A$1:$I$89,3,0)*VLOOKUP('Données projet'!$B$13,Paramètres!$A$1:$I$89,5,0)</f>
        <v>-3.5544189813663252E-13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314.18760071409162</v>
      </c>
      <c r="CZ132" s="59">
        <f t="shared" si="96"/>
        <v>267.72650645201787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70.009563168094118</v>
      </c>
      <c r="DG132" s="21">
        <f>EXP(-LN(2)/25)*DG131+(1-EXP(-LN(2)/25))/(LN(2)/25)*Calculateur!DB132*Calculateur!DD132*VLOOKUP('Données projet'!$B$13,Paramètres!$A$1:$I$89,3,0)*0.475*44/12</f>
        <v>15.869012825256045</v>
      </c>
      <c r="DH132" s="21">
        <f>EXP(-LN(2)/2)*DH131+(1-EXP(-LN(2)/2))/(LN(2)/2)*DB132*DE132*VLOOKUP('Données projet'!$B$13,Paramètres!$A$1:$I$89,3,0)*0.475*44/12</f>
        <v>0.45262855608197083</v>
      </c>
      <c r="DI132" s="22">
        <f t="shared" ref="DI132:DI153" si="123">SUM(DF132:DH132)</f>
        <v>86.331204549432144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-1.7053025658242404E-13</v>
      </c>
      <c r="DP132" s="17">
        <f>DO132*VLOOKUP('Données projet'!$B$14,Paramètres!$A$1:$I$89,3,0)*VLOOKUP('Données projet'!$B$14,Paramètres!$A$1:$I$89,5,0)</f>
        <v>-1.4897523215040567E-13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324.86930206492627</v>
      </c>
      <c r="DU132" s="59">
        <f t="shared" si="98"/>
        <v>317.03005098025352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17.459358906526415</v>
      </c>
      <c r="EB132" s="21">
        <f>EXP(-LN(2)/25)*EB131+(1-EXP(-LN(2)/25))/(LN(2)/25)*Calculateur!DW132*Calculateur!DY132*VLOOKUP('Données projet'!$B$14,Paramètres!$A$1:$I$89,3,0)*0.475*44/12</f>
        <v>11.955734655473666</v>
      </c>
      <c r="EC132" s="21">
        <f>EXP(-LN(2)/2)*EC131+(1-EXP(-LN(2)/2))/(LN(2)/2)*DW132*DZ132*VLOOKUP('Données projet'!$B$14,Paramètres!$A$1:$I$89,3,0)*0.475*44/12</f>
        <v>2.4055739057442955E-6</v>
      </c>
      <c r="ED132" s="22">
        <f t="shared" ref="ED132:ED153" si="126">SUM(EA132:EC132)</f>
        <v>29.415095967573986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302.00825291248458</v>
      </c>
      <c r="T133" s="59">
        <f t="shared" ref="T133:T196" si="142">$T$3</f>
        <v>307.35115839449355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34.71727722986612</v>
      </c>
      <c r="AA133" s="21">
        <f>EXP(-LN(2)/25)*AA132+(1-EXP(-LN(2)/25))/(LN(2)/25)*Calculateur!V133*Calculateur!X133*VLOOKUP('Données projet'!$B$9,Paramètres!$A$1:$I$89,3,0)*0.475*44/12</f>
        <v>6.9554428838177129</v>
      </c>
      <c r="AB133" s="21">
        <f>EXP(-LN(2)/2)*AB132+(1-EXP(-LN(2)/2))/(LN(2)/2)*V133*Y133*VLOOKUP('Données projet'!$B$9,Paramètres!$A$1:$I$89,3,0)*0.475*44/12</f>
        <v>1.745107665872012E-9</v>
      </c>
      <c r="AC133" s="22">
        <f t="shared" si="111"/>
        <v>41.672720115428938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5.0249582272954292E-14</v>
      </c>
      <c r="AK133" s="13">
        <f t="shared" ref="AK133:AK153" si="143">EXP(-1.0587+0.8836*LN(AJ133)+0.284)</f>
        <v>8.1784820119191593E-13</v>
      </c>
      <c r="AL133" s="20">
        <f t="shared" si="112"/>
        <v>1.5119369728679821E-12</v>
      </c>
      <c r="AM133" s="59">
        <f t="shared" si="113"/>
        <v>293.33333333333485</v>
      </c>
      <c r="AN133" s="59">
        <f ca="1">AVERAGE(OFFSET($AM$3,0,0,'Données projet'!$E$10+1,1))-AVERAGE(OFFSET($H$3,0,0,'Données projet'!$E$10+1,1))</f>
        <v>394.37446333077651</v>
      </c>
      <c r="AO133" s="59">
        <f t="shared" ref="AO133:AO196" si="144">$AO$3</f>
        <v>335.44327961212963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76.764098451273583</v>
      </c>
      <c r="AV133" s="21">
        <f>EXP(-LN(2)/25)*AV132+(1-EXP(-LN(2)/25))/(LN(2)/25)*Calculateur!AQ133*Calculateur!AS133*VLOOKUP('Données projet'!$B$10,Paramètres!$A$1:$I$89,3,0)*0.475*44/12</f>
        <v>17.973980632171234</v>
      </c>
      <c r="AW133" s="21">
        <f>EXP(-LN(2)/2)*AW132+(1-EXP(-LN(2)/2))/(LN(2)/2)*AQ133*AT133*VLOOKUP('Données projet'!$B$10,Paramètres!$A$1:$I$89,3,0)*0.475*44/12</f>
        <v>2.3425785055257517E-6</v>
      </c>
      <c r="AX133" s="21">
        <f t="shared" si="114"/>
        <v>94.738081426023328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7.7849999999999966</v>
      </c>
      <c r="BD133" s="12">
        <f>IF('Données projet'!$A$88&gt;35,BD132+BC133-BL132,IF(A133&lt;'Données projet'!$A$88,$BA$205^A133,IF(A133='Données projet'!$A$88,'Données projet'!$B$88,BD132+BC133-BL132)))</f>
        <v>373.53500000000042</v>
      </c>
      <c r="BE133" s="13">
        <f>BD133*VLOOKUP('Données projet'!$B$11,Paramètres!$A$1:$I$89,3,0)*VLOOKUP('Données projet'!$B$11,Paramètres!$A$1:$I$89,5,0)</f>
        <v>337.9744680000004</v>
      </c>
      <c r="BF133" s="13">
        <f t="shared" ref="BF133:BF153" si="145">EXP(-1.0587+0.8836*LN(BE133)+0.284)</f>
        <v>79.081313264051104</v>
      </c>
      <c r="BG133" s="20">
        <f t="shared" si="115"/>
        <v>726.37215236822306</v>
      </c>
      <c r="BH133" s="59">
        <f t="shared" si="116"/>
        <v>1019.7054857015564</v>
      </c>
      <c r="BI133" s="59">
        <f ca="1">AVERAGE(OFFSET($BH$3,0,0,'Données projet'!$E$11+1,1))-AVERAGE(OFFSET($H$3,0,0,'Données projet'!$E$11+1,1))</f>
        <v>490.06222615476065</v>
      </c>
      <c r="BJ133" s="59">
        <f t="shared" ref="BJ133:BJ196" si="146">$BJ$3</f>
        <v>310.43914804089906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37.814182793728911</v>
      </c>
      <c r="BQ133" s="21">
        <f>EXP(-LN(2)/25)*BQ132+(1-EXP(-LN(2)/25))/(LN(2)/25)*Calculateur!BL133*Calculateur!BN133*VLOOKUP('Données projet'!$B$11,Paramètres!$A$1:$I$89,3,0)*0.475*44/12</f>
        <v>18.861330232507097</v>
      </c>
      <c r="BR133" s="21">
        <f>EXP(-LN(2)/2)*BR132+(1-EXP(-LN(2)/2))/(LN(2)/2)*BL133*BO133*VLOOKUP('Données projet'!$B$11,Paramètres!$A$1:$I$89,3,0)*0.475*44/12</f>
        <v>4.2888666083671804E-4</v>
      </c>
      <c r="BS133" s="22">
        <f t="shared" si="117"/>
        <v>56.675941912896839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353.37479213497227</v>
      </c>
      <c r="CE133" s="59">
        <f t="shared" ref="CE133:CE196" si="148">$CE$3</f>
        <v>345.4750813433123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19.311271512796015</v>
      </c>
      <c r="CL133" s="21">
        <f>EXP(-LN(2)/25)*CL132+(1-EXP(-LN(2)/25))/(LN(2)/25)*Calculateur!CG133*Calculateur!CI133*VLOOKUP('Données projet'!$B$12,Paramètres!$A$1:$I$89,3,0)*0.475*44/12</f>
        <v>12.830936710954541</v>
      </c>
      <c r="CM133" s="21">
        <f>EXP(-LN(2)/2)*CM132+(1-EXP(-LN(2)/2))/(LN(2)/2)*CG133*CJ133*VLOOKUP('Données projet'!$B$12,Paramètres!$A$1:$I$89,3,0)*0.475*44/12</f>
        <v>1.8603003383994497E-6</v>
      </c>
      <c r="CN133" s="22">
        <f t="shared" si="120"/>
        <v>32.142210084050895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-7.3896444519050419E-13</v>
      </c>
      <c r="CU133" s="17">
        <f>CT133*VLOOKUP('Données projet'!$B$13,Paramètres!$A$1:$I$89,3,0)*VLOOKUP('Données projet'!$B$13,Paramètres!$A$1:$I$89,5,0)</f>
        <v>-3.5544189813663252E-13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314.18760071409162</v>
      </c>
      <c r="CZ133" s="59">
        <f t="shared" ref="CZ133:CZ196" si="150">$CZ$3</f>
        <v>267.72650645201787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68.636718335984895</v>
      </c>
      <c r="DG133" s="21">
        <f>EXP(-LN(2)/25)*DG132+(1-EXP(-LN(2)/25))/(LN(2)/25)*Calculateur!DB133*Calculateur!DD133*VLOOKUP('Données projet'!$B$13,Paramètres!$A$1:$I$89,3,0)*0.475*44/12</f>
        <v>15.435073835034302</v>
      </c>
      <c r="DH133" s="21">
        <f>EXP(-LN(2)/2)*DH132+(1-EXP(-LN(2)/2))/(LN(2)/2)*DB133*DE133*VLOOKUP('Données projet'!$B$13,Paramètres!$A$1:$I$89,3,0)*0.475*44/12</f>
        <v>0.32005672136423713</v>
      </c>
      <c r="DI133" s="22">
        <f t="shared" si="123"/>
        <v>84.391848892383436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-1.7053025658242404E-13</v>
      </c>
      <c r="DP133" s="17">
        <f>DO133*VLOOKUP('Données projet'!$B$14,Paramètres!$A$1:$I$89,3,0)*VLOOKUP('Données projet'!$B$14,Paramètres!$A$1:$I$89,5,0)</f>
        <v>-1.4897523215040567E-13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324.86930206492627</v>
      </c>
      <c r="DU133" s="59">
        <f t="shared" ref="DU133:DU196" si="152">$DU$3</f>
        <v>317.03005098025352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17.116991527526849</v>
      </c>
      <c r="EB133" s="21">
        <f>EXP(-LN(2)/25)*EB132+(1-EXP(-LN(2)/25))/(LN(2)/25)*Calculateur!DW133*Calculateur!DY133*VLOOKUP('Données projet'!$B$14,Paramètres!$A$1:$I$89,3,0)*0.475*44/12</f>
        <v>11.628804462594978</v>
      </c>
      <c r="EC133" s="21">
        <f>EXP(-LN(2)/2)*EC132+(1-EXP(-LN(2)/2))/(LN(2)/2)*DW133*DZ133*VLOOKUP('Données projet'!$B$14,Paramètres!$A$1:$I$89,3,0)*0.475*44/12</f>
        <v>1.7009976213972001E-6</v>
      </c>
      <c r="ED133" s="22">
        <f t="shared" si="126"/>
        <v>28.745797691119449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302.00825291248458</v>
      </c>
      <c r="T134" s="59">
        <f t="shared" si="142"/>
        <v>307.35115839449355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34.036492598836652</v>
      </c>
      <c r="AA134" s="21">
        <f>EXP(-LN(2)/25)*AA133+(1-EXP(-LN(2)/25))/(LN(2)/25)*Calculateur!V134*Calculateur!X134*VLOOKUP('Données projet'!$B$9,Paramètres!$A$1:$I$89,3,0)*0.475*44/12</f>
        <v>6.765245932388873</v>
      </c>
      <c r="AB134" s="21">
        <f>EXP(-LN(2)/2)*AB133+(1-EXP(-LN(2)/2))/(LN(2)/2)*V134*Y134*VLOOKUP('Données projet'!$B$9,Paramètres!$A$1:$I$89,3,0)*0.475*44/12</f>
        <v>1.2339774644387274E-9</v>
      </c>
      <c r="AC134" s="22">
        <f t="shared" si="111"/>
        <v>40.801738532459503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5.0249582272954292E-14</v>
      </c>
      <c r="AK134" s="13">
        <f t="shared" si="143"/>
        <v>8.1784820119191593E-13</v>
      </c>
      <c r="AL134" s="20">
        <f t="shared" si="112"/>
        <v>1.5119369728679821E-12</v>
      </c>
      <c r="AM134" s="59">
        <f t="shared" si="113"/>
        <v>293.33333333333485</v>
      </c>
      <c r="AN134" s="59">
        <f ca="1">AVERAGE(OFFSET($AM$3,0,0,'Données projet'!$E$10+1,1))-AVERAGE(OFFSET($H$3,0,0,'Données projet'!$E$10+1,1))</f>
        <v>394.37446333077651</v>
      </c>
      <c r="AO134" s="59">
        <f t="shared" si="144"/>
        <v>335.44327961212963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75.258801302120929</v>
      </c>
      <c r="AV134" s="21">
        <f>EXP(-LN(2)/25)*AV133+(1-EXP(-LN(2)/25))/(LN(2)/25)*Calculateur!AQ134*Calculateur!AS134*VLOOKUP('Données projet'!$B$10,Paramètres!$A$1:$I$89,3,0)*0.475*44/12</f>
        <v>17.482481186573949</v>
      </c>
      <c r="AW134" s="21">
        <f>EXP(-LN(2)/2)*AW133+(1-EXP(-LN(2)/2))/(LN(2)/2)*AQ134*AT134*VLOOKUP('Données projet'!$B$10,Paramètres!$A$1:$I$89,3,0)*0.475*44/12</f>
        <v>1.6564531467191073E-6</v>
      </c>
      <c r="AX134" s="21">
        <f t="shared" si="114"/>
        <v>92.741284145148029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7.7849999999999966</v>
      </c>
      <c r="BD134" s="12">
        <f>IF('Données projet'!$A$88&gt;35,BD133+BC134-BL133,IF(A134&lt;'Données projet'!$A$88,$BA$205^A134,IF(A134='Données projet'!$A$88,'Données projet'!$B$88,BD133+BC134-BL133)))</f>
        <v>381.32000000000039</v>
      </c>
      <c r="BE134" s="13">
        <f>BD134*VLOOKUP('Données projet'!$B$11,Paramètres!$A$1:$I$89,3,0)*VLOOKUP('Données projet'!$B$11,Paramètres!$A$1:$I$89,5,0)</f>
        <v>345.01833600000032</v>
      </c>
      <c r="BF134" s="13">
        <f t="shared" si="145"/>
        <v>80.535880616180918</v>
      </c>
      <c r="BG134" s="20">
        <f t="shared" si="115"/>
        <v>741.17359393984896</v>
      </c>
      <c r="BH134" s="59">
        <f t="shared" si="116"/>
        <v>1034.5069272731823</v>
      </c>
      <c r="BI134" s="59">
        <f ca="1">AVERAGE(OFFSET($BH$3,0,0,'Données projet'!$E$11+1,1))-AVERAGE(OFFSET($H$3,0,0,'Données projet'!$E$11+1,1))</f>
        <v>490.06222615476065</v>
      </c>
      <c r="BJ134" s="59">
        <f t="shared" si="146"/>
        <v>310.43914804089906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37.072669733517976</v>
      </c>
      <c r="BQ134" s="21">
        <f>EXP(-LN(2)/25)*BQ133+(1-EXP(-LN(2)/25))/(LN(2)/25)*Calculateur!BL134*Calculateur!BN134*VLOOKUP('Données projet'!$B$11,Paramètres!$A$1:$I$89,3,0)*0.475*44/12</f>
        <v>18.345566165424941</v>
      </c>
      <c r="BR134" s="21">
        <f>EXP(-LN(2)/2)*BR133+(1-EXP(-LN(2)/2))/(LN(2)/2)*BL134*BO134*VLOOKUP('Données projet'!$B$11,Paramètres!$A$1:$I$89,3,0)*0.475*44/12</f>
        <v>3.032686662380982E-4</v>
      </c>
      <c r="BS134" s="22">
        <f t="shared" si="117"/>
        <v>55.418539167609154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353.37479213497227</v>
      </c>
      <c r="CE134" s="59">
        <f t="shared" si="148"/>
        <v>345.4750813433123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18.932589257142656</v>
      </c>
      <c r="CL134" s="21">
        <f>EXP(-LN(2)/25)*CL133+(1-EXP(-LN(2)/25))/(LN(2)/25)*Calculateur!CG134*Calculateur!CI134*VLOOKUP('Données projet'!$B$12,Paramètres!$A$1:$I$89,3,0)*0.475*44/12</f>
        <v>12.480074071843854</v>
      </c>
      <c r="CM134" s="21">
        <f>EXP(-LN(2)/2)*CM133+(1-EXP(-LN(2)/2))/(LN(2)/2)*CG134*CJ134*VLOOKUP('Données projet'!$B$12,Paramètres!$A$1:$I$89,3,0)*0.475*44/12</f>
        <v>1.3154309843258801E-6</v>
      </c>
      <c r="CN134" s="22">
        <f t="shared" si="120"/>
        <v>31.412664644417497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-7.3896444519050419E-13</v>
      </c>
      <c r="CU134" s="17">
        <f>CT134*VLOOKUP('Données projet'!$B$13,Paramètres!$A$1:$I$89,3,0)*VLOOKUP('Données projet'!$B$13,Paramètres!$A$1:$I$89,5,0)</f>
        <v>-3.5544189813663252E-13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314.18760071409162</v>
      </c>
      <c r="CZ134" s="59">
        <f t="shared" si="150"/>
        <v>267.72650645201787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67.290794153680665</v>
      </c>
      <c r="DG134" s="21">
        <f>EXP(-LN(2)/25)*DG133+(1-EXP(-LN(2)/25))/(LN(2)/25)*Calculateur!DB134*Calculateur!DD134*VLOOKUP('Données projet'!$B$13,Paramètres!$A$1:$I$89,3,0)*0.475*44/12</f>
        <v>15.013000929320034</v>
      </c>
      <c r="DH134" s="21">
        <f>EXP(-LN(2)/2)*DH133+(1-EXP(-LN(2)/2))/(LN(2)/2)*DB134*DE134*VLOOKUP('Données projet'!$B$13,Paramètres!$A$1:$I$89,3,0)*0.475*44/12</f>
        <v>0.22631427804098544</v>
      </c>
      <c r="DI134" s="22">
        <f t="shared" si="123"/>
        <v>82.530109361041681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-1.7053025658242404E-13</v>
      </c>
      <c r="DP134" s="17">
        <f>DO134*VLOOKUP('Données projet'!$B$14,Paramètres!$A$1:$I$89,3,0)*VLOOKUP('Données projet'!$B$14,Paramètres!$A$1:$I$89,5,0)</f>
        <v>-1.4897523215040567E-13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324.86930206492627</v>
      </c>
      <c r="DU134" s="59">
        <f t="shared" si="152"/>
        <v>317.03005098025352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16.781337764005983</v>
      </c>
      <c r="EB134" s="21">
        <f>EXP(-LN(2)/25)*EB133+(1-EXP(-LN(2)/25))/(LN(2)/25)*Calculateur!DW134*Calculateur!DY134*VLOOKUP('Données projet'!$B$14,Paramètres!$A$1:$I$89,3,0)*0.475*44/12</f>
        <v>11.310814193033069</v>
      </c>
      <c r="EC134" s="21">
        <f>EXP(-LN(2)/2)*EC133+(1-EXP(-LN(2)/2))/(LN(2)/2)*DW134*DZ134*VLOOKUP('Données projet'!$B$14,Paramètres!$A$1:$I$89,3,0)*0.475*44/12</f>
        <v>1.2027869528721477E-6</v>
      </c>
      <c r="ED134" s="22">
        <f t="shared" si="126"/>
        <v>28.092153159826005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302.00825291248458</v>
      </c>
      <c r="T135" s="59">
        <f t="shared" si="142"/>
        <v>307.35115839449355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33.369057739184051</v>
      </c>
      <c r="AA135" s="21">
        <f>EXP(-LN(2)/25)*AA134+(1-EXP(-LN(2)/25))/(LN(2)/25)*Calculateur!V135*Calculateur!X135*VLOOKUP('Données projet'!$B$9,Paramètres!$A$1:$I$89,3,0)*0.475*44/12</f>
        <v>6.5802499265988779</v>
      </c>
      <c r="AB135" s="21">
        <f>EXP(-LN(2)/2)*AB134+(1-EXP(-LN(2)/2))/(LN(2)/2)*V135*Y135*VLOOKUP('Données projet'!$B$9,Paramètres!$A$1:$I$89,3,0)*0.475*44/12</f>
        <v>8.7255383293600598E-10</v>
      </c>
      <c r="AC135" s="22">
        <f t="shared" si="111"/>
        <v>39.949307666655478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5.0249582272954292E-14</v>
      </c>
      <c r="AK135" s="13">
        <f t="shared" si="143"/>
        <v>8.1784820119191593E-13</v>
      </c>
      <c r="AL135" s="20">
        <f t="shared" si="112"/>
        <v>1.5119369728679821E-12</v>
      </c>
      <c r="AM135" s="59">
        <f t="shared" si="113"/>
        <v>293.33333333333485</v>
      </c>
      <c r="AN135" s="59">
        <f ca="1">AVERAGE(OFFSET($AM$3,0,0,'Données projet'!$E$10+1,1))-AVERAGE(OFFSET($H$3,0,0,'Données projet'!$E$10+1,1))</f>
        <v>394.37446333077651</v>
      </c>
      <c r="AO135" s="59">
        <f t="shared" si="144"/>
        <v>335.44327961212963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73.783022111922548</v>
      </c>
      <c r="AV135" s="21">
        <f>EXP(-LN(2)/25)*AV134+(1-EXP(-LN(2)/25))/(LN(2)/25)*Calculateur!AQ135*Calculateur!AS135*VLOOKUP('Données projet'!$B$10,Paramètres!$A$1:$I$89,3,0)*0.475*44/12</f>
        <v>17.004421819163355</v>
      </c>
      <c r="AW135" s="21">
        <f>EXP(-LN(2)/2)*AW134+(1-EXP(-LN(2)/2))/(LN(2)/2)*AQ135*AT135*VLOOKUP('Données projet'!$B$10,Paramètres!$A$1:$I$89,3,0)*0.475*44/12</f>
        <v>1.1712892527628759E-6</v>
      </c>
      <c r="AX135" s="21">
        <f t="shared" si="114"/>
        <v>90.787445102375159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7.7849999999999966</v>
      </c>
      <c r="BD135" s="12">
        <f>IF('Données projet'!$A$88&gt;35,BD134+BC135-BL134,IF(A135&lt;'Données projet'!$A$88,$BA$205^A135,IF(A135='Données projet'!$A$88,'Données projet'!$B$88,BD134+BC135-BL134)))</f>
        <v>389.10500000000036</v>
      </c>
      <c r="BE135" s="13">
        <f>BD135*VLOOKUP('Données projet'!$B$11,Paramètres!$A$1:$I$89,3,0)*VLOOKUP('Données projet'!$B$11,Paramètres!$A$1:$I$89,5,0)</f>
        <v>352.06220400000029</v>
      </c>
      <c r="BF135" s="13">
        <f t="shared" si="145"/>
        <v>81.986995165225665</v>
      </c>
      <c r="BG135" s="20">
        <f t="shared" si="115"/>
        <v>755.96902187943522</v>
      </c>
      <c r="BH135" s="59">
        <f t="shared" si="116"/>
        <v>1049.3023552127686</v>
      </c>
      <c r="BI135" s="59">
        <f ca="1">AVERAGE(OFFSET($BH$3,0,0,'Données projet'!$E$11+1,1))-AVERAGE(OFFSET($H$3,0,0,'Données projet'!$E$11+1,1))</f>
        <v>490.06222615476065</v>
      </c>
      <c r="BJ135" s="59">
        <f t="shared" si="146"/>
        <v>310.43914804089906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36.345697292139469</v>
      </c>
      <c r="BQ135" s="21">
        <f>EXP(-LN(2)/25)*BQ134+(1-EXP(-LN(2)/25))/(LN(2)/25)*Calculateur!BL135*Calculateur!BN135*VLOOKUP('Données projet'!$B$11,Paramètres!$A$1:$I$89,3,0)*0.475*44/12</f>
        <v>17.84390569388</v>
      </c>
      <c r="BR135" s="21">
        <f>EXP(-LN(2)/2)*BR134+(1-EXP(-LN(2)/2))/(LN(2)/2)*BL135*BO135*VLOOKUP('Données projet'!$B$11,Paramètres!$A$1:$I$89,3,0)*0.475*44/12</f>
        <v>2.1444333041835902E-4</v>
      </c>
      <c r="BS135" s="22">
        <f t="shared" si="117"/>
        <v>54.189817429349887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353.37479213497227</v>
      </c>
      <c r="CE135" s="59">
        <f t="shared" si="148"/>
        <v>345.4750813433123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18.561332729549292</v>
      </c>
      <c r="CL135" s="21">
        <f>EXP(-LN(2)/25)*CL134+(1-EXP(-LN(2)/25))/(LN(2)/25)*Calculateur!CG135*Calculateur!CI135*VLOOKUP('Données projet'!$B$12,Paramètres!$A$1:$I$89,3,0)*0.475*44/12</f>
        <v>12.138805790050712</v>
      </c>
      <c r="CM135" s="21">
        <f>EXP(-LN(2)/2)*CM134+(1-EXP(-LN(2)/2))/(LN(2)/2)*CG135*CJ135*VLOOKUP('Données projet'!$B$12,Paramètres!$A$1:$I$89,3,0)*0.475*44/12</f>
        <v>9.3015016919972505E-7</v>
      </c>
      <c r="CN135" s="22">
        <f t="shared" si="120"/>
        <v>30.700139449750171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-7.3896444519050419E-13</v>
      </c>
      <c r="CU135" s="17">
        <f>CT135*VLOOKUP('Données projet'!$B$13,Paramètres!$A$1:$I$89,3,0)*VLOOKUP('Données projet'!$B$13,Paramètres!$A$1:$I$89,5,0)</f>
        <v>-3.5544189813663252E-13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314.18760071409162</v>
      </c>
      <c r="CZ135" s="59">
        <f t="shared" si="150"/>
        <v>267.72650645201787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65.971262723658725</v>
      </c>
      <c r="DG135" s="21">
        <f>EXP(-LN(2)/25)*DG134+(1-EXP(-LN(2)/25))/(LN(2)/25)*Calculateur!DB135*Calculateur!DD135*VLOOKUP('Données projet'!$B$13,Paramètres!$A$1:$I$89,3,0)*0.475*44/12</f>
        <v>14.602469629408372</v>
      </c>
      <c r="DH135" s="21">
        <f>EXP(-LN(2)/2)*DH134+(1-EXP(-LN(2)/2))/(LN(2)/2)*DB135*DE135*VLOOKUP('Données projet'!$B$13,Paramètres!$A$1:$I$89,3,0)*0.475*44/12</f>
        <v>0.16002836068211859</v>
      </c>
      <c r="DI135" s="22">
        <f t="shared" si="123"/>
        <v>80.73376071374922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-1.7053025658242404E-13</v>
      </c>
      <c r="DP135" s="17">
        <f>DO135*VLOOKUP('Données projet'!$B$14,Paramètres!$A$1:$I$89,3,0)*VLOOKUP('Données projet'!$B$14,Paramètres!$A$1:$I$89,5,0)</f>
        <v>-1.4897523215040567E-13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324.86930206492627</v>
      </c>
      <c r="DU135" s="59">
        <f t="shared" si="152"/>
        <v>317.03005098025352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16.45226596605918</v>
      </c>
      <c r="EB135" s="21">
        <f>EXP(-LN(2)/25)*EB134+(1-EXP(-LN(2)/25))/(LN(2)/25)*Calculateur!DW135*Calculateur!DY135*VLOOKUP('Données projet'!$B$14,Paramètres!$A$1:$I$89,3,0)*0.475*44/12</f>
        <v>11.001519384114713</v>
      </c>
      <c r="EC135" s="21">
        <f>EXP(-LN(2)/2)*EC134+(1-EXP(-LN(2)/2))/(LN(2)/2)*DW135*DZ135*VLOOKUP('Données projet'!$B$14,Paramètres!$A$1:$I$89,3,0)*0.475*44/12</f>
        <v>8.5049881069860003E-7</v>
      </c>
      <c r="ED135" s="22">
        <f t="shared" si="126"/>
        <v>27.453786200672706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302.00825291248458</v>
      </c>
      <c r="T136" s="59">
        <f t="shared" si="142"/>
        <v>307.35115839449355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32.714710870034168</v>
      </c>
      <c r="AA136" s="21">
        <f>EXP(-LN(2)/25)*AA135+(1-EXP(-LN(2)/25))/(LN(2)/25)*Calculateur!V136*Calculateur!X136*VLOOKUP('Données projet'!$B$9,Paramètres!$A$1:$I$89,3,0)*0.475*44/12</f>
        <v>6.4003126463157276</v>
      </c>
      <c r="AB136" s="21">
        <f>EXP(-LN(2)/2)*AB135+(1-EXP(-LN(2)/2))/(LN(2)/2)*V136*Y136*VLOOKUP('Données projet'!$B$9,Paramètres!$A$1:$I$89,3,0)*0.475*44/12</f>
        <v>6.1698873221936372E-10</v>
      </c>
      <c r="AC136" s="22">
        <f t="shared" si="111"/>
        <v>39.115023516966879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5.0249582272954292E-14</v>
      </c>
      <c r="AK136" s="13">
        <f t="shared" si="143"/>
        <v>8.1784820119191593E-13</v>
      </c>
      <c r="AL136" s="20">
        <f t="shared" si="112"/>
        <v>1.5119369728679821E-12</v>
      </c>
      <c r="AM136" s="59">
        <f t="shared" si="113"/>
        <v>293.33333333333485</v>
      </c>
      <c r="AN136" s="59">
        <f ca="1">AVERAGE(OFFSET($AM$3,0,0,'Données projet'!$E$10+1,1))-AVERAGE(OFFSET($H$3,0,0,'Données projet'!$E$10+1,1))</f>
        <v>394.37446333077651</v>
      </c>
      <c r="AO136" s="59">
        <f t="shared" si="144"/>
        <v>335.44327961212963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72.336182051507535</v>
      </c>
      <c r="AV136" s="21">
        <f>EXP(-LN(2)/25)*AV135+(1-EXP(-LN(2)/25))/(LN(2)/25)*Calculateur!AQ136*Calculateur!AS136*VLOOKUP('Données projet'!$B$10,Paramètres!$A$1:$I$89,3,0)*0.475*44/12</f>
        <v>16.539435010294653</v>
      </c>
      <c r="AW136" s="21">
        <f>EXP(-LN(2)/2)*AW135+(1-EXP(-LN(2)/2))/(LN(2)/2)*AQ136*AT136*VLOOKUP('Données projet'!$B$10,Paramètres!$A$1:$I$89,3,0)*0.475*44/12</f>
        <v>8.2822657335955364E-7</v>
      </c>
      <c r="AX136" s="21">
        <f t="shared" si="114"/>
        <v>88.875617890028764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7.7849999999999966</v>
      </c>
      <c r="BD136" s="12">
        <f>IF('Données projet'!$A$88&gt;35,BD135+BC136-BL135,IF(A136&lt;'Données projet'!$A$88,$BA$205^A136,IF(A136='Données projet'!$A$88,'Données projet'!$B$88,BD135+BC136-BL135)))</f>
        <v>396.89000000000033</v>
      </c>
      <c r="BE136" s="13">
        <f>BD136*VLOOKUP('Données projet'!$B$11,Paramètres!$A$1:$I$89,3,0)*VLOOKUP('Données projet'!$B$11,Paramètres!$A$1:$I$89,5,0)</f>
        <v>359.10607200000027</v>
      </c>
      <c r="BF136" s="13">
        <f t="shared" si="145"/>
        <v>83.434733954740693</v>
      </c>
      <c r="BG136" s="20">
        <f t="shared" si="115"/>
        <v>770.75857037117385</v>
      </c>
      <c r="BH136" s="59">
        <f t="shared" si="116"/>
        <v>1064.0919037045071</v>
      </c>
      <c r="BI136" s="59">
        <f ca="1">AVERAGE(OFFSET($BH$3,0,0,'Données projet'!$E$11+1,1))-AVERAGE(OFFSET($H$3,0,0,'Données projet'!$E$11+1,1))</f>
        <v>490.06222615476065</v>
      </c>
      <c r="BJ136" s="59">
        <f t="shared" si="146"/>
        <v>310.43914804089906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35.632980336926984</v>
      </c>
      <c r="BQ136" s="21">
        <f>EXP(-LN(2)/25)*BQ135+(1-EXP(-LN(2)/25))/(LN(2)/25)*Calculateur!BL136*Calculateur!BN136*VLOOKUP('Données projet'!$B$11,Paramètres!$A$1:$I$89,3,0)*0.475*44/12</f>
        <v>17.355963154310633</v>
      </c>
      <c r="BR136" s="21">
        <f>EXP(-LN(2)/2)*BR135+(1-EXP(-LN(2)/2))/(LN(2)/2)*BL136*BO136*VLOOKUP('Données projet'!$B$11,Paramètres!$A$1:$I$89,3,0)*0.475*44/12</f>
        <v>1.516343331190491E-4</v>
      </c>
      <c r="BS136" s="22">
        <f t="shared" si="117"/>
        <v>52.989095125570742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353.37479213497227</v>
      </c>
      <c r="CE136" s="59">
        <f t="shared" si="148"/>
        <v>345.4750813433123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18.19735631601791</v>
      </c>
      <c r="CL136" s="21">
        <f>EXP(-LN(2)/25)*CL135+(1-EXP(-LN(2)/25))/(LN(2)/25)*Calculateur!CG136*Calculateur!CI136*VLOOKUP('Données projet'!$B$12,Paramètres!$A$1:$I$89,3,0)*0.475*44/12</f>
        <v>11.806869507369722</v>
      </c>
      <c r="CM136" s="21">
        <f>EXP(-LN(2)/2)*CM135+(1-EXP(-LN(2)/2))/(LN(2)/2)*CG136*CJ136*VLOOKUP('Données projet'!$B$12,Paramètres!$A$1:$I$89,3,0)*0.475*44/12</f>
        <v>6.5771549216294018E-7</v>
      </c>
      <c r="CN136" s="22">
        <f t="shared" si="120"/>
        <v>30.004226481103125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-7.3896444519050419E-13</v>
      </c>
      <c r="CU136" s="17">
        <f>CT136*VLOOKUP('Données projet'!$B$13,Paramètres!$A$1:$I$89,3,0)*VLOOKUP('Données projet'!$B$13,Paramètres!$A$1:$I$89,5,0)</f>
        <v>-3.5544189813663252E-13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314.18760071409162</v>
      </c>
      <c r="CZ136" s="59">
        <f t="shared" si="150"/>
        <v>267.72650645201787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64.677606500144819</v>
      </c>
      <c r="DG136" s="21">
        <f>EXP(-LN(2)/25)*DG135+(1-EXP(-LN(2)/25))/(LN(2)/25)*Calculateur!DB136*Calculateur!DD136*VLOOKUP('Données projet'!$B$13,Paramètres!$A$1:$I$89,3,0)*0.475*44/12</f>
        <v>14.203164329481696</v>
      </c>
      <c r="DH136" s="21">
        <f>EXP(-LN(2)/2)*DH135+(1-EXP(-LN(2)/2))/(LN(2)/2)*DB136*DE136*VLOOKUP('Données projet'!$B$13,Paramètres!$A$1:$I$89,3,0)*0.475*44/12</f>
        <v>0.11315713902049275</v>
      </c>
      <c r="DI136" s="22">
        <f t="shared" si="123"/>
        <v>78.993927968647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-1.7053025658242404E-13</v>
      </c>
      <c r="DP136" s="17">
        <f>DO136*VLOOKUP('Données projet'!$B$14,Paramètres!$A$1:$I$89,3,0)*VLOOKUP('Données projet'!$B$14,Paramètres!$A$1:$I$89,5,0)</f>
        <v>-1.4897523215040567E-13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324.86930206492627</v>
      </c>
      <c r="DU136" s="59">
        <f t="shared" si="152"/>
        <v>317.03005098025352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16.129647065356135</v>
      </c>
      <c r="EB136" s="21">
        <f>EXP(-LN(2)/25)*EB135+(1-EXP(-LN(2)/25))/(LN(2)/25)*Calculateur!DW136*Calculateur!DY136*VLOOKUP('Données projet'!$B$14,Paramètres!$A$1:$I$89,3,0)*0.475*44/12</f>
        <v>10.700682258011337</v>
      </c>
      <c r="EC136" s="21">
        <f>EXP(-LN(2)/2)*EC135+(1-EXP(-LN(2)/2))/(LN(2)/2)*DW136*DZ136*VLOOKUP('Données projet'!$B$14,Paramètres!$A$1:$I$89,3,0)*0.475*44/12</f>
        <v>6.0139347643607387E-7</v>
      </c>
      <c r="ED136" s="22">
        <f t="shared" si="126"/>
        <v>26.830329924760949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302.00825291248458</v>
      </c>
      <c r="T137" s="59">
        <f t="shared" si="142"/>
        <v>307.35115839449355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32.073195343876137</v>
      </c>
      <c r="AA137" s="21">
        <f>EXP(-LN(2)/25)*AA136+(1-EXP(-LN(2)/25))/(LN(2)/25)*Calculateur!V137*Calculateur!X137*VLOOKUP('Données projet'!$B$9,Paramètres!$A$1:$I$89,3,0)*0.475*44/12</f>
        <v>6.2252957604244097</v>
      </c>
      <c r="AB137" s="21">
        <f>EXP(-LN(2)/2)*AB136+(1-EXP(-LN(2)/2))/(LN(2)/2)*V137*Y137*VLOOKUP('Données projet'!$B$9,Paramètres!$A$1:$I$89,3,0)*0.475*44/12</f>
        <v>4.3627691646800299E-10</v>
      </c>
      <c r="AC137" s="22">
        <f t="shared" si="111"/>
        <v>38.298491104736826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5.0249582272954292E-14</v>
      </c>
      <c r="AK137" s="13">
        <f t="shared" si="143"/>
        <v>8.1784820119191593E-13</v>
      </c>
      <c r="AL137" s="20">
        <f t="shared" si="112"/>
        <v>1.5119369728679821E-12</v>
      </c>
      <c r="AM137" s="59">
        <f t="shared" si="113"/>
        <v>293.33333333333485</v>
      </c>
      <c r="AN137" s="59">
        <f ca="1">AVERAGE(OFFSET($AM$3,0,0,'Données projet'!$E$10+1,1))-AVERAGE(OFFSET($H$3,0,0,'Données projet'!$E$10+1,1))</f>
        <v>394.37446333077651</v>
      </c>
      <c r="AO137" s="59">
        <f t="shared" si="144"/>
        <v>335.44327961212963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70.91771364219197</v>
      </c>
      <c r="AV137" s="21">
        <f>EXP(-LN(2)/25)*AV136+(1-EXP(-LN(2)/25))/(LN(2)/25)*Calculateur!AQ137*Calculateur!AS137*VLOOKUP('Données projet'!$B$10,Paramètres!$A$1:$I$89,3,0)*0.475*44/12</f>
        <v>16.087163290167059</v>
      </c>
      <c r="AW137" s="21">
        <f>EXP(-LN(2)/2)*AW136+(1-EXP(-LN(2)/2))/(LN(2)/2)*AQ137*AT137*VLOOKUP('Données projet'!$B$10,Paramètres!$A$1:$I$89,3,0)*0.475*44/12</f>
        <v>5.8564462638143794E-7</v>
      </c>
      <c r="AX137" s="21">
        <f t="shared" si="114"/>
        <v>87.004877518003653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7.7849999999999966</v>
      </c>
      <c r="BD137" s="12">
        <f>IF('Données projet'!$A$88&gt;35,BD136+BC137-BL136,IF(A137&lt;'Données projet'!$A$88,$BA$205^A137,IF(A137='Données projet'!$A$88,'Données projet'!$B$88,BD136+BC137-BL136)))</f>
        <v>404.6750000000003</v>
      </c>
      <c r="BE137" s="13">
        <f>BD137*VLOOKUP('Données projet'!$B$11,Paramètres!$A$1:$I$89,3,0)*VLOOKUP('Données projet'!$B$11,Paramètres!$A$1:$I$89,5,0)</f>
        <v>366.14994000000024</v>
      </c>
      <c r="BF137" s="13">
        <f t="shared" si="145"/>
        <v>84.879170832991178</v>
      </c>
      <c r="BG137" s="20">
        <f t="shared" si="115"/>
        <v>785.54236803412675</v>
      </c>
      <c r="BH137" s="59">
        <f t="shared" si="116"/>
        <v>1078.8757013674601</v>
      </c>
      <c r="BI137" s="59">
        <f ca="1">AVERAGE(OFFSET($BH$3,0,0,'Données projet'!$E$11+1,1))-AVERAGE(OFFSET($H$3,0,0,'Données projet'!$E$11+1,1))</f>
        <v>490.06222615476065</v>
      </c>
      <c r="BJ137" s="59">
        <f t="shared" si="146"/>
        <v>310.43914804089906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34.934239326491799</v>
      </c>
      <c r="BQ137" s="21">
        <f>EXP(-LN(2)/25)*BQ136+(1-EXP(-LN(2)/25))/(LN(2)/25)*Calculateur!BL137*Calculateur!BN137*VLOOKUP('Données projet'!$B$11,Paramètres!$A$1:$I$89,3,0)*0.475*44/12</f>
        <v>16.881363429145573</v>
      </c>
      <c r="BR137" s="21">
        <f>EXP(-LN(2)/2)*BR136+(1-EXP(-LN(2)/2))/(LN(2)/2)*BL137*BO137*VLOOKUP('Données projet'!$B$11,Paramètres!$A$1:$I$89,3,0)*0.475*44/12</f>
        <v>1.0722166520917951E-4</v>
      </c>
      <c r="BS137" s="22">
        <f t="shared" si="117"/>
        <v>51.815709977302582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353.37479213497227</v>
      </c>
      <c r="CE137" s="59">
        <f t="shared" si="148"/>
        <v>345.4750813433123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17.840517257952186</v>
      </c>
      <c r="CL137" s="21">
        <f>EXP(-LN(2)/25)*CL136+(1-EXP(-LN(2)/25))/(LN(2)/25)*Calculateur!CG137*Calculateur!CI137*VLOOKUP('Données projet'!$B$12,Paramètres!$A$1:$I$89,3,0)*0.475*44/12</f>
        <v>11.484010039794414</v>
      </c>
      <c r="CM137" s="21">
        <f>EXP(-LN(2)/2)*CM136+(1-EXP(-LN(2)/2))/(LN(2)/2)*CG137*CJ137*VLOOKUP('Données projet'!$B$12,Paramètres!$A$1:$I$89,3,0)*0.475*44/12</f>
        <v>4.6507508459986258E-7</v>
      </c>
      <c r="CN137" s="22">
        <f t="shared" si="120"/>
        <v>29.324527762821685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-7.3896444519050419E-13</v>
      </c>
      <c r="CU137" s="17">
        <f>CT137*VLOOKUP('Données projet'!$B$13,Paramètres!$A$1:$I$89,3,0)*VLOOKUP('Données projet'!$B$13,Paramètres!$A$1:$I$89,5,0)</f>
        <v>-3.5544189813663252E-13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314.18760071409162</v>
      </c>
      <c r="CZ137" s="59">
        <f t="shared" si="150"/>
        <v>267.72650645201787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63.409318086121637</v>
      </c>
      <c r="DG137" s="21">
        <f>EXP(-LN(2)/25)*DG136+(1-EXP(-LN(2)/25))/(LN(2)/25)*Calculateur!DB137*Calculateur!DD137*VLOOKUP('Données projet'!$B$13,Paramètres!$A$1:$I$89,3,0)*0.475*44/12</f>
        <v>13.814778053980069</v>
      </c>
      <c r="DH137" s="21">
        <f>EXP(-LN(2)/2)*DH136+(1-EXP(-LN(2)/2))/(LN(2)/2)*DB137*DE137*VLOOKUP('Données projet'!$B$13,Paramètres!$A$1:$I$89,3,0)*0.475*44/12</f>
        <v>8.001418034105931E-2</v>
      </c>
      <c r="DI137" s="22">
        <f t="shared" si="123"/>
        <v>77.30411032044276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-1.7053025658242404E-13</v>
      </c>
      <c r="DP137" s="17">
        <f>DO137*VLOOKUP('Données projet'!$B$14,Paramètres!$A$1:$I$89,3,0)*VLOOKUP('Données projet'!$B$14,Paramètres!$A$1:$I$89,5,0)</f>
        <v>-1.4897523215040567E-13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324.86930206492627</v>
      </c>
      <c r="DU137" s="59">
        <f t="shared" si="152"/>
        <v>317.03005098025352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15.813354524517779</v>
      </c>
      <c r="EB137" s="21">
        <f>EXP(-LN(2)/25)*EB136+(1-EXP(-LN(2)/25))/(LN(2)/25)*Calculateur!DW137*Calculateur!DY137*VLOOKUP('Données projet'!$B$14,Paramètres!$A$1:$I$89,3,0)*0.475*44/12</f>
        <v>10.408071538941593</v>
      </c>
      <c r="EC137" s="21">
        <f>EXP(-LN(2)/2)*EC136+(1-EXP(-LN(2)/2))/(LN(2)/2)*DW137*DZ137*VLOOKUP('Données projet'!$B$14,Paramètres!$A$1:$I$89,3,0)*0.475*44/12</f>
        <v>4.2524940534930001E-7</v>
      </c>
      <c r="ED137" s="22">
        <f t="shared" si="126"/>
        <v>26.221426488708776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302.00825291248458</v>
      </c>
      <c r="T138" s="59">
        <f t="shared" si="142"/>
        <v>307.35115839449355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31.444259545900227</v>
      </c>
      <c r="AA138" s="21">
        <f>EXP(-LN(2)/25)*AA137+(1-EXP(-LN(2)/25))/(LN(2)/25)*Calculateur!V138*Calculateur!X138*VLOOKUP('Données projet'!$B$9,Paramètres!$A$1:$I$89,3,0)*0.475*44/12</f>
        <v>6.0550647204815284</v>
      </c>
      <c r="AB138" s="21">
        <f>EXP(-LN(2)/2)*AB137+(1-EXP(-LN(2)/2))/(LN(2)/2)*V138*Y138*VLOOKUP('Données projet'!$B$9,Paramètres!$A$1:$I$89,3,0)*0.475*44/12</f>
        <v>3.0849436610968186E-10</v>
      </c>
      <c r="AC138" s="22">
        <f t="shared" si="111"/>
        <v>37.499324266690252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5.0249582272954292E-14</v>
      </c>
      <c r="AK138" s="13">
        <f t="shared" si="143"/>
        <v>8.1784820119191593E-13</v>
      </c>
      <c r="AL138" s="20">
        <f t="shared" si="112"/>
        <v>1.5119369728679821E-12</v>
      </c>
      <c r="AM138" s="59">
        <f t="shared" si="113"/>
        <v>293.33333333333485</v>
      </c>
      <c r="AN138" s="59">
        <f ca="1">AVERAGE(OFFSET($AM$3,0,0,'Données projet'!$E$10+1,1))-AVERAGE(OFFSET($H$3,0,0,'Données projet'!$E$10+1,1))</f>
        <v>394.37446333077651</v>
      </c>
      <c r="AO138" s="59">
        <f t="shared" si="144"/>
        <v>335.44327961212963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69.527060533202771</v>
      </c>
      <c r="AV138" s="21">
        <f>EXP(-LN(2)/25)*AV137+(1-EXP(-LN(2)/25))/(LN(2)/25)*Calculateur!AQ138*Calculateur!AS138*VLOOKUP('Données projet'!$B$10,Paramètres!$A$1:$I$89,3,0)*0.475*44/12</f>
        <v>15.647258964010291</v>
      </c>
      <c r="AW138" s="21">
        <f>EXP(-LN(2)/2)*AW137+(1-EXP(-LN(2)/2))/(LN(2)/2)*AQ138*AT138*VLOOKUP('Données projet'!$B$10,Paramètres!$A$1:$I$89,3,0)*0.475*44/12</f>
        <v>4.1411328667977682E-7</v>
      </c>
      <c r="AX138" s="21">
        <f t="shared" si="114"/>
        <v>85.17431991132635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7.7849999999999966</v>
      </c>
      <c r="BD138" s="12">
        <f>IF('Données projet'!$A$88&gt;35,BD137+BC138-BL137,IF(A138&lt;'Données projet'!$A$88,$BA$205^A138,IF(A138='Données projet'!$A$88,'Données projet'!$B$88,BD137+BC138-BL137)))</f>
        <v>412.46000000000026</v>
      </c>
      <c r="BE138" s="13">
        <f>BD138*VLOOKUP('Données projet'!$B$11,Paramètres!$A$1:$I$89,3,0)*VLOOKUP('Données projet'!$B$11,Paramètres!$A$1:$I$89,5,0)</f>
        <v>373.19380800000022</v>
      </c>
      <c r="BF138" s="13">
        <f t="shared" si="145"/>
        <v>86.320376644349466</v>
      </c>
      <c r="BG138" s="20">
        <f t="shared" si="115"/>
        <v>800.32053825557568</v>
      </c>
      <c r="BH138" s="59">
        <f t="shared" si="116"/>
        <v>1093.6538715889089</v>
      </c>
      <c r="BI138" s="59">
        <f ca="1">AVERAGE(OFFSET($BH$3,0,0,'Données projet'!$E$11+1,1))-AVERAGE(OFFSET($H$3,0,0,'Données projet'!$E$11+1,1))</f>
        <v>490.06222615476065</v>
      </c>
      <c r="BJ138" s="59">
        <f t="shared" si="146"/>
        <v>310.43914804089906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34.249200201081315</v>
      </c>
      <c r="BQ138" s="21">
        <f>EXP(-LN(2)/25)*BQ137+(1-EXP(-LN(2)/25))/(LN(2)/25)*Calculateur!BL138*Calculateur!BN138*VLOOKUP('Données projet'!$B$11,Paramètres!$A$1:$I$89,3,0)*0.475*44/12</f>
        <v>16.419741658423266</v>
      </c>
      <c r="BR138" s="21">
        <f>EXP(-LN(2)/2)*BR137+(1-EXP(-LN(2)/2))/(LN(2)/2)*BL138*BO138*VLOOKUP('Données projet'!$B$11,Paramètres!$A$1:$I$89,3,0)*0.475*44/12</f>
        <v>7.5817166559524551E-5</v>
      </c>
      <c r="BS138" s="22">
        <f t="shared" si="117"/>
        <v>50.669017676671146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353.37479213497227</v>
      </c>
      <c r="CE138" s="59">
        <f t="shared" si="148"/>
        <v>345.4750813433123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17.490675596164799</v>
      </c>
      <c r="CL138" s="21">
        <f>EXP(-LN(2)/25)*CL137+(1-EXP(-LN(2)/25))/(LN(2)/25)*Calculateur!CG138*Calculateur!CI138*VLOOKUP('Données projet'!$B$12,Paramètres!$A$1:$I$89,3,0)*0.475*44/12</f>
        <v>11.169979181338395</v>
      </c>
      <c r="CM138" s="21">
        <f>EXP(-LN(2)/2)*CM137+(1-EXP(-LN(2)/2))/(LN(2)/2)*CG138*CJ138*VLOOKUP('Données projet'!$B$12,Paramètres!$A$1:$I$89,3,0)*0.475*44/12</f>
        <v>3.2885774608147014E-7</v>
      </c>
      <c r="CN138" s="22">
        <f t="shared" si="120"/>
        <v>28.660655106360938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-7.3896444519050419E-13</v>
      </c>
      <c r="CU138" s="17">
        <f>CT138*VLOOKUP('Données projet'!$B$13,Paramètres!$A$1:$I$89,3,0)*VLOOKUP('Données projet'!$B$13,Paramètres!$A$1:$I$89,5,0)</f>
        <v>-3.5544189813663252E-13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314.18760071409162</v>
      </c>
      <c r="CZ138" s="59">
        <f t="shared" si="150"/>
        <v>267.72650645201787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62.1659000343179</v>
      </c>
      <c r="DG138" s="21">
        <f>EXP(-LN(2)/25)*DG137+(1-EXP(-LN(2)/25))/(LN(2)/25)*Calculateur!DB138*Calculateur!DD138*VLOOKUP('Données projet'!$B$13,Paramètres!$A$1:$I$89,3,0)*0.475*44/12</f>
        <v>13.437012221606381</v>
      </c>
      <c r="DH138" s="21">
        <f>EXP(-LN(2)/2)*DH137+(1-EXP(-LN(2)/2))/(LN(2)/2)*DB138*DE138*VLOOKUP('Données projet'!$B$13,Paramètres!$A$1:$I$89,3,0)*0.475*44/12</f>
        <v>5.6578569510246382E-2</v>
      </c>
      <c r="DI138" s="22">
        <f t="shared" si="123"/>
        <v>75.659490825434531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-1.7053025658242404E-13</v>
      </c>
      <c r="DP138" s="17">
        <f>DO138*VLOOKUP('Données projet'!$B$14,Paramètres!$A$1:$I$89,3,0)*VLOOKUP('Données projet'!$B$14,Paramètres!$A$1:$I$89,5,0)</f>
        <v>-1.4897523215040567E-13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324.86930206492627</v>
      </c>
      <c r="DU138" s="59">
        <f t="shared" si="152"/>
        <v>317.03005098025352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15.503264287485861</v>
      </c>
      <c r="EB138" s="21">
        <f>EXP(-LN(2)/25)*EB137+(1-EXP(-LN(2)/25))/(LN(2)/25)*Calculateur!DW138*Calculateur!DY138*VLOOKUP('Données projet'!$B$14,Paramètres!$A$1:$I$89,3,0)*0.475*44/12</f>
        <v>10.123462275372541</v>
      </c>
      <c r="EC138" s="21">
        <f>EXP(-LN(2)/2)*EC137+(1-EXP(-LN(2)/2))/(LN(2)/2)*DW138*DZ138*VLOOKUP('Données projet'!$B$14,Paramètres!$A$1:$I$89,3,0)*0.475*44/12</f>
        <v>3.0069673821803693E-7</v>
      </c>
      <c r="ED138" s="22">
        <f t="shared" si="126"/>
        <v>25.626726863555138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302.00825291248458</v>
      </c>
      <c r="T139" s="59">
        <f t="shared" si="142"/>
        <v>307.35115839449355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30.827656795309668</v>
      </c>
      <c r="AA139" s="21">
        <f>EXP(-LN(2)/25)*AA138+(1-EXP(-LN(2)/25))/(LN(2)/25)*Calculateur!V139*Calculateur!X139*VLOOKUP('Données projet'!$B$9,Paramètres!$A$1:$I$89,3,0)*0.475*44/12</f>
        <v>5.8894886572779468</v>
      </c>
      <c r="AB139" s="21">
        <f>EXP(-LN(2)/2)*AB138+(1-EXP(-LN(2)/2))/(LN(2)/2)*V139*Y139*VLOOKUP('Données projet'!$B$9,Paramètres!$A$1:$I$89,3,0)*0.475*44/12</f>
        <v>2.181384582340015E-10</v>
      </c>
      <c r="AC139" s="22">
        <f t="shared" si="111"/>
        <v>36.717145452805752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5.0249582272954292E-14</v>
      </c>
      <c r="AK139" s="13">
        <f t="shared" si="143"/>
        <v>8.1784820119191593E-13</v>
      </c>
      <c r="AL139" s="20">
        <f t="shared" si="112"/>
        <v>1.5119369728679821E-12</v>
      </c>
      <c r="AM139" s="59">
        <f t="shared" si="113"/>
        <v>293.33333333333485</v>
      </c>
      <c r="AN139" s="59">
        <f ca="1">AVERAGE(OFFSET($AM$3,0,0,'Données projet'!$E$10+1,1))-AVERAGE(OFFSET($H$3,0,0,'Données projet'!$E$10+1,1))</f>
        <v>394.37446333077651</v>
      </c>
      <c r="AO139" s="59">
        <f t="shared" si="144"/>
        <v>335.44327961212963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68.163677283466214</v>
      </c>
      <c r="AV139" s="21">
        <f>EXP(-LN(2)/25)*AV138+(1-EXP(-LN(2)/25))/(LN(2)/25)*Calculateur!AQ139*Calculateur!AS139*VLOOKUP('Données projet'!$B$10,Paramètres!$A$1:$I$89,3,0)*0.475*44/12</f>
        <v>15.219383844785844</v>
      </c>
      <c r="AW139" s="21">
        <f>EXP(-LN(2)/2)*AW138+(1-EXP(-LN(2)/2))/(LN(2)/2)*AQ139*AT139*VLOOKUP('Données projet'!$B$10,Paramètres!$A$1:$I$89,3,0)*0.475*44/12</f>
        <v>2.9282231319071897E-7</v>
      </c>
      <c r="AX139" s="21">
        <f t="shared" si="114"/>
        <v>83.383061421074359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7.7849999999999966</v>
      </c>
      <c r="BD139" s="12">
        <f>IF('Données projet'!$A$88&gt;35,BD138+BC139-BL138,IF(A139&lt;'Données projet'!$A$88,$BA$205^A139,IF(A139='Données projet'!$A$88,'Données projet'!$B$88,BD138+BC139-BL138)))</f>
        <v>420.24500000000023</v>
      </c>
      <c r="BE139" s="13">
        <f>BD139*VLOOKUP('Données projet'!$B$11,Paramètres!$A$1:$I$89,3,0)*VLOOKUP('Données projet'!$B$11,Paramètres!$A$1:$I$89,5,0)</f>
        <v>380.23767600000019</v>
      </c>
      <c r="BF139" s="13">
        <f t="shared" si="145"/>
        <v>87.758419405833862</v>
      </c>
      <c r="BG139" s="20">
        <f t="shared" si="115"/>
        <v>815.0931994984943</v>
      </c>
      <c r="BH139" s="59">
        <f t="shared" si="116"/>
        <v>1108.4265328318277</v>
      </c>
      <c r="BI139" s="59">
        <f ca="1">AVERAGE(OFFSET($BH$3,0,0,'Données projet'!$E$11+1,1))-AVERAGE(OFFSET($H$3,0,0,'Données projet'!$E$11+1,1))</f>
        <v>490.06222615476065</v>
      </c>
      <c r="BJ139" s="59">
        <f t="shared" si="146"/>
        <v>310.43914804089906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33.57759427508752</v>
      </c>
      <c r="BQ139" s="21">
        <f>EXP(-LN(2)/25)*BQ138+(1-EXP(-LN(2)/25))/(LN(2)/25)*Calculateur!BL139*Calculateur!BN139*VLOOKUP('Données projet'!$B$11,Paramètres!$A$1:$I$89,3,0)*0.475*44/12</f>
        <v>15.970742959296997</v>
      </c>
      <c r="BR139" s="21">
        <f>EXP(-LN(2)/2)*BR138+(1-EXP(-LN(2)/2))/(LN(2)/2)*BL139*BO139*VLOOKUP('Données projet'!$B$11,Paramètres!$A$1:$I$89,3,0)*0.475*44/12</f>
        <v>5.3610832604589755E-5</v>
      </c>
      <c r="BS139" s="22">
        <f t="shared" si="117"/>
        <v>49.548390845217121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353.37479213497227</v>
      </c>
      <c r="CE139" s="59">
        <f t="shared" si="148"/>
        <v>345.4750813433123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17.147694115982716</v>
      </c>
      <c r="CL139" s="21">
        <f>EXP(-LN(2)/25)*CL138+(1-EXP(-LN(2)/25))/(LN(2)/25)*Calculateur!CG139*Calculateur!CI139*VLOOKUP('Données projet'!$B$12,Paramètres!$A$1:$I$89,3,0)*0.475*44/12</f>
        <v>10.864535513221021</v>
      </c>
      <c r="CM139" s="21">
        <f>EXP(-LN(2)/2)*CM138+(1-EXP(-LN(2)/2))/(LN(2)/2)*CG139*CJ139*VLOOKUP('Données projet'!$B$12,Paramètres!$A$1:$I$89,3,0)*0.475*44/12</f>
        <v>2.3253754229993132E-7</v>
      </c>
      <c r="CN139" s="22">
        <f t="shared" si="120"/>
        <v>28.012229861741279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-7.3896444519050419E-13</v>
      </c>
      <c r="CU139" s="17">
        <f>CT139*VLOOKUP('Données projet'!$B$13,Paramètres!$A$1:$I$89,3,0)*VLOOKUP('Données projet'!$B$13,Paramètres!$A$1:$I$89,5,0)</f>
        <v>-3.5544189813663252E-13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314.18760071409162</v>
      </c>
      <c r="CZ139" s="59">
        <f t="shared" si="150"/>
        <v>267.72650645201787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60.946864652099912</v>
      </c>
      <c r="DG139" s="21">
        <f>EXP(-LN(2)/25)*DG138+(1-EXP(-LN(2)/25))/(LN(2)/25)*Calculateur!DB139*Calculateur!DD139*VLOOKUP('Données projet'!$B$13,Paramètres!$A$1:$I$89,3,0)*0.475*44/12</f>
        <v>13.069576415784793</v>
      </c>
      <c r="DH139" s="21">
        <f>EXP(-LN(2)/2)*DH138+(1-EXP(-LN(2)/2))/(LN(2)/2)*DB139*DE139*VLOOKUP('Données projet'!$B$13,Paramètres!$A$1:$I$89,3,0)*0.475*44/12</f>
        <v>4.0007090170529662E-2</v>
      </c>
      <c r="DI139" s="22">
        <f t="shared" si="123"/>
        <v>74.056448158055233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-1.7053025658242404E-13</v>
      </c>
      <c r="DP139" s="17">
        <f>DO139*VLOOKUP('Données projet'!$B$14,Paramètres!$A$1:$I$89,3,0)*VLOOKUP('Données projet'!$B$14,Paramètres!$A$1:$I$89,5,0)</f>
        <v>-1.4897523215040567E-13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324.86930206492627</v>
      </c>
      <c r="DU139" s="59">
        <f t="shared" si="152"/>
        <v>317.03005098025352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15.19925473086577</v>
      </c>
      <c r="EB139" s="21">
        <f>EXP(-LN(2)/25)*EB138+(1-EXP(-LN(2)/25))/(LN(2)/25)*Calculateur!DW139*Calculateur!DY139*VLOOKUP('Données projet'!$B$14,Paramètres!$A$1:$I$89,3,0)*0.475*44/12</f>
        <v>9.8466356670827349</v>
      </c>
      <c r="EC139" s="21">
        <f>EXP(-LN(2)/2)*EC138+(1-EXP(-LN(2)/2))/(LN(2)/2)*DW139*DZ139*VLOOKUP('Données projet'!$B$14,Paramètres!$A$1:$I$89,3,0)*0.475*44/12</f>
        <v>2.1262470267465001E-7</v>
      </c>
      <c r="ED139" s="22">
        <f t="shared" si="126"/>
        <v>25.045890610573206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302.00825291248458</v>
      </c>
      <c r="T140" s="59">
        <f t="shared" si="142"/>
        <v>307.35115839449355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30.223145248567647</v>
      </c>
      <c r="AA140" s="21">
        <f>EXP(-LN(2)/25)*AA139+(1-EXP(-LN(2)/25))/(LN(2)/25)*Calculateur!V140*Calculateur!X140*VLOOKUP('Données projet'!$B$9,Paramètres!$A$1:$I$89,3,0)*0.475*44/12</f>
        <v>5.7284402802299335</v>
      </c>
      <c r="AB140" s="21">
        <f>EXP(-LN(2)/2)*AB139+(1-EXP(-LN(2)/2))/(LN(2)/2)*V140*Y140*VLOOKUP('Données projet'!$B$9,Paramètres!$A$1:$I$89,3,0)*0.475*44/12</f>
        <v>1.5424718305484093E-10</v>
      </c>
      <c r="AC140" s="22">
        <f t="shared" si="111"/>
        <v>35.951585528951824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5.0249582272954292E-14</v>
      </c>
      <c r="AK140" s="13">
        <f t="shared" si="143"/>
        <v>8.1784820119191593E-13</v>
      </c>
      <c r="AL140" s="20">
        <f t="shared" si="112"/>
        <v>1.5119369728679821E-12</v>
      </c>
      <c r="AM140" s="59">
        <f t="shared" si="113"/>
        <v>293.33333333333485</v>
      </c>
      <c r="AN140" s="59">
        <f ca="1">AVERAGE(OFFSET($AM$3,0,0,'Données projet'!$E$10+1,1))-AVERAGE(OFFSET($H$3,0,0,'Données projet'!$E$10+1,1))</f>
        <v>394.37446333077651</v>
      </c>
      <c r="AO140" s="59">
        <f t="shared" si="144"/>
        <v>335.44327961212963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66.827029147675319</v>
      </c>
      <c r="AV140" s="21">
        <f>EXP(-LN(2)/25)*AV139+(1-EXP(-LN(2)/25))/(LN(2)/25)*Calculateur!AQ140*Calculateur!AS140*VLOOKUP('Données projet'!$B$10,Paramètres!$A$1:$I$89,3,0)*0.475*44/12</f>
        <v>14.803208993197563</v>
      </c>
      <c r="AW140" s="21">
        <f>EXP(-LN(2)/2)*AW139+(1-EXP(-LN(2)/2))/(LN(2)/2)*AQ140*AT140*VLOOKUP('Données projet'!$B$10,Paramètres!$A$1:$I$89,3,0)*0.475*44/12</f>
        <v>2.0705664333988841E-7</v>
      </c>
      <c r="AX140" s="21">
        <f t="shared" si="114"/>
        <v>81.63023834792952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7.7849999999999966</v>
      </c>
      <c r="BC140" s="12">
        <f t="array" ref="BC140">INDEX(BB:BB,MIN(IF(ISNUMBER(BB140:BB336),ROW(BB140:BB336),"")))</f>
        <v>7.7849999999999966</v>
      </c>
      <c r="BD140" s="12">
        <f>IF('Données projet'!$A$88&gt;35,BD139+BC140-BL139,IF(A140&lt;'Données projet'!$A$88,$BA$205^A140,IF(A140='Données projet'!$A$88,'Données projet'!$B$88,BD139+BC140-BL139)))</f>
        <v>428.0300000000002</v>
      </c>
      <c r="BE140" s="13">
        <f>BD140*VLOOKUP('Données projet'!$B$11,Paramètres!$A$1:$I$89,3,0)*VLOOKUP('Données projet'!$B$11,Paramètres!$A$1:$I$89,5,0)</f>
        <v>387.28154400000017</v>
      </c>
      <c r="BF140" s="13">
        <f t="shared" si="145"/>
        <v>89.193364470196371</v>
      </c>
      <c r="BG140" s="20">
        <f t="shared" si="115"/>
        <v>829.86046558559235</v>
      </c>
      <c r="BH140" s="59">
        <f t="shared" si="116"/>
        <v>1123.1937989189257</v>
      </c>
      <c r="BI140" s="59">
        <f ca="1">AVERAGE(OFFSET($BH$3,0,0,'Données projet'!$E$11+1,1))-AVERAGE(OFFSET($H$3,0,0,'Données projet'!$E$11+1,1))</f>
        <v>490.06222615476065</v>
      </c>
      <c r="BJ140" s="59">
        <f t="shared" si="146"/>
        <v>310.43914804089906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74.669999999999959</v>
      </c>
      <c r="BM140" s="16">
        <f>IF(ISNA(VLOOKUP(A140,'Données projet'!$A$87:$I$107,5,0)),0%,VLOOKUP(A140,'Données projet'!$A$87:$I$107,5,0)*VLOOKUP('Données projet'!$B$11,Paramètres!$A$1:$I$89,7,0))</f>
        <v>0.215</v>
      </c>
      <c r="BN140" s="16">
        <f>IF(ISNA(VLOOKUP(A140,'Données projet'!$A$87:$I$107,6,0)),0%,VLOOKUP(A140,'Données projet'!$A$87:$I$107,6,0)*VLOOKUP('Données projet'!$B$11,Paramètres!$A$1:$I$89,7,0))</f>
        <v>8.6000000000000007E-2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48.976894131933548</v>
      </c>
      <c r="BQ140" s="21">
        <f>EXP(-LN(2)/25)*BQ139+(1-EXP(-LN(2)/25))/(LN(2)/25)*Calculateur!BL140*Calculateur!BN140*VLOOKUP('Données projet'!$B$11,Paramètres!$A$1:$I$89,3,0)*0.475*44/12</f>
        <v>21.931826383274185</v>
      </c>
      <c r="BR140" s="21">
        <f>EXP(-LN(2)/2)*BR139+(1-EXP(-LN(2)/2))/(LN(2)/2)*BL140*BO140*VLOOKUP('Données projet'!$B$11,Paramètres!$A$1:$I$89,3,0)*0.475*44/12</f>
        <v>3.7908583279762275E-5</v>
      </c>
      <c r="BS140" s="22">
        <f t="shared" si="117"/>
        <v>70.908758423791014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353.37479213497227</v>
      </c>
      <c r="CE140" s="59">
        <f t="shared" si="148"/>
        <v>345.4750813433123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16.81143829342896</v>
      </c>
      <c r="CL140" s="21">
        <f>EXP(-LN(2)/25)*CL139+(1-EXP(-LN(2)/25))/(LN(2)/25)*Calculateur!CG140*Calculateur!CI140*VLOOKUP('Données projet'!$B$12,Paramètres!$A$1:$I$89,3,0)*0.475*44/12</f>
        <v>10.567444218270902</v>
      </c>
      <c r="CM140" s="21">
        <f>EXP(-LN(2)/2)*CM139+(1-EXP(-LN(2)/2))/(LN(2)/2)*CG140*CJ140*VLOOKUP('Données projet'!$B$12,Paramètres!$A$1:$I$89,3,0)*0.475*44/12</f>
        <v>1.6442887304073507E-7</v>
      </c>
      <c r="CN140" s="22">
        <f t="shared" si="120"/>
        <v>27.378882676128736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-7.3896444519050419E-13</v>
      </c>
      <c r="CU140" s="17">
        <f>CT140*VLOOKUP('Données projet'!$B$13,Paramètres!$A$1:$I$89,3,0)*VLOOKUP('Données projet'!$B$13,Paramètres!$A$1:$I$89,5,0)</f>
        <v>-3.5544189813663252E-13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314.18760071409162</v>
      </c>
      <c r="CZ140" s="59">
        <f t="shared" si="150"/>
        <v>267.72650645201787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59.751733810189052</v>
      </c>
      <c r="DG140" s="21">
        <f>EXP(-LN(2)/25)*DG139+(1-EXP(-LN(2)/25))/(LN(2)/25)*Calculateur!DB140*Calculateur!DD140*VLOOKUP('Données projet'!$B$13,Paramètres!$A$1:$I$89,3,0)*0.475*44/12</f>
        <v>12.712188161396005</v>
      </c>
      <c r="DH140" s="21">
        <f>EXP(-LN(2)/2)*DH139+(1-EXP(-LN(2)/2))/(LN(2)/2)*DB140*DE140*VLOOKUP('Données projet'!$B$13,Paramètres!$A$1:$I$89,3,0)*0.475*44/12</f>
        <v>2.8289284755123194E-2</v>
      </c>
      <c r="DI140" s="22">
        <f t="shared" si="123"/>
        <v>72.49221125634017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-1.7053025658242404E-13</v>
      </c>
      <c r="DP140" s="17">
        <f>DO140*VLOOKUP('Données projet'!$B$14,Paramètres!$A$1:$I$89,3,0)*VLOOKUP('Données projet'!$B$14,Paramètres!$A$1:$I$89,5,0)</f>
        <v>-1.4897523215040567E-13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324.86930206492627</v>
      </c>
      <c r="DU140" s="59">
        <f t="shared" si="152"/>
        <v>317.03005098025352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14.90120661622348</v>
      </c>
      <c r="EB140" s="21">
        <f>EXP(-LN(2)/25)*EB139+(1-EXP(-LN(2)/25))/(LN(2)/25)*Calculateur!DW140*Calculateur!DY140*VLOOKUP('Données projet'!$B$14,Paramètres!$A$1:$I$89,3,0)*0.475*44/12</f>
        <v>9.5773788969542917</v>
      </c>
      <c r="EC140" s="21">
        <f>EXP(-LN(2)/2)*EC139+(1-EXP(-LN(2)/2))/(LN(2)/2)*DW140*DZ140*VLOOKUP('Données projet'!$B$14,Paramètres!$A$1:$I$89,3,0)*0.475*44/12</f>
        <v>1.5034836910901847E-7</v>
      </c>
      <c r="ED140" s="22">
        <f t="shared" si="126"/>
        <v>24.47858566352614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302.00825291248458</v>
      </c>
      <c r="T141" s="59">
        <f t="shared" si="142"/>
        <v>307.35115839449355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29.630487804541602</v>
      </c>
      <c r="AA141" s="21">
        <f>EXP(-LN(2)/25)*AA140+(1-EXP(-LN(2)/25))/(LN(2)/25)*Calculateur!V141*Calculateur!X141*VLOOKUP('Données projet'!$B$9,Paramètres!$A$1:$I$89,3,0)*0.475*44/12</f>
        <v>5.5717957795214641</v>
      </c>
      <c r="AB141" s="21">
        <f>EXP(-LN(2)/2)*AB140+(1-EXP(-LN(2)/2))/(LN(2)/2)*V141*Y141*VLOOKUP('Données projet'!$B$9,Paramètres!$A$1:$I$89,3,0)*0.475*44/12</f>
        <v>1.0906922911700075E-10</v>
      </c>
      <c r="AC141" s="22">
        <f t="shared" si="111"/>
        <v>35.202283584172136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5.0249582272954292E-14</v>
      </c>
      <c r="AK141" s="13">
        <f t="shared" si="143"/>
        <v>8.1784820119191593E-13</v>
      </c>
      <c r="AL141" s="20">
        <f t="shared" si="112"/>
        <v>1.5119369728679821E-12</v>
      </c>
      <c r="AM141" s="59">
        <f t="shared" si="113"/>
        <v>293.33333333333485</v>
      </c>
      <c r="AN141" s="59">
        <f ca="1">AVERAGE(OFFSET($AM$3,0,0,'Données projet'!$E$10+1,1))-AVERAGE(OFFSET($H$3,0,0,'Données projet'!$E$10+1,1))</f>
        <v>394.37446333077651</v>
      </c>
      <c r="AO141" s="59">
        <f t="shared" si="144"/>
        <v>335.44327961212963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65.516591866552417</v>
      </c>
      <c r="AV141" s="21">
        <f>EXP(-LN(2)/25)*AV140+(1-EXP(-LN(2)/25))/(LN(2)/25)*Calculateur!AQ141*Calculateur!AS141*VLOOKUP('Données projet'!$B$10,Paramètres!$A$1:$I$89,3,0)*0.475*44/12</f>
        <v>14.398414464811648</v>
      </c>
      <c r="AW141" s="21">
        <f>EXP(-LN(2)/2)*AW140+(1-EXP(-LN(2)/2))/(LN(2)/2)*AQ141*AT141*VLOOKUP('Données projet'!$B$10,Paramètres!$A$1:$I$89,3,0)*0.475*44/12</f>
        <v>1.4641115659535948E-7</v>
      </c>
      <c r="AX141" s="21">
        <f t="shared" si="114"/>
        <v>79.915006477775222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7.5999999999999988</v>
      </c>
      <c r="BD141" s="12">
        <f>IF('Données projet'!$A$88&gt;35,BD140+BC141-BL140,IF(A141&lt;'Données projet'!$A$88,$BA$205^A141,IF(A141='Données projet'!$A$88,'Données projet'!$B$88,BD140+BC141-BL140)))</f>
        <v>360.96000000000026</v>
      </c>
      <c r="BE141" s="13">
        <f>BD141*VLOOKUP('Données projet'!$B$11,Paramètres!$A$1:$I$89,3,0)*VLOOKUP('Données projet'!$B$11,Paramètres!$A$1:$I$89,5,0)</f>
        <v>326.59660800000023</v>
      </c>
      <c r="BF141" s="13">
        <f t="shared" si="145"/>
        <v>76.724272012237279</v>
      </c>
      <c r="BG141" s="20">
        <f t="shared" si="115"/>
        <v>702.45053268798029</v>
      </c>
      <c r="BH141" s="59">
        <f t="shared" si="116"/>
        <v>995.78386602131354</v>
      </c>
      <c r="BI141" s="59">
        <f ca="1">AVERAGE(OFFSET($BH$3,0,0,'Données projet'!$E$11+1,1))-AVERAGE(OFFSET($H$3,0,0,'Données projet'!$E$11+1,1))</f>
        <v>490.06222615476065</v>
      </c>
      <c r="BJ141" s="59">
        <f t="shared" si="146"/>
        <v>310.43914804089906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48.016487110962039</v>
      </c>
      <c r="BQ141" s="21">
        <f>EXP(-LN(2)/25)*BQ140+(1-EXP(-LN(2)/25))/(LN(2)/25)*Calculateur!BL141*Calculateur!BN141*VLOOKUP('Données projet'!$B$11,Paramètres!$A$1:$I$89,3,0)*0.475*44/12</f>
        <v>21.332099437478927</v>
      </c>
      <c r="BR141" s="21">
        <f>EXP(-LN(2)/2)*BR140+(1-EXP(-LN(2)/2))/(LN(2)/2)*BL141*BO141*VLOOKUP('Données projet'!$B$11,Paramètres!$A$1:$I$89,3,0)*0.475*44/12</f>
        <v>2.6805416302294878E-5</v>
      </c>
      <c r="BS141" s="22">
        <f t="shared" si="117"/>
        <v>69.34861335385726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353.37479213497227</v>
      </c>
      <c r="CE141" s="59">
        <f t="shared" si="148"/>
        <v>345.4750813433123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16.481776242459681</v>
      </c>
      <c r="CL141" s="21">
        <f>EXP(-LN(2)/25)*CL140+(1-EXP(-LN(2)/25))/(LN(2)/25)*Calculateur!CG141*Calculateur!CI141*VLOOKUP('Données projet'!$B$12,Paramètres!$A$1:$I$89,3,0)*0.475*44/12</f>
        <v>10.278476900404545</v>
      </c>
      <c r="CM141" s="21">
        <f>EXP(-LN(2)/2)*CM140+(1-EXP(-LN(2)/2))/(LN(2)/2)*CG141*CJ141*VLOOKUP('Données projet'!$B$12,Paramètres!$A$1:$I$89,3,0)*0.475*44/12</f>
        <v>1.1626877114996566E-7</v>
      </c>
      <c r="CN141" s="22">
        <f t="shared" si="120"/>
        <v>26.760253259132998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-7.3896444519050419E-13</v>
      </c>
      <c r="CU141" s="17">
        <f>CT141*VLOOKUP('Données projet'!$B$13,Paramètres!$A$1:$I$89,3,0)*VLOOKUP('Données projet'!$B$13,Paramètres!$A$1:$I$89,5,0)</f>
        <v>-3.5544189813663252E-13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314.18760071409162</v>
      </c>
      <c r="CZ141" s="59">
        <f t="shared" si="150"/>
        <v>267.72650645201787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58.580038755130225</v>
      </c>
      <c r="DG141" s="21">
        <f>EXP(-LN(2)/25)*DG140+(1-EXP(-LN(2)/25))/(LN(2)/25)*Calculateur!DB141*Calculateur!DD141*VLOOKUP('Données projet'!$B$13,Paramètres!$A$1:$I$89,3,0)*0.475*44/12</f>
        <v>12.364572707617711</v>
      </c>
      <c r="DH141" s="21">
        <f>EXP(-LN(2)/2)*DH140+(1-EXP(-LN(2)/2))/(LN(2)/2)*DB141*DE141*VLOOKUP('Données projet'!$B$13,Paramètres!$A$1:$I$89,3,0)*0.475*44/12</f>
        <v>2.0003545085264834E-2</v>
      </c>
      <c r="DI141" s="22">
        <f t="shared" si="123"/>
        <v>70.964615007833189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-1.7053025658242404E-13</v>
      </c>
      <c r="DP141" s="17">
        <f>DO141*VLOOKUP('Données projet'!$B$14,Paramètres!$A$1:$I$89,3,0)*VLOOKUP('Données projet'!$B$14,Paramètres!$A$1:$I$89,5,0)</f>
        <v>-1.4897523215040567E-13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324.86930206492627</v>
      </c>
      <c r="DU141" s="59">
        <f t="shared" si="152"/>
        <v>317.03005098025352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14.609003043317925</v>
      </c>
      <c r="EB141" s="21">
        <f>EXP(-LN(2)/25)*EB140+(1-EXP(-LN(2)/25))/(LN(2)/25)*Calculateur!DW141*Calculateur!DY141*VLOOKUP('Données projet'!$B$14,Paramètres!$A$1:$I$89,3,0)*0.475*44/12</f>
        <v>9.3154849673646094</v>
      </c>
      <c r="EC141" s="21">
        <f>EXP(-LN(2)/2)*EC140+(1-EXP(-LN(2)/2))/(LN(2)/2)*DW141*DZ141*VLOOKUP('Données projet'!$B$14,Paramètres!$A$1:$I$89,3,0)*0.475*44/12</f>
        <v>1.06312351337325E-7</v>
      </c>
      <c r="ED141" s="22">
        <f t="shared" si="126"/>
        <v>23.924488116994887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302.00825291248458</v>
      </c>
      <c r="T142" s="59">
        <f t="shared" si="142"/>
        <v>307.35115839449355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29.049452011507558</v>
      </c>
      <c r="AA142" s="21">
        <f>EXP(-LN(2)/25)*AA141+(1-EXP(-LN(2)/25))/(LN(2)/25)*Calculateur!V142*Calculateur!X142*VLOOKUP('Données projet'!$B$9,Paramètres!$A$1:$I$89,3,0)*0.475*44/12</f>
        <v>5.4194347309224442</v>
      </c>
      <c r="AB142" s="21">
        <f>EXP(-LN(2)/2)*AB141+(1-EXP(-LN(2)/2))/(LN(2)/2)*V142*Y142*VLOOKUP('Données projet'!$B$9,Paramètres!$A$1:$I$89,3,0)*0.475*44/12</f>
        <v>7.7123591527420465E-11</v>
      </c>
      <c r="AC142" s="22">
        <f t="shared" si="111"/>
        <v>34.468886742507124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5.0249582272954292E-14</v>
      </c>
      <c r="AK142" s="13">
        <f t="shared" si="143"/>
        <v>8.1784820119191593E-13</v>
      </c>
      <c r="AL142" s="20">
        <f t="shared" si="112"/>
        <v>1.5119369728679821E-12</v>
      </c>
      <c r="AM142" s="59">
        <f t="shared" si="113"/>
        <v>293.33333333333485</v>
      </c>
      <c r="AN142" s="59">
        <f ca="1">AVERAGE(OFFSET($AM$3,0,0,'Données projet'!$E$10+1,1))-AVERAGE(OFFSET($H$3,0,0,'Données projet'!$E$10+1,1))</f>
        <v>394.37446333077651</v>
      </c>
      <c r="AO142" s="59">
        <f t="shared" si="144"/>
        <v>335.44327961212963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64.231851461224522</v>
      </c>
      <c r="AV142" s="21">
        <f>EXP(-LN(2)/25)*AV141+(1-EXP(-LN(2)/25))/(LN(2)/25)*Calculateur!AQ142*Calculateur!AS142*VLOOKUP('Données projet'!$B$10,Paramètres!$A$1:$I$89,3,0)*0.475*44/12</f>
        <v>14.004689064091664</v>
      </c>
      <c r="AW142" s="21">
        <f>EXP(-LN(2)/2)*AW141+(1-EXP(-LN(2)/2))/(LN(2)/2)*AQ142*AT142*VLOOKUP('Données projet'!$B$10,Paramètres!$A$1:$I$89,3,0)*0.475*44/12</f>
        <v>1.035283216699442E-7</v>
      </c>
      <c r="AX142" s="21">
        <f t="shared" si="114"/>
        <v>78.236540628844509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7.5999999999999988</v>
      </c>
      <c r="BD142" s="12">
        <f>IF('Données projet'!$A$88&gt;35,BD141+BC142-BL141,IF(A142&lt;'Données projet'!$A$88,$BA$205^A142,IF(A142='Données projet'!$A$88,'Données projet'!$B$88,BD141+BC142-BL141)))</f>
        <v>368.56000000000029</v>
      </c>
      <c r="BE142" s="13">
        <f>BD142*VLOOKUP('Données projet'!$B$11,Paramètres!$A$1:$I$89,3,0)*VLOOKUP('Données projet'!$B$11,Paramètres!$A$1:$I$89,5,0)</f>
        <v>333.47308800000025</v>
      </c>
      <c r="BF142" s="13">
        <f t="shared" si="145"/>
        <v>78.149927586670955</v>
      </c>
      <c r="BG142" s="20">
        <f t="shared" si="115"/>
        <v>716.91008548011894</v>
      </c>
      <c r="BH142" s="59">
        <f t="shared" si="116"/>
        <v>1010.2434188134523</v>
      </c>
      <c r="BI142" s="59">
        <f ca="1">AVERAGE(OFFSET($BH$3,0,0,'Données projet'!$E$11+1,1))-AVERAGE(OFFSET($H$3,0,0,'Données projet'!$E$11+1,1))</f>
        <v>490.06222615476065</v>
      </c>
      <c r="BJ142" s="59">
        <f t="shared" si="146"/>
        <v>310.43914804089906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47.074913085881342</v>
      </c>
      <c r="BQ142" s="21">
        <f>EXP(-LN(2)/25)*BQ141+(1-EXP(-LN(2)/25))/(LN(2)/25)*Calculateur!BL142*Calculateur!BN142*VLOOKUP('Données projet'!$B$11,Paramètres!$A$1:$I$89,3,0)*0.475*44/12</f>
        <v>20.74877205655471</v>
      </c>
      <c r="BR142" s="21">
        <f>EXP(-LN(2)/2)*BR141+(1-EXP(-LN(2)/2))/(LN(2)/2)*BL142*BO142*VLOOKUP('Données projet'!$B$11,Paramètres!$A$1:$I$89,3,0)*0.475*44/12</f>
        <v>1.8954291639881138E-5</v>
      </c>
      <c r="BS142" s="22">
        <f t="shared" si="117"/>
        <v>67.823704096727681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353.37479213497227</v>
      </c>
      <c r="CE142" s="59">
        <f t="shared" si="148"/>
        <v>345.4750813433123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16.158578663235915</v>
      </c>
      <c r="CL142" s="21">
        <f>EXP(-LN(2)/25)*CL141+(1-EXP(-LN(2)/25))/(LN(2)/25)*Calculateur!CG142*Calculateur!CI142*VLOOKUP('Données projet'!$B$12,Paramètres!$A$1:$I$89,3,0)*0.475*44/12</f>
        <v>9.9974114090413746</v>
      </c>
      <c r="CM142" s="21">
        <f>EXP(-LN(2)/2)*CM141+(1-EXP(-LN(2)/2))/(LN(2)/2)*CG142*CJ142*VLOOKUP('Données projet'!$B$12,Paramètres!$A$1:$I$89,3,0)*0.475*44/12</f>
        <v>8.2214436520367535E-8</v>
      </c>
      <c r="CN142" s="22">
        <f t="shared" si="120"/>
        <v>26.155990154491729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-7.3896444519050419E-13</v>
      </c>
      <c r="CU142" s="17">
        <f>CT142*VLOOKUP('Données projet'!$B$13,Paramètres!$A$1:$I$89,3,0)*VLOOKUP('Données projet'!$B$13,Paramètres!$A$1:$I$89,5,0)</f>
        <v>-3.5544189813663252E-13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314.18760071409162</v>
      </c>
      <c r="CZ142" s="59">
        <f t="shared" si="150"/>
        <v>267.72650645201787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57.431319925437691</v>
      </c>
      <c r="DG142" s="21">
        <f>EXP(-LN(2)/25)*DG141+(1-EXP(-LN(2)/25))/(LN(2)/25)*Calculateur!DB142*Calculateur!DD142*VLOOKUP('Données projet'!$B$13,Paramètres!$A$1:$I$89,3,0)*0.475*44/12</f>
        <v>12.026462816703285</v>
      </c>
      <c r="DH142" s="21">
        <f>EXP(-LN(2)/2)*DH141+(1-EXP(-LN(2)/2))/(LN(2)/2)*DB142*DE142*VLOOKUP('Données projet'!$B$13,Paramètres!$A$1:$I$89,3,0)*0.475*44/12</f>
        <v>1.4144642377561601E-2</v>
      </c>
      <c r="DI142" s="22">
        <f t="shared" si="123"/>
        <v>69.471927384518537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-1.7053025658242404E-13</v>
      </c>
      <c r="DP142" s="17">
        <f>DO142*VLOOKUP('Données projet'!$B$14,Paramètres!$A$1:$I$89,3,0)*VLOOKUP('Données projet'!$B$14,Paramètres!$A$1:$I$89,5,0)</f>
        <v>-1.4897523215040567E-13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324.86930206492627</v>
      </c>
      <c r="DU142" s="59">
        <f t="shared" si="152"/>
        <v>317.03005098025352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14.322529404250467</v>
      </c>
      <c r="EB142" s="21">
        <f>EXP(-LN(2)/25)*EB141+(1-EXP(-LN(2)/25))/(LN(2)/25)*Calculateur!DW142*Calculateur!DY142*VLOOKUP('Données projet'!$B$14,Paramètres!$A$1:$I$89,3,0)*0.475*44/12</f>
        <v>9.0607525410519614</v>
      </c>
      <c r="EC142" s="21">
        <f>EXP(-LN(2)/2)*EC141+(1-EXP(-LN(2)/2))/(LN(2)/2)*DW142*DZ142*VLOOKUP('Données projet'!$B$14,Paramètres!$A$1:$I$89,3,0)*0.475*44/12</f>
        <v>7.5174184554509233E-8</v>
      </c>
      <c r="ED142" s="22">
        <f t="shared" si="126"/>
        <v>23.383282020476614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302.00825291248458</v>
      </c>
      <c r="T143" s="59">
        <f t="shared" si="142"/>
        <v>307.35115839449355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28.479809975978075</v>
      </c>
      <c r="AA143" s="21">
        <f>EXP(-LN(2)/25)*AA142+(1-EXP(-LN(2)/25))/(LN(2)/25)*Calculateur!V143*Calculateur!X143*VLOOKUP('Données projet'!$B$9,Paramètres!$A$1:$I$89,3,0)*0.475*44/12</f>
        <v>5.2712400032096838</v>
      </c>
      <c r="AB143" s="21">
        <f>EXP(-LN(2)/2)*AB142+(1-EXP(-LN(2)/2))/(LN(2)/2)*V143*Y143*VLOOKUP('Données projet'!$B$9,Paramètres!$A$1:$I$89,3,0)*0.475*44/12</f>
        <v>5.4534614558500374E-11</v>
      </c>
      <c r="AC143" s="22">
        <f t="shared" si="111"/>
        <v>33.751049979242289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5.0249582272954292E-14</v>
      </c>
      <c r="AK143" s="13">
        <f t="shared" si="143"/>
        <v>8.1784820119191593E-13</v>
      </c>
      <c r="AL143" s="20">
        <f t="shared" si="112"/>
        <v>1.5119369728679821E-12</v>
      </c>
      <c r="AM143" s="59">
        <f t="shared" si="113"/>
        <v>293.33333333333485</v>
      </c>
      <c r="AN143" s="59">
        <f ca="1">AVERAGE(OFFSET($AM$3,0,0,'Données projet'!$E$10+1,1))-AVERAGE(OFFSET($H$3,0,0,'Données projet'!$E$10+1,1))</f>
        <v>394.37446333077651</v>
      </c>
      <c r="AO143" s="59">
        <f t="shared" si="144"/>
        <v>335.44327961212963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62.972304031630841</v>
      </c>
      <c r="AV143" s="21">
        <f>EXP(-LN(2)/25)*AV142+(1-EXP(-LN(2)/25))/(LN(2)/25)*Calculateur!AQ143*Calculateur!AS143*VLOOKUP('Données projet'!$B$10,Paramètres!$A$1:$I$89,3,0)*0.475*44/12</f>
        <v>13.621730105159488</v>
      </c>
      <c r="AW143" s="21">
        <f>EXP(-LN(2)/2)*AW142+(1-EXP(-LN(2)/2))/(LN(2)/2)*AQ143*AT143*VLOOKUP('Données projet'!$B$10,Paramètres!$A$1:$I$89,3,0)*0.475*44/12</f>
        <v>7.3205578297679742E-8</v>
      </c>
      <c r="AX143" s="21">
        <f t="shared" si="114"/>
        <v>76.594034209995911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7.5999999999999988</v>
      </c>
      <c r="BD143" s="12">
        <f>IF('Données projet'!$A$88&gt;35,BD142+BC143-BL142,IF(A143&lt;'Données projet'!$A$88,$BA$205^A143,IF(A143='Données projet'!$A$88,'Données projet'!$B$88,BD142+BC143-BL142)))</f>
        <v>376.16000000000031</v>
      </c>
      <c r="BE143" s="13">
        <f>BD143*VLOOKUP('Données projet'!$B$11,Paramètres!$A$1:$I$89,3,0)*VLOOKUP('Données projet'!$B$11,Paramètres!$A$1:$I$89,5,0)</f>
        <v>340.34956800000026</v>
      </c>
      <c r="BF143" s="13">
        <f t="shared" si="145"/>
        <v>79.572165063820393</v>
      </c>
      <c r="BG143" s="20">
        <f t="shared" si="115"/>
        <v>731.36368508615408</v>
      </c>
      <c r="BH143" s="59">
        <f t="shared" si="116"/>
        <v>1024.6970184194874</v>
      </c>
      <c r="BI143" s="59">
        <f ca="1">AVERAGE(OFFSET($BH$3,0,0,'Données projet'!$E$11+1,1))-AVERAGE(OFFSET($H$3,0,0,'Données projet'!$E$11+1,1))</f>
        <v>490.06222615476065</v>
      </c>
      <c r="BJ143" s="59">
        <f t="shared" si="146"/>
        <v>310.43914804089906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46.151802753129033</v>
      </c>
      <c r="BQ143" s="21">
        <f>EXP(-LN(2)/25)*BQ142+(1-EXP(-LN(2)/25))/(LN(2)/25)*Calculateur!BL143*Calculateur!BN143*VLOOKUP('Données projet'!$B$11,Paramètres!$A$1:$I$89,3,0)*0.475*44/12</f>
        <v>20.181395793537721</v>
      </c>
      <c r="BR143" s="21">
        <f>EXP(-LN(2)/2)*BR142+(1-EXP(-LN(2)/2))/(LN(2)/2)*BL143*BO143*VLOOKUP('Données projet'!$B$11,Paramètres!$A$1:$I$89,3,0)*0.475*44/12</f>
        <v>1.3402708151147439E-5</v>
      </c>
      <c r="BS143" s="22">
        <f t="shared" si="117"/>
        <v>66.333211949374899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353.37479213497227</v>
      </c>
      <c r="CE143" s="59">
        <f t="shared" si="148"/>
        <v>345.4750813433123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15.841718791409667</v>
      </c>
      <c r="CL143" s="21">
        <f>EXP(-LN(2)/25)*CL142+(1-EXP(-LN(2)/25))/(LN(2)/25)*Calculateur!CG143*Calculateur!CI143*VLOOKUP('Données projet'!$B$12,Paramètres!$A$1:$I$89,3,0)*0.475*44/12</f>
        <v>9.7240316683201211</v>
      </c>
      <c r="CM143" s="21">
        <f>EXP(-LN(2)/2)*CM142+(1-EXP(-LN(2)/2))/(LN(2)/2)*CG143*CJ143*VLOOKUP('Données projet'!$B$12,Paramètres!$A$1:$I$89,3,0)*0.475*44/12</f>
        <v>5.8134385574982829E-8</v>
      </c>
      <c r="CN143" s="22">
        <f t="shared" si="120"/>
        <v>25.565750517864174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-7.3896444519050419E-13</v>
      </c>
      <c r="CU143" s="17">
        <f>CT143*VLOOKUP('Données projet'!$B$13,Paramètres!$A$1:$I$89,3,0)*VLOOKUP('Données projet'!$B$13,Paramètres!$A$1:$I$89,5,0)</f>
        <v>-3.5544189813663252E-13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314.18760071409162</v>
      </c>
      <c r="CZ143" s="59">
        <f t="shared" si="150"/>
        <v>267.72650645201787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56.305126771346124</v>
      </c>
      <c r="DG143" s="21">
        <f>EXP(-LN(2)/25)*DG142+(1-EXP(-LN(2)/25))/(LN(2)/25)*Calculateur!DB143*Calculateur!DD143*VLOOKUP('Données projet'!$B$13,Paramètres!$A$1:$I$89,3,0)*0.475*44/12</f>
        <v>11.697598558536342</v>
      </c>
      <c r="DH143" s="21">
        <f>EXP(-LN(2)/2)*DH142+(1-EXP(-LN(2)/2))/(LN(2)/2)*DB143*DE143*VLOOKUP('Données projet'!$B$13,Paramètres!$A$1:$I$89,3,0)*0.475*44/12</f>
        <v>1.0001772542632419E-2</v>
      </c>
      <c r="DI143" s="22">
        <f t="shared" si="123"/>
        <v>68.012727102425103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-1.7053025658242404E-13</v>
      </c>
      <c r="DP143" s="17">
        <f>DO143*VLOOKUP('Données projet'!$B$14,Paramètres!$A$1:$I$89,3,0)*VLOOKUP('Données projet'!$B$14,Paramètres!$A$1:$I$89,5,0)</f>
        <v>-1.4897523215040567E-13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324.86930206492627</v>
      </c>
      <c r="DU143" s="59">
        <f t="shared" si="152"/>
        <v>317.03005098025352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14.041673338513455</v>
      </c>
      <c r="EB143" s="21">
        <f>EXP(-LN(2)/25)*EB142+(1-EXP(-LN(2)/25))/(LN(2)/25)*Calculateur!DW143*Calculateur!DY143*VLOOKUP('Données projet'!$B$14,Paramètres!$A$1:$I$89,3,0)*0.475*44/12</f>
        <v>8.8129857863326286</v>
      </c>
      <c r="EC143" s="21">
        <f>EXP(-LN(2)/2)*EC142+(1-EXP(-LN(2)/2))/(LN(2)/2)*DW143*DZ143*VLOOKUP('Données projet'!$B$14,Paramètres!$A$1:$I$89,3,0)*0.475*44/12</f>
        <v>5.3156175668662502E-8</v>
      </c>
      <c r="ED143" s="22">
        <f t="shared" si="126"/>
        <v>22.854659178002258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302.00825291248458</v>
      </c>
      <c r="T144" s="59">
        <f t="shared" si="142"/>
        <v>307.35115839449355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27.921338273317989</v>
      </c>
      <c r="AA144" s="21">
        <f>EXP(-LN(2)/25)*AA143+(1-EXP(-LN(2)/25))/(LN(2)/25)*Calculateur!V144*Calculateur!X144*VLOOKUP('Données projet'!$B$9,Paramètres!$A$1:$I$89,3,0)*0.475*44/12</f>
        <v>5.1270976681194504</v>
      </c>
      <c r="AB144" s="21">
        <f>EXP(-LN(2)/2)*AB143+(1-EXP(-LN(2)/2))/(LN(2)/2)*V144*Y144*VLOOKUP('Données projet'!$B$9,Paramètres!$A$1:$I$89,3,0)*0.475*44/12</f>
        <v>3.8561795763710233E-11</v>
      </c>
      <c r="AC144" s="22">
        <f t="shared" si="111"/>
        <v>33.048435941476001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5.0249582272954292E-14</v>
      </c>
      <c r="AK144" s="13">
        <f t="shared" si="143"/>
        <v>8.1784820119191593E-13</v>
      </c>
      <c r="AL144" s="20">
        <f t="shared" si="112"/>
        <v>1.5119369728679821E-12</v>
      </c>
      <c r="AM144" s="59">
        <f t="shared" si="113"/>
        <v>293.33333333333485</v>
      </c>
      <c r="AN144" s="59">
        <f ca="1">AVERAGE(OFFSET($AM$3,0,0,'Données projet'!$E$10+1,1))-AVERAGE(OFFSET($H$3,0,0,'Données projet'!$E$10+1,1))</f>
        <v>394.37446333077651</v>
      </c>
      <c r="AO144" s="59">
        <f t="shared" si="144"/>
        <v>335.44327961212963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61.737455558883418</v>
      </c>
      <c r="AV144" s="21">
        <f>EXP(-LN(2)/25)*AV143+(1-EXP(-LN(2)/25))/(LN(2)/25)*Calculateur!AQ144*Calculateur!AS144*VLOOKUP('Données projet'!$B$10,Paramètres!$A$1:$I$89,3,0)*0.475*44/12</f>
        <v>13.249243179098249</v>
      </c>
      <c r="AW144" s="21">
        <f>EXP(-LN(2)/2)*AW143+(1-EXP(-LN(2)/2))/(LN(2)/2)*AQ144*AT144*VLOOKUP('Données projet'!$B$10,Paramètres!$A$1:$I$89,3,0)*0.475*44/12</f>
        <v>5.1764160834972102E-8</v>
      </c>
      <c r="AX144" s="21">
        <f t="shared" si="114"/>
        <v>74.98669878974583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7.5999999999999988</v>
      </c>
      <c r="BD144" s="12">
        <f>IF('Données projet'!$A$88&gt;35,BD143+BC144-BL143,IF(A144&lt;'Données projet'!$A$88,$BA$205^A144,IF(A144='Données projet'!$A$88,'Données projet'!$B$88,BD143+BC144-BL143)))</f>
        <v>383.76000000000033</v>
      </c>
      <c r="BE144" s="13">
        <f>BD144*VLOOKUP('Données projet'!$B$11,Paramètres!$A$1:$I$89,3,0)*VLOOKUP('Données projet'!$B$11,Paramètres!$A$1:$I$89,5,0)</f>
        <v>347.22604800000028</v>
      </c>
      <c r="BF144" s="13">
        <f t="shared" si="145"/>
        <v>80.991061462049885</v>
      </c>
      <c r="BG144" s="20">
        <f t="shared" si="115"/>
        <v>745.81146564640403</v>
      </c>
      <c r="BH144" s="59">
        <f t="shared" si="116"/>
        <v>1039.1447989797373</v>
      </c>
      <c r="BI144" s="59">
        <f ca="1">AVERAGE(OFFSET($BH$3,0,0,'Données projet'!$E$11+1,1))-AVERAGE(OFFSET($H$3,0,0,'Données projet'!$E$11+1,1))</f>
        <v>490.06222615476065</v>
      </c>
      <c r="BJ144" s="59">
        <f t="shared" si="146"/>
        <v>310.43914804089906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45.24679405096029</v>
      </c>
      <c r="BQ144" s="21">
        <f>EXP(-LN(2)/25)*BQ143+(1-EXP(-LN(2)/25))/(LN(2)/25)*Calculateur!BL144*Calculateur!BN144*VLOOKUP('Données projet'!$B$11,Paramètres!$A$1:$I$89,3,0)*0.475*44/12</f>
        <v>19.629534464269952</v>
      </c>
      <c r="BR144" s="21">
        <f>EXP(-LN(2)/2)*BR143+(1-EXP(-LN(2)/2))/(LN(2)/2)*BL144*BO144*VLOOKUP('Données projet'!$B$11,Paramètres!$A$1:$I$89,3,0)*0.475*44/12</f>
        <v>9.4771458199405688E-6</v>
      </c>
      <c r="BS144" s="22">
        <f t="shared" si="117"/>
        <v>64.876337992376065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353.37479213497227</v>
      </c>
      <c r="CE144" s="59">
        <f t="shared" si="148"/>
        <v>345.4750813433123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15.531072348404495</v>
      </c>
      <c r="CL144" s="21">
        <f>EXP(-LN(2)/25)*CL143+(1-EXP(-LN(2)/25))/(LN(2)/25)*Calculateur!CG144*Calculateur!CI144*VLOOKUP('Données projet'!$B$12,Paramètres!$A$1:$I$89,3,0)*0.475*44/12</f>
        <v>9.4581275109853067</v>
      </c>
      <c r="CM144" s="21">
        <f>EXP(-LN(2)/2)*CM143+(1-EXP(-LN(2)/2))/(LN(2)/2)*CG144*CJ144*VLOOKUP('Données projet'!$B$12,Paramètres!$A$1:$I$89,3,0)*0.475*44/12</f>
        <v>4.1107218260183768E-8</v>
      </c>
      <c r="CN144" s="22">
        <f t="shared" si="120"/>
        <v>24.989199900497017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-7.3896444519050419E-13</v>
      </c>
      <c r="CU144" s="17">
        <f>CT144*VLOOKUP('Données projet'!$B$13,Paramètres!$A$1:$I$89,3,0)*VLOOKUP('Données projet'!$B$13,Paramètres!$A$1:$I$89,5,0)</f>
        <v>-3.5544189813663252E-13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314.18760071409162</v>
      </c>
      <c r="CZ144" s="59">
        <f t="shared" si="150"/>
        <v>267.72650645201787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55.201017578096291</v>
      </c>
      <c r="DG144" s="21">
        <f>EXP(-LN(2)/25)*DG143+(1-EXP(-LN(2)/25))/(LN(2)/25)*Calculateur!DB144*Calculateur!DD144*VLOOKUP('Données projet'!$B$13,Paramètres!$A$1:$I$89,3,0)*0.475*44/12</f>
        <v>11.377727110803193</v>
      </c>
      <c r="DH144" s="21">
        <f>EXP(-LN(2)/2)*DH143+(1-EXP(-LN(2)/2))/(LN(2)/2)*DB144*DE144*VLOOKUP('Données projet'!$B$13,Paramètres!$A$1:$I$89,3,0)*0.475*44/12</f>
        <v>7.0723211887808012E-3</v>
      </c>
      <c r="DI144" s="22">
        <f t="shared" si="123"/>
        <v>66.585817010088277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-1.7053025658242404E-13</v>
      </c>
      <c r="DP144" s="17">
        <f>DO144*VLOOKUP('Données projet'!$B$14,Paramètres!$A$1:$I$89,3,0)*VLOOKUP('Données projet'!$B$14,Paramètres!$A$1:$I$89,5,0)</f>
        <v>-1.4897523215040567E-13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324.86930206492627</v>
      </c>
      <c r="DU144" s="59">
        <f t="shared" si="152"/>
        <v>317.03005098025352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13.76632468892026</v>
      </c>
      <c r="EB144" s="21">
        <f>EXP(-LN(2)/25)*EB143+(1-EXP(-LN(2)/25))/(LN(2)/25)*Calculateur!DW144*Calculateur!DY144*VLOOKUP('Données projet'!$B$14,Paramètres!$A$1:$I$89,3,0)*0.475*44/12</f>
        <v>8.5719942265505829</v>
      </c>
      <c r="EC144" s="21">
        <f>EXP(-LN(2)/2)*EC143+(1-EXP(-LN(2)/2))/(LN(2)/2)*DW144*DZ144*VLOOKUP('Données projet'!$B$14,Paramètres!$A$1:$I$89,3,0)*0.475*44/12</f>
        <v>3.7587092277254617E-8</v>
      </c>
      <c r="ED144" s="22">
        <f t="shared" si="126"/>
        <v>22.338318953057936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302.00825291248458</v>
      </c>
      <c r="T145" s="59">
        <f t="shared" si="142"/>
        <v>307.35115839449355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27.373817860112965</v>
      </c>
      <c r="AA145" s="21">
        <f>EXP(-LN(2)/25)*AA144+(1-EXP(-LN(2)/25))/(LN(2)/25)*Calculateur!V145*Calculateur!X145*VLOOKUP('Données projet'!$B$9,Paramètres!$A$1:$I$89,3,0)*0.475*44/12</f>
        <v>4.9868969127623757</v>
      </c>
      <c r="AB145" s="21">
        <f>EXP(-LN(2)/2)*AB144+(1-EXP(-LN(2)/2))/(LN(2)/2)*V145*Y145*VLOOKUP('Données projet'!$B$9,Paramètres!$A$1:$I$89,3,0)*0.475*44/12</f>
        <v>2.7267307279250187E-11</v>
      </c>
      <c r="AC145" s="22">
        <f t="shared" si="111"/>
        <v>32.360714772902611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5.0249582272954292E-14</v>
      </c>
      <c r="AK145" s="13">
        <f t="shared" si="143"/>
        <v>8.1784820119191593E-13</v>
      </c>
      <c r="AL145" s="20">
        <f t="shared" si="112"/>
        <v>1.5119369728679821E-12</v>
      </c>
      <c r="AM145" s="59">
        <f t="shared" si="113"/>
        <v>293.33333333333485</v>
      </c>
      <c r="AN145" s="59">
        <f ca="1">AVERAGE(OFFSET($AM$3,0,0,'Données projet'!$E$10+1,1))-AVERAGE(OFFSET($H$3,0,0,'Données projet'!$E$10+1,1))</f>
        <v>394.37446333077651</v>
      </c>
      <c r="AO145" s="59">
        <f t="shared" si="144"/>
        <v>335.44327961212963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60.526821711503374</v>
      </c>
      <c r="AV145" s="21">
        <f>EXP(-LN(2)/25)*AV144+(1-EXP(-LN(2)/25))/(LN(2)/25)*Calculateur!AQ145*Calculateur!AS145*VLOOKUP('Données projet'!$B$10,Paramètres!$A$1:$I$89,3,0)*0.475*44/12</f>
        <v>12.886941927618389</v>
      </c>
      <c r="AW145" s="21">
        <f>EXP(-LN(2)/2)*AW144+(1-EXP(-LN(2)/2))/(LN(2)/2)*AQ145*AT145*VLOOKUP('Données projet'!$B$10,Paramètres!$A$1:$I$89,3,0)*0.475*44/12</f>
        <v>3.6602789148839871E-8</v>
      </c>
      <c r="AX145" s="21">
        <f t="shared" si="114"/>
        <v>73.413763675724553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7.5999999999999988</v>
      </c>
      <c r="BD145" s="12">
        <f>IF('Données projet'!$A$88&gt;35,BD144+BC145-BL144,IF(A145&lt;'Données projet'!$A$88,$BA$205^A145,IF(A145='Données projet'!$A$88,'Données projet'!$B$88,BD144+BC145-BL144)))</f>
        <v>391.36000000000035</v>
      </c>
      <c r="BE145" s="13">
        <f>BD145*VLOOKUP('Données projet'!$B$11,Paramètres!$A$1:$I$89,3,0)*VLOOKUP('Données projet'!$B$11,Paramètres!$A$1:$I$89,5,0)</f>
        <v>354.10252800000029</v>
      </c>
      <c r="BF145" s="13">
        <f t="shared" si="145"/>
        <v>82.406690574717359</v>
      </c>
      <c r="BG145" s="20">
        <f t="shared" si="115"/>
        <v>760.25355568429995</v>
      </c>
      <c r="BH145" s="59">
        <f t="shared" si="116"/>
        <v>1053.5868890176332</v>
      </c>
      <c r="BI145" s="59">
        <f ca="1">AVERAGE(OFFSET($BH$3,0,0,'Données projet'!$E$11+1,1))-AVERAGE(OFFSET($H$3,0,0,'Données projet'!$E$11+1,1))</f>
        <v>490.06222615476065</v>
      </c>
      <c r="BJ145" s="59">
        <f t="shared" si="146"/>
        <v>310.43914804089906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44.359532017440273</v>
      </c>
      <c r="BQ145" s="21">
        <f>EXP(-LN(2)/25)*BQ144+(1-EXP(-LN(2)/25))/(LN(2)/25)*Calculateur!BL145*Calculateur!BN145*VLOOKUP('Données projet'!$B$11,Paramètres!$A$1:$I$89,3,0)*0.475*44/12</f>
        <v>19.092763812072135</v>
      </c>
      <c r="BR145" s="21">
        <f>EXP(-LN(2)/2)*BR144+(1-EXP(-LN(2)/2))/(LN(2)/2)*BL145*BO145*VLOOKUP('Données projet'!$B$11,Paramètres!$A$1:$I$89,3,0)*0.475*44/12</f>
        <v>6.7013540755737194E-6</v>
      </c>
      <c r="BS145" s="22">
        <f t="shared" si="117"/>
        <v>63.452302530866483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353.37479213497227</v>
      </c>
      <c r="CE145" s="59">
        <f t="shared" si="148"/>
        <v>345.4750813433123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15.226517492671032</v>
      </c>
      <c r="CL145" s="21">
        <f>EXP(-LN(2)/25)*CL144+(1-EXP(-LN(2)/25))/(LN(2)/25)*Calculateur!CG145*Calculateur!CI145*VLOOKUP('Données projet'!$B$12,Paramètres!$A$1:$I$89,3,0)*0.475*44/12</f>
        <v>9.1994945168161042</v>
      </c>
      <c r="CM145" s="21">
        <f>EXP(-LN(2)/2)*CM144+(1-EXP(-LN(2)/2))/(LN(2)/2)*CG145*CJ145*VLOOKUP('Données projet'!$B$12,Paramètres!$A$1:$I$89,3,0)*0.475*44/12</f>
        <v>2.9067192787491415E-8</v>
      </c>
      <c r="CN145" s="22">
        <f t="shared" si="120"/>
        <v>24.42601203855433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-7.3896444519050419E-13</v>
      </c>
      <c r="CU145" s="17">
        <f>CT145*VLOOKUP('Données projet'!$B$13,Paramètres!$A$1:$I$89,3,0)*VLOOKUP('Données projet'!$B$13,Paramètres!$A$1:$I$89,5,0)</f>
        <v>-3.5544189813663252E-13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314.18760071409162</v>
      </c>
      <c r="CZ145" s="59">
        <f t="shared" si="150"/>
        <v>267.72650645201787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54.11855929268598</v>
      </c>
      <c r="DG145" s="21">
        <f>EXP(-LN(2)/25)*DG144+(1-EXP(-LN(2)/25))/(LN(2)/25)*Calculateur!DB145*Calculateur!DD145*VLOOKUP('Données projet'!$B$13,Paramètres!$A$1:$I$89,3,0)*0.475*44/12</f>
        <v>11.066602564629614</v>
      </c>
      <c r="DH145" s="21">
        <f>EXP(-LN(2)/2)*DH144+(1-EXP(-LN(2)/2))/(LN(2)/2)*DB145*DE145*VLOOKUP('Données projet'!$B$13,Paramètres!$A$1:$I$89,3,0)*0.475*44/12</f>
        <v>5.0008862713162103E-3</v>
      </c>
      <c r="DI145" s="22">
        <f t="shared" si="123"/>
        <v>65.19016274358691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-1.7053025658242404E-13</v>
      </c>
      <c r="DP145" s="17">
        <f>DO145*VLOOKUP('Données projet'!$B$14,Paramètres!$A$1:$I$89,3,0)*VLOOKUP('Données projet'!$B$14,Paramètres!$A$1:$I$89,5,0)</f>
        <v>-1.4897523215040567E-13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324.86930206492627</v>
      </c>
      <c r="DU145" s="59">
        <f t="shared" si="152"/>
        <v>317.03005098025352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13.496375458399497</v>
      </c>
      <c r="EB145" s="21">
        <f>EXP(-LN(2)/25)*EB144+(1-EXP(-LN(2)/25))/(LN(2)/25)*Calculateur!DW145*Calculateur!DY145*VLOOKUP('Données projet'!$B$14,Paramètres!$A$1:$I$89,3,0)*0.475*44/12</f>
        <v>8.3375925936439721</v>
      </c>
      <c r="EC145" s="21">
        <f>EXP(-LN(2)/2)*EC144+(1-EXP(-LN(2)/2))/(LN(2)/2)*DW145*DZ145*VLOOKUP('Données projet'!$B$14,Paramètres!$A$1:$I$89,3,0)*0.475*44/12</f>
        <v>2.6578087834331251E-8</v>
      </c>
      <c r="ED145" s="22">
        <f t="shared" si="126"/>
        <v>21.833968078621556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302.00825291248458</v>
      </c>
      <c r="T146" s="59">
        <f t="shared" si="142"/>
        <v>307.35115839449355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26.837033988256415</v>
      </c>
      <c r="AA146" s="21">
        <f>EXP(-LN(2)/25)*AA145+(1-EXP(-LN(2)/25))/(LN(2)/25)*Calculateur!V146*Calculateur!X146*VLOOKUP('Données projet'!$B$9,Paramètres!$A$1:$I$89,3,0)*0.475*44/12</f>
        <v>4.8505299544333775</v>
      </c>
      <c r="AB146" s="21">
        <f>EXP(-LN(2)/2)*AB145+(1-EXP(-LN(2)/2))/(LN(2)/2)*V146*Y146*VLOOKUP('Données projet'!$B$9,Paramètres!$A$1:$I$89,3,0)*0.475*44/12</f>
        <v>1.9280897881855116E-11</v>
      </c>
      <c r="AC146" s="22">
        <f t="shared" si="111"/>
        <v>31.687563942709073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5.0249582272954292E-14</v>
      </c>
      <c r="AK146" s="13">
        <f t="shared" si="143"/>
        <v>8.1784820119191593E-13</v>
      </c>
      <c r="AL146" s="20">
        <f t="shared" si="112"/>
        <v>1.5119369728679821E-12</v>
      </c>
      <c r="AM146" s="59">
        <f t="shared" si="113"/>
        <v>293.33333333333485</v>
      </c>
      <c r="AN146" s="59">
        <f ca="1">AVERAGE(OFFSET($AM$3,0,0,'Données projet'!$E$10+1,1))-AVERAGE(OFFSET($H$3,0,0,'Données projet'!$E$10+1,1))</f>
        <v>394.37446333077651</v>
      </c>
      <c r="AO146" s="59">
        <f t="shared" si="144"/>
        <v>335.44327961212963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59.339927655456712</v>
      </c>
      <c r="AV146" s="21">
        <f>EXP(-LN(2)/25)*AV145+(1-EXP(-LN(2)/25))/(LN(2)/25)*Calculateur!AQ146*Calculateur!AS146*VLOOKUP('Données projet'!$B$10,Paramètres!$A$1:$I$89,3,0)*0.475*44/12</f>
        <v>12.534547822912842</v>
      </c>
      <c r="AW146" s="21">
        <f>EXP(-LN(2)/2)*AW145+(1-EXP(-LN(2)/2))/(LN(2)/2)*AQ146*AT146*VLOOKUP('Données projet'!$B$10,Paramètres!$A$1:$I$89,3,0)*0.475*44/12</f>
        <v>2.5882080417486051E-8</v>
      </c>
      <c r="AX146" s="21">
        <f t="shared" si="114"/>
        <v>71.874475504251635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7.5999999999999988</v>
      </c>
      <c r="BD146" s="12">
        <f>IF('Données projet'!$A$88&gt;35,BD145+BC146-BL145,IF(A146&lt;'Données projet'!$A$88,$BA$205^A146,IF(A146='Données projet'!$A$88,'Données projet'!$B$88,BD145+BC146-BL145)))</f>
        <v>398.96000000000038</v>
      </c>
      <c r="BE146" s="13">
        <f>BD146*VLOOKUP('Données projet'!$B$11,Paramètres!$A$1:$I$89,3,0)*VLOOKUP('Données projet'!$B$11,Paramètres!$A$1:$I$89,5,0)</f>
        <v>360.97900800000036</v>
      </c>
      <c r="BF146" s="13">
        <f t="shared" si="145"/>
        <v>83.819123165176237</v>
      </c>
      <c r="BG146" s="20">
        <f t="shared" si="115"/>
        <v>774.69007844601583</v>
      </c>
      <c r="BH146" s="59">
        <f t="shared" si="116"/>
        <v>1068.0234117793491</v>
      </c>
      <c r="BI146" s="59">
        <f ca="1">AVERAGE(OFFSET($BH$3,0,0,'Données projet'!$E$11+1,1))-AVERAGE(OFFSET($H$3,0,0,'Données projet'!$E$11+1,1))</f>
        <v>490.06222615476065</v>
      </c>
      <c r="BJ146" s="59">
        <f t="shared" si="146"/>
        <v>310.43914804089906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43.48966865122118</v>
      </c>
      <c r="BQ146" s="21">
        <f>EXP(-LN(2)/25)*BQ145+(1-EXP(-LN(2)/25))/(LN(2)/25)*Calculateur!BL146*Calculateur!BN146*VLOOKUP('Données projet'!$B$11,Paramètres!$A$1:$I$89,3,0)*0.475*44/12</f>
        <v>18.57067118158621</v>
      </c>
      <c r="BR146" s="21">
        <f>EXP(-LN(2)/2)*BR145+(1-EXP(-LN(2)/2))/(LN(2)/2)*BL146*BO146*VLOOKUP('Données projet'!$B$11,Paramètres!$A$1:$I$89,3,0)*0.475*44/12</f>
        <v>4.7385729099702844E-6</v>
      </c>
      <c r="BS146" s="22">
        <f t="shared" si="117"/>
        <v>62.060344571380298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353.37479213497227</v>
      </c>
      <c r="CE146" s="59">
        <f t="shared" si="148"/>
        <v>345.4750813433123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14.927934771898384</v>
      </c>
      <c r="CL146" s="21">
        <f>EXP(-LN(2)/25)*CL145+(1-EXP(-LN(2)/25))/(LN(2)/25)*Calculateur!CG146*Calculateur!CI146*VLOOKUP('Données projet'!$B$12,Paramètres!$A$1:$I$89,3,0)*0.475*44/12</f>
        <v>8.9479338554733765</v>
      </c>
      <c r="CM146" s="21">
        <f>EXP(-LN(2)/2)*CM145+(1-EXP(-LN(2)/2))/(LN(2)/2)*CG146*CJ146*VLOOKUP('Données projet'!$B$12,Paramètres!$A$1:$I$89,3,0)*0.475*44/12</f>
        <v>2.0553609130091884E-8</v>
      </c>
      <c r="CN146" s="22">
        <f t="shared" si="120"/>
        <v>23.875868647925369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-7.3896444519050419E-13</v>
      </c>
      <c r="CU146" s="17">
        <f>CT146*VLOOKUP('Données projet'!$B$13,Paramètres!$A$1:$I$89,3,0)*VLOOKUP('Données projet'!$B$13,Paramètres!$A$1:$I$89,5,0)</f>
        <v>-3.5544189813663252E-13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314.18760071409162</v>
      </c>
      <c r="CZ146" s="59">
        <f t="shared" si="150"/>
        <v>267.72650645201787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53.057327354018199</v>
      </c>
      <c r="DG146" s="21">
        <f>EXP(-LN(2)/25)*DG145+(1-EXP(-LN(2)/25))/(LN(2)/25)*Calculateur!DB146*Calculateur!DD146*VLOOKUP('Données projet'!$B$13,Paramètres!$A$1:$I$89,3,0)*0.475*44/12</f>
        <v>10.763985735532481</v>
      </c>
      <c r="DH146" s="21">
        <f>EXP(-LN(2)/2)*DH145+(1-EXP(-LN(2)/2))/(LN(2)/2)*DB146*DE146*VLOOKUP('Données projet'!$B$13,Paramètres!$A$1:$I$89,3,0)*0.475*44/12</f>
        <v>3.5361605943904015E-3</v>
      </c>
      <c r="DI146" s="22">
        <f t="shared" si="123"/>
        <v>63.824849250145071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-1.7053025658242404E-13</v>
      </c>
      <c r="DP146" s="17">
        <f>DO146*VLOOKUP('Données projet'!$B$14,Paramètres!$A$1:$I$89,3,0)*VLOOKUP('Données projet'!$B$14,Paramètres!$A$1:$I$89,5,0)</f>
        <v>-1.4897523215040567E-13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324.86930206492627</v>
      </c>
      <c r="DU146" s="59">
        <f t="shared" si="152"/>
        <v>317.03005098025352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13.231719767636472</v>
      </c>
      <c r="EB146" s="21">
        <f>EXP(-LN(2)/25)*EB145+(1-EXP(-LN(2)/25))/(LN(2)/25)*Calculateur!DW146*Calculateur!DY146*VLOOKUP('Données projet'!$B$14,Paramètres!$A$1:$I$89,3,0)*0.475*44/12</f>
        <v>8.1096006857158383</v>
      </c>
      <c r="EC146" s="21">
        <f>EXP(-LN(2)/2)*EC145+(1-EXP(-LN(2)/2))/(LN(2)/2)*DW146*DZ146*VLOOKUP('Données projet'!$B$14,Paramètres!$A$1:$I$89,3,0)*0.475*44/12</f>
        <v>1.8793546138627308E-8</v>
      </c>
      <c r="ED146" s="22">
        <f t="shared" si="126"/>
        <v>21.341320472145856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302.00825291248458</v>
      </c>
      <c r="T147" s="59">
        <f t="shared" si="142"/>
        <v>307.35115839449355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26.310776120721137</v>
      </c>
      <c r="AA147" s="21">
        <f>EXP(-LN(2)/25)*AA146+(1-EXP(-LN(2)/25))/(LN(2)/25)*Calculateur!V147*Calculateur!X147*VLOOKUP('Données projet'!$B$9,Paramètres!$A$1:$I$89,3,0)*0.475*44/12</f>
        <v>4.7178919577511129</v>
      </c>
      <c r="AB147" s="21">
        <f>EXP(-LN(2)/2)*AB146+(1-EXP(-LN(2)/2))/(LN(2)/2)*V147*Y147*VLOOKUP('Données projet'!$B$9,Paramètres!$A$1:$I$89,3,0)*0.475*44/12</f>
        <v>1.3633653639625093E-11</v>
      </c>
      <c r="AC147" s="22">
        <f t="shared" si="111"/>
        <v>31.028668078485886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5.0249582272954292E-14</v>
      </c>
      <c r="AK147" s="13">
        <f t="shared" si="143"/>
        <v>8.1784820119191593E-13</v>
      </c>
      <c r="AL147" s="20">
        <f t="shared" si="112"/>
        <v>1.5119369728679821E-12</v>
      </c>
      <c r="AM147" s="59">
        <f t="shared" si="113"/>
        <v>293.33333333333485</v>
      </c>
      <c r="AN147" s="59">
        <f ca="1">AVERAGE(OFFSET($AM$3,0,0,'Données projet'!$E$10+1,1))-AVERAGE(OFFSET($H$3,0,0,'Données projet'!$E$10+1,1))</f>
        <v>394.37446333077651</v>
      </c>
      <c r="AO147" s="59">
        <f t="shared" si="144"/>
        <v>335.44327961212963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58.176307867915234</v>
      </c>
      <c r="AV147" s="21">
        <f>EXP(-LN(2)/25)*AV146+(1-EXP(-LN(2)/25))/(LN(2)/25)*Calculateur!AQ147*Calculateur!AS147*VLOOKUP('Données projet'!$B$10,Paramètres!$A$1:$I$89,3,0)*0.475*44/12</f>
        <v>12.191789953532068</v>
      </c>
      <c r="AW147" s="21">
        <f>EXP(-LN(2)/2)*AW146+(1-EXP(-LN(2)/2))/(LN(2)/2)*AQ147*AT147*VLOOKUP('Données projet'!$B$10,Paramètres!$A$1:$I$89,3,0)*0.475*44/12</f>
        <v>1.8301394574419935E-8</v>
      </c>
      <c r="AX147" s="21">
        <f t="shared" si="114"/>
        <v>70.3680978397487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7.5999999999999988</v>
      </c>
      <c r="BD147" s="12">
        <f>IF('Données projet'!$A$88&gt;35,BD146+BC147-BL146,IF(A147&lt;'Données projet'!$A$88,$BA$205^A147,IF(A147='Données projet'!$A$88,'Données projet'!$B$88,BD146+BC147-BL146)))</f>
        <v>406.5600000000004</v>
      </c>
      <c r="BE147" s="13">
        <f>BD147*VLOOKUP('Données projet'!$B$11,Paramètres!$A$1:$I$89,3,0)*VLOOKUP('Données projet'!$B$11,Paramètres!$A$1:$I$89,5,0)</f>
        <v>367.85548800000038</v>
      </c>
      <c r="BF147" s="13">
        <f t="shared" si="145"/>
        <v>85.228427146498575</v>
      </c>
      <c r="BG147" s="20">
        <f t="shared" si="115"/>
        <v>789.12115221348574</v>
      </c>
      <c r="BH147" s="59">
        <f t="shared" si="116"/>
        <v>1082.4544855468191</v>
      </c>
      <c r="BI147" s="59">
        <f ca="1">AVERAGE(OFFSET($BH$3,0,0,'Données projet'!$E$11+1,1))-AVERAGE(OFFSET($H$3,0,0,'Données projet'!$E$11+1,1))</f>
        <v>490.06222615476065</v>
      </c>
      <c r="BJ147" s="59">
        <f t="shared" si="146"/>
        <v>310.43914804089906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42.63686277504938</v>
      </c>
      <c r="BQ147" s="21">
        <f>EXP(-LN(2)/25)*BQ146+(1-EXP(-LN(2)/25))/(LN(2)/25)*Calculateur!BL147*Calculateur!BN147*VLOOKUP('Données projet'!$B$11,Paramètres!$A$1:$I$89,3,0)*0.475*44/12</f>
        <v>18.062855201536582</v>
      </c>
      <c r="BR147" s="21">
        <f>EXP(-LN(2)/2)*BR146+(1-EXP(-LN(2)/2))/(LN(2)/2)*BL147*BO147*VLOOKUP('Données projet'!$B$11,Paramètres!$A$1:$I$89,3,0)*0.475*44/12</f>
        <v>3.3506770377868597E-6</v>
      </c>
      <c r="BS147" s="22">
        <f t="shared" si="117"/>
        <v>60.699721327262999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353.37479213497227</v>
      </c>
      <c r="CE147" s="59">
        <f t="shared" si="148"/>
        <v>345.4750813433123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14.63520707616261</v>
      </c>
      <c r="CL147" s="21">
        <f>EXP(-LN(2)/25)*CL146+(1-EXP(-LN(2)/25))/(LN(2)/25)*Calculateur!CG147*Calculateur!CI147*VLOOKUP('Données projet'!$B$12,Paramètres!$A$1:$I$89,3,0)*0.475*44/12</f>
        <v>8.7032521336440656</v>
      </c>
      <c r="CM147" s="21">
        <f>EXP(-LN(2)/2)*CM146+(1-EXP(-LN(2)/2))/(LN(2)/2)*CG147*CJ147*VLOOKUP('Données projet'!$B$12,Paramètres!$A$1:$I$89,3,0)*0.475*44/12</f>
        <v>1.4533596393745707E-8</v>
      </c>
      <c r="CN147" s="22">
        <f t="shared" si="120"/>
        <v>23.338459224340273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-7.3896444519050419E-13</v>
      </c>
      <c r="CU147" s="17">
        <f>CT147*VLOOKUP('Données projet'!$B$13,Paramètres!$A$1:$I$89,3,0)*VLOOKUP('Données projet'!$B$13,Paramètres!$A$1:$I$89,5,0)</f>
        <v>-3.5544189813663252E-13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314.18760071409162</v>
      </c>
      <c r="CZ147" s="59">
        <f t="shared" si="150"/>
        <v>267.72650645201787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52.016905526380128</v>
      </c>
      <c r="DG147" s="21">
        <f>EXP(-LN(2)/25)*DG146+(1-EXP(-LN(2)/25))/(LN(2)/25)*Calculateur!DB147*Calculateur!DD147*VLOOKUP('Données projet'!$B$13,Paramètres!$A$1:$I$89,3,0)*0.475*44/12</f>
        <v>10.469643979540937</v>
      </c>
      <c r="DH147" s="21">
        <f>EXP(-LN(2)/2)*DH146+(1-EXP(-LN(2)/2))/(LN(2)/2)*DB147*DE147*VLOOKUP('Données projet'!$B$13,Paramètres!$A$1:$I$89,3,0)*0.475*44/12</f>
        <v>2.5004431356581056E-3</v>
      </c>
      <c r="DI147" s="22">
        <f t="shared" si="123"/>
        <v>62.489049949056721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-1.7053025658242404E-13</v>
      </c>
      <c r="DP147" s="17">
        <f>DO147*VLOOKUP('Données projet'!$B$14,Paramètres!$A$1:$I$89,3,0)*VLOOKUP('Données projet'!$B$14,Paramètres!$A$1:$I$89,5,0)</f>
        <v>-1.4897523215040567E-13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324.86930206492627</v>
      </c>
      <c r="DU147" s="59">
        <f t="shared" si="152"/>
        <v>317.03005098025352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12.972253813545278</v>
      </c>
      <c r="EB147" s="21">
        <f>EXP(-LN(2)/25)*EB146+(1-EXP(-LN(2)/25))/(LN(2)/25)*Calculateur!DW147*Calculateur!DY147*VLOOKUP('Données projet'!$B$14,Paramètres!$A$1:$I$89,3,0)*0.475*44/12</f>
        <v>7.8878432284995732</v>
      </c>
      <c r="EC147" s="21">
        <f>EXP(-LN(2)/2)*EC146+(1-EXP(-LN(2)/2))/(LN(2)/2)*DW147*DZ147*VLOOKUP('Données projet'!$B$14,Paramètres!$A$1:$I$89,3,0)*0.475*44/12</f>
        <v>1.3289043917165625E-8</v>
      </c>
      <c r="ED147" s="22">
        <f t="shared" si="126"/>
        <v>20.860097055333892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302.00825291248458</v>
      </c>
      <c r="T148" s="59">
        <f t="shared" si="142"/>
        <v>307.35115839449355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25.79483784898262</v>
      </c>
      <c r="AA148" s="21">
        <f>EXP(-LN(2)/25)*AA147+(1-EXP(-LN(2)/25))/(LN(2)/25)*Calculateur!V148*Calculateur!X148*VLOOKUP('Données projet'!$B$9,Paramètres!$A$1:$I$89,3,0)*0.475*44/12</f>
        <v>4.5888809540632538</v>
      </c>
      <c r="AB148" s="21">
        <f>EXP(-LN(2)/2)*AB147+(1-EXP(-LN(2)/2))/(LN(2)/2)*V148*Y148*VLOOKUP('Données projet'!$B$9,Paramètres!$A$1:$I$89,3,0)*0.475*44/12</f>
        <v>9.6404489409275581E-12</v>
      </c>
      <c r="AC148" s="22">
        <f t="shared" si="111"/>
        <v>30.383718803055515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5.0249582272954292E-14</v>
      </c>
      <c r="AK148" s="13">
        <f t="shared" si="143"/>
        <v>8.1784820119191593E-13</v>
      </c>
      <c r="AL148" s="20">
        <f t="shared" si="112"/>
        <v>1.5119369728679821E-12</v>
      </c>
      <c r="AM148" s="59">
        <f t="shared" si="113"/>
        <v>293.33333333333485</v>
      </c>
      <c r="AN148" s="59">
        <f ca="1">AVERAGE(OFFSET($AM$3,0,0,'Données projet'!$E$10+1,1))-AVERAGE(OFFSET($H$3,0,0,'Données projet'!$E$10+1,1))</f>
        <v>394.37446333077651</v>
      </c>
      <c r="AO148" s="59">
        <f t="shared" si="144"/>
        <v>335.44327961212963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57.03550595466946</v>
      </c>
      <c r="AV148" s="21">
        <f>EXP(-LN(2)/25)*AV147+(1-EXP(-LN(2)/25))/(LN(2)/25)*Calculateur!AQ148*Calculateur!AS148*VLOOKUP('Données projet'!$B$10,Paramètres!$A$1:$I$89,3,0)*0.475*44/12</f>
        <v>11.858404816114364</v>
      </c>
      <c r="AW148" s="21">
        <f>EXP(-LN(2)/2)*AW147+(1-EXP(-LN(2)/2))/(LN(2)/2)*AQ148*AT148*VLOOKUP('Données projet'!$B$10,Paramètres!$A$1:$I$89,3,0)*0.475*44/12</f>
        <v>1.2941040208743026E-8</v>
      </c>
      <c r="AX148" s="21">
        <f t="shared" si="114"/>
        <v>68.893910783724863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7.5999999999999988</v>
      </c>
      <c r="BD148" s="12">
        <f>IF('Données projet'!$A$88&gt;35,BD147+BC148-BL147,IF(A148&lt;'Données projet'!$A$88,$BA$205^A148,IF(A148='Données projet'!$A$88,'Données projet'!$B$88,BD147+BC148-BL147)))</f>
        <v>414.16000000000042</v>
      </c>
      <c r="BE148" s="13">
        <f>BD148*VLOOKUP('Données projet'!$B$11,Paramètres!$A$1:$I$89,3,0)*VLOOKUP('Données projet'!$B$11,Paramètres!$A$1:$I$89,5,0)</f>
        <v>374.73196800000034</v>
      </c>
      <c r="BF148" s="13">
        <f t="shared" si="145"/>
        <v>86.634667747380036</v>
      </c>
      <c r="BG148" s="20">
        <f t="shared" si="115"/>
        <v>803.54689059335408</v>
      </c>
      <c r="BH148" s="59">
        <f t="shared" si="116"/>
        <v>1096.8802239266874</v>
      </c>
      <c r="BI148" s="59">
        <f ca="1">AVERAGE(OFFSET($BH$3,0,0,'Données projet'!$E$11+1,1))-AVERAGE(OFFSET($H$3,0,0,'Données projet'!$E$11+1,1))</f>
        <v>490.06222615476065</v>
      </c>
      <c r="BJ148" s="59">
        <f t="shared" si="146"/>
        <v>310.43914804089906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41.800779901949085</v>
      </c>
      <c r="BQ148" s="21">
        <f>EXP(-LN(2)/25)*BQ147+(1-EXP(-LN(2)/25))/(LN(2)/25)*Calculateur!BL148*Calculateur!BN148*VLOOKUP('Données projet'!$B$11,Paramètres!$A$1:$I$89,3,0)*0.475*44/12</f>
        <v>17.568925476166292</v>
      </c>
      <c r="BR148" s="21">
        <f>EXP(-LN(2)/2)*BR147+(1-EXP(-LN(2)/2))/(LN(2)/2)*BL148*BO148*VLOOKUP('Données projet'!$B$11,Paramètres!$A$1:$I$89,3,0)*0.475*44/12</f>
        <v>2.3692864549851422E-6</v>
      </c>
      <c r="BS148" s="22">
        <f t="shared" si="117"/>
        <v>59.369707747401833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353.37479213497227</v>
      </c>
      <c r="CE148" s="59">
        <f t="shared" si="148"/>
        <v>345.4750813433123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14.348219591993949</v>
      </c>
      <c r="CL148" s="21">
        <f>EXP(-LN(2)/25)*CL147+(1-EXP(-LN(2)/25))/(LN(2)/25)*Calculateur!CG148*Calculateur!CI148*VLOOKUP('Données projet'!$B$12,Paramètres!$A$1:$I$89,3,0)*0.475*44/12</f>
        <v>8.4652612463654311</v>
      </c>
      <c r="CM148" s="21">
        <f>EXP(-LN(2)/2)*CM147+(1-EXP(-LN(2)/2))/(LN(2)/2)*CG148*CJ148*VLOOKUP('Données projet'!$B$12,Paramètres!$A$1:$I$89,3,0)*0.475*44/12</f>
        <v>1.0276804565045942E-8</v>
      </c>
      <c r="CN148" s="22">
        <f t="shared" si="120"/>
        <v>22.813480848636186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-7.3896444519050419E-13</v>
      </c>
      <c r="CU148" s="17">
        <f>CT148*VLOOKUP('Données projet'!$B$13,Paramètres!$A$1:$I$89,3,0)*VLOOKUP('Données projet'!$B$13,Paramètres!$A$1:$I$89,5,0)</f>
        <v>-3.5544189813663252E-13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314.18760071409162</v>
      </c>
      <c r="CZ148" s="59">
        <f t="shared" si="150"/>
        <v>267.72650645201787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50.996885736187387</v>
      </c>
      <c r="DG148" s="21">
        <f>EXP(-LN(2)/25)*DG147+(1-EXP(-LN(2)/25))/(LN(2)/25)*Calculateur!DB148*Calculateur!DD148*VLOOKUP('Données projet'!$B$13,Paramètres!$A$1:$I$89,3,0)*0.475*44/12</f>
        <v>10.183351014345742</v>
      </c>
      <c r="DH148" s="21">
        <f>EXP(-LN(2)/2)*DH147+(1-EXP(-LN(2)/2))/(LN(2)/2)*DB148*DE148*VLOOKUP('Données projet'!$B$13,Paramètres!$A$1:$I$89,3,0)*0.475*44/12</f>
        <v>1.768080297195201E-3</v>
      </c>
      <c r="DI148" s="22">
        <f t="shared" si="123"/>
        <v>61.182004830830323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-1.7053025658242404E-13</v>
      </c>
      <c r="DP148" s="17">
        <f>DO148*VLOOKUP('Données projet'!$B$14,Paramètres!$A$1:$I$89,3,0)*VLOOKUP('Données projet'!$B$14,Paramètres!$A$1:$I$89,5,0)</f>
        <v>-1.4897523215040567E-13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324.86930206492627</v>
      </c>
      <c r="DU148" s="59">
        <f t="shared" si="152"/>
        <v>317.03005098025352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12.717875828555206</v>
      </c>
      <c r="EB148" s="21">
        <f>EXP(-LN(2)/25)*EB147+(1-EXP(-LN(2)/25))/(LN(2)/25)*Calculateur!DW148*Calculateur!DY148*VLOOKUP('Données projet'!$B$14,Paramètres!$A$1:$I$89,3,0)*0.475*44/12</f>
        <v>7.6721497406126051</v>
      </c>
      <c r="EC148" s="21">
        <f>EXP(-LN(2)/2)*EC147+(1-EXP(-LN(2)/2))/(LN(2)/2)*DW148*DZ148*VLOOKUP('Données projet'!$B$14,Paramètres!$A$1:$I$89,3,0)*0.475*44/12</f>
        <v>9.3967730693136542E-9</v>
      </c>
      <c r="ED148" s="22">
        <f t="shared" si="126"/>
        <v>20.390025578564583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302.00825291248458</v>
      </c>
      <c r="T149" s="59">
        <f t="shared" si="142"/>
        <v>307.35115839449355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25.289016812061625</v>
      </c>
      <c r="AA149" s="21">
        <f>EXP(-LN(2)/25)*AA148+(1-EXP(-LN(2)/25))/(LN(2)/25)*Calculateur!V149*Calculateur!X149*VLOOKUP('Données projet'!$B$9,Paramètres!$A$1:$I$89,3,0)*0.475*44/12</f>
        <v>4.4633977630556325</v>
      </c>
      <c r="AB149" s="21">
        <f>EXP(-LN(2)/2)*AB148+(1-EXP(-LN(2)/2))/(LN(2)/2)*V149*Y149*VLOOKUP('Données projet'!$B$9,Paramètres!$A$1:$I$89,3,0)*0.475*44/12</f>
        <v>6.8168268198125467E-12</v>
      </c>
      <c r="AC149" s="22">
        <f t="shared" si="111"/>
        <v>29.752414575124075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5.0249582272954292E-14</v>
      </c>
      <c r="AK149" s="13">
        <f t="shared" si="143"/>
        <v>8.1784820119191593E-13</v>
      </c>
      <c r="AL149" s="20">
        <f t="shared" si="112"/>
        <v>1.5119369728679821E-12</v>
      </c>
      <c r="AM149" s="59">
        <f t="shared" si="113"/>
        <v>293.33333333333485</v>
      </c>
      <c r="AN149" s="59">
        <f ca="1">AVERAGE(OFFSET($AM$3,0,0,'Données projet'!$E$10+1,1))-AVERAGE(OFFSET($H$3,0,0,'Données projet'!$E$10+1,1))</f>
        <v>394.37446333077651</v>
      </c>
      <c r="AO149" s="59">
        <f t="shared" si="144"/>
        <v>335.44327961212963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55.917074471121971</v>
      </c>
      <c r="AV149" s="21">
        <f>EXP(-LN(2)/25)*AV148+(1-EXP(-LN(2)/25))/(LN(2)/25)*Calculateur!AQ149*Calculateur!AS149*VLOOKUP('Données projet'!$B$10,Paramètres!$A$1:$I$89,3,0)*0.475*44/12</f>
        <v>11.534136112811311</v>
      </c>
      <c r="AW149" s="21">
        <f>EXP(-LN(2)/2)*AW148+(1-EXP(-LN(2)/2))/(LN(2)/2)*AQ149*AT149*VLOOKUP('Données projet'!$B$10,Paramètres!$A$1:$I$89,3,0)*0.475*44/12</f>
        <v>9.1506972872099677E-9</v>
      </c>
      <c r="AX149" s="21">
        <f t="shared" si="114"/>
        <v>67.451210593083985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7.5999999999999988</v>
      </c>
      <c r="BD149" s="12">
        <f>IF('Données projet'!$A$88&gt;35,BD148+BC149-BL148,IF(A149&lt;'Données projet'!$A$88,$BA$205^A149,IF(A149='Données projet'!$A$88,'Données projet'!$B$88,BD148+BC149-BL148)))</f>
        <v>421.76000000000045</v>
      </c>
      <c r="BE149" s="13">
        <f>BD149*VLOOKUP('Données projet'!$B$11,Paramètres!$A$1:$I$89,3,0)*VLOOKUP('Données projet'!$B$11,Paramètres!$A$1:$I$89,5,0)</f>
        <v>381.60844800000035</v>
      </c>
      <c r="BF149" s="13">
        <f t="shared" si="145"/>
        <v>88.037907665522127</v>
      </c>
      <c r="BG149" s="20">
        <f t="shared" si="115"/>
        <v>817.96740278411835</v>
      </c>
      <c r="BH149" s="59">
        <f t="shared" si="116"/>
        <v>1111.3007361174516</v>
      </c>
      <c r="BI149" s="59">
        <f ca="1">AVERAGE(OFFSET($BH$3,0,0,'Données projet'!$E$11+1,1))-AVERAGE(OFFSET($H$3,0,0,'Données projet'!$E$11+1,1))</f>
        <v>490.06222615476065</v>
      </c>
      <c r="BJ149" s="59">
        <f t="shared" si="146"/>
        <v>310.43914804089906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40.98109210403009</v>
      </c>
      <c r="BQ149" s="21">
        <f>EXP(-LN(2)/25)*BQ148+(1-EXP(-LN(2)/25))/(LN(2)/25)*Calculateur!BL149*Calculateur!BN149*VLOOKUP('Données projet'!$B$11,Paramètres!$A$1:$I$89,3,0)*0.475*44/12</f>
        <v>17.088502285110888</v>
      </c>
      <c r="BR149" s="21">
        <f>EXP(-LN(2)/2)*BR148+(1-EXP(-LN(2)/2))/(LN(2)/2)*BL149*BO149*VLOOKUP('Données projet'!$B$11,Paramètres!$A$1:$I$89,3,0)*0.475*44/12</f>
        <v>1.6753385188934299E-6</v>
      </c>
      <c r="BS149" s="22">
        <f t="shared" si="117"/>
        <v>58.069596064479491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353.37479213497227</v>
      </c>
      <c r="CE149" s="59">
        <f t="shared" si="148"/>
        <v>345.4750813433123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14.066859757344755</v>
      </c>
      <c r="CL149" s="21">
        <f>EXP(-LN(2)/25)*CL148+(1-EXP(-LN(2)/25))/(LN(2)/25)*Calculateur!CG149*Calculateur!CI149*VLOOKUP('Données projet'!$B$12,Paramètres!$A$1:$I$89,3,0)*0.475*44/12</f>
        <v>8.2337782324148279</v>
      </c>
      <c r="CM149" s="21">
        <f>EXP(-LN(2)/2)*CM148+(1-EXP(-LN(2)/2))/(LN(2)/2)*CG149*CJ149*VLOOKUP('Données projet'!$B$12,Paramètres!$A$1:$I$89,3,0)*0.475*44/12</f>
        <v>7.2667981968728536E-9</v>
      </c>
      <c r="CN149" s="22">
        <f t="shared" si="120"/>
        <v>22.300637997026381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-7.3896444519050419E-13</v>
      </c>
      <c r="CU149" s="17">
        <f>CT149*VLOOKUP('Données projet'!$B$13,Paramètres!$A$1:$I$89,3,0)*VLOOKUP('Données projet'!$B$13,Paramètres!$A$1:$I$89,5,0)</f>
        <v>-3.5544189813663252E-13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314.18760071409162</v>
      </c>
      <c r="CZ149" s="59">
        <f t="shared" si="150"/>
        <v>267.72650645201787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49.996867911929684</v>
      </c>
      <c r="DG149" s="21">
        <f>EXP(-LN(2)/25)*DG148+(1-EXP(-LN(2)/25))/(LN(2)/25)*Calculateur!DB149*Calculateur!DD149*VLOOKUP('Données projet'!$B$13,Paramètres!$A$1:$I$89,3,0)*0.475*44/12</f>
        <v>9.9048867453393026</v>
      </c>
      <c r="DH149" s="21">
        <f>EXP(-LN(2)/2)*DH148+(1-EXP(-LN(2)/2))/(LN(2)/2)*DB149*DE149*VLOOKUP('Données projet'!$B$13,Paramètres!$A$1:$I$89,3,0)*0.475*44/12</f>
        <v>1.250221567829053E-3</v>
      </c>
      <c r="DI149" s="22">
        <f t="shared" si="123"/>
        <v>59.903004878836818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-1.7053025658242404E-13</v>
      </c>
      <c r="DP149" s="17">
        <f>DO149*VLOOKUP('Données projet'!$B$14,Paramètres!$A$1:$I$89,3,0)*VLOOKUP('Données projet'!$B$14,Paramètres!$A$1:$I$89,5,0)</f>
        <v>-1.4897523215040567E-13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324.86930206492627</v>
      </c>
      <c r="DU149" s="59">
        <f t="shared" si="152"/>
        <v>317.03005098025352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12.46848604069554</v>
      </c>
      <c r="EB149" s="21">
        <f>EXP(-LN(2)/25)*EB148+(1-EXP(-LN(2)/25))/(LN(2)/25)*Calculateur!DW149*Calculateur!DY149*VLOOKUP('Données projet'!$B$14,Paramètres!$A$1:$I$89,3,0)*0.475*44/12</f>
        <v>7.4623544024947339</v>
      </c>
      <c r="EC149" s="21">
        <f>EXP(-LN(2)/2)*EC148+(1-EXP(-LN(2)/2))/(LN(2)/2)*DW149*DZ149*VLOOKUP('Données projet'!$B$14,Paramètres!$A$1:$I$89,3,0)*0.475*44/12</f>
        <v>6.6445219585828127E-9</v>
      </c>
      <c r="ED149" s="22">
        <f t="shared" si="126"/>
        <v>19.930840449834797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302.00825291248458</v>
      </c>
      <c r="T150" s="59">
        <f t="shared" si="142"/>
        <v>307.35115839449355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24.793114617154281</v>
      </c>
      <c r="AA150" s="21">
        <f>EXP(-LN(2)/25)*AA149+(1-EXP(-LN(2)/25))/(LN(2)/25)*Calculateur!V150*Calculateur!X150*VLOOKUP('Données projet'!$B$9,Paramètres!$A$1:$I$89,3,0)*0.475*44/12</f>
        <v>4.3413459165049888</v>
      </c>
      <c r="AB150" s="21">
        <f>EXP(-LN(2)/2)*AB149+(1-EXP(-LN(2)/2))/(LN(2)/2)*V150*Y150*VLOOKUP('Données projet'!$B$9,Paramètres!$A$1:$I$89,3,0)*0.475*44/12</f>
        <v>4.8202244704637791E-12</v>
      </c>
      <c r="AC150" s="22">
        <f t="shared" si="111"/>
        <v>29.13446053366409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5.0249582272954292E-14</v>
      </c>
      <c r="AK150" s="13">
        <f t="shared" si="143"/>
        <v>8.1784820119191593E-13</v>
      </c>
      <c r="AL150" s="20">
        <f t="shared" si="112"/>
        <v>1.5119369728679821E-12</v>
      </c>
      <c r="AM150" s="59">
        <f t="shared" si="113"/>
        <v>293.33333333333485</v>
      </c>
      <c r="AN150" s="59">
        <f ca="1">AVERAGE(OFFSET($AM$3,0,0,'Données projet'!$E$10+1,1))-AVERAGE(OFFSET($H$3,0,0,'Données projet'!$E$10+1,1))</f>
        <v>394.37446333077651</v>
      </c>
      <c r="AO150" s="59">
        <f t="shared" si="144"/>
        <v>335.44327961212963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54.820574746791003</v>
      </c>
      <c r="AV150" s="21">
        <f>EXP(-LN(2)/25)*AV149+(1-EXP(-LN(2)/25))/(LN(2)/25)*Calculateur!AQ150*Calculateur!AS150*VLOOKUP('Données projet'!$B$10,Paramètres!$A$1:$I$89,3,0)*0.475*44/12</f>
        <v>11.218734554252629</v>
      </c>
      <c r="AW150" s="21">
        <f>EXP(-LN(2)/2)*AW149+(1-EXP(-LN(2)/2))/(LN(2)/2)*AQ150*AT150*VLOOKUP('Données projet'!$B$10,Paramètres!$A$1:$I$89,3,0)*0.475*44/12</f>
        <v>6.4705201043715128E-9</v>
      </c>
      <c r="AX150" s="21">
        <f t="shared" si="114"/>
        <v>66.039309307514145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7.5999999999999988</v>
      </c>
      <c r="BD150" s="12">
        <f>IF('Données projet'!$A$88&gt;35,BD149+BC150-BL149,IF(A150&lt;'Données projet'!$A$88,$BA$205^A150,IF(A150='Données projet'!$A$88,'Données projet'!$B$88,BD149+BC150-BL149)))</f>
        <v>429.36000000000047</v>
      </c>
      <c r="BE150" s="13">
        <f>BD150*VLOOKUP('Données projet'!$B$11,Paramètres!$A$1:$I$89,3,0)*VLOOKUP('Données projet'!$B$11,Paramètres!$A$1:$I$89,5,0)</f>
        <v>388.48492800000042</v>
      </c>
      <c r="BF150" s="13">
        <f t="shared" si="145"/>
        <v>89.438207209646222</v>
      </c>
      <c r="BG150" s="20">
        <f t="shared" si="115"/>
        <v>832.38279382346775</v>
      </c>
      <c r="BH150" s="59">
        <f t="shared" si="116"/>
        <v>1125.7161271568011</v>
      </c>
      <c r="BI150" s="59">
        <f ca="1">AVERAGE(OFFSET($BH$3,0,0,'Données projet'!$E$11+1,1))-AVERAGE(OFFSET($H$3,0,0,'Données projet'!$E$11+1,1))</f>
        <v>490.06222615476065</v>
      </c>
      <c r="BJ150" s="59">
        <f t="shared" si="146"/>
        <v>310.43914804089906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40.177477883868093</v>
      </c>
      <c r="BQ150" s="21">
        <f>EXP(-LN(2)/25)*BQ149+(1-EXP(-LN(2)/25))/(LN(2)/25)*Calculateur!BL150*Calculateur!BN150*VLOOKUP('Données projet'!$B$11,Paramètres!$A$1:$I$89,3,0)*0.475*44/12</f>
        <v>16.62121629147925</v>
      </c>
      <c r="BR150" s="21">
        <f>EXP(-LN(2)/2)*BR149+(1-EXP(-LN(2)/2))/(LN(2)/2)*BL150*BO150*VLOOKUP('Données projet'!$B$11,Paramètres!$A$1:$I$89,3,0)*0.475*44/12</f>
        <v>1.1846432274925711E-6</v>
      </c>
      <c r="BS150" s="22">
        <f t="shared" si="117"/>
        <v>56.798695359990568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353.37479213497227</v>
      </c>
      <c r="CE150" s="59">
        <f t="shared" si="148"/>
        <v>345.4750813433123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13.791017217440478</v>
      </c>
      <c r="CL150" s="21">
        <f>EXP(-LN(2)/25)*CL149+(1-EXP(-LN(2)/25))/(LN(2)/25)*Calculateur!CG150*Calculateur!CI150*VLOOKUP('Données projet'!$B$12,Paramètres!$A$1:$I$89,3,0)*0.475*44/12</f>
        <v>8.0086251336538652</v>
      </c>
      <c r="CM150" s="21">
        <f>EXP(-LN(2)/2)*CM149+(1-EXP(-LN(2)/2))/(LN(2)/2)*CG150*CJ150*VLOOKUP('Données projet'!$B$12,Paramètres!$A$1:$I$89,3,0)*0.475*44/12</f>
        <v>5.138402282522971E-9</v>
      </c>
      <c r="CN150" s="22">
        <f t="shared" si="120"/>
        <v>21.799642356232745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-7.3896444519050419E-13</v>
      </c>
      <c r="CU150" s="17">
        <f>CT150*VLOOKUP('Données projet'!$B$13,Paramètres!$A$1:$I$89,3,0)*VLOOKUP('Données projet'!$B$13,Paramètres!$A$1:$I$89,5,0)</f>
        <v>-3.5544189813663252E-13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314.18760071409162</v>
      </c>
      <c r="CZ150" s="59">
        <f t="shared" si="150"/>
        <v>267.72650645201787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49.016459827255026</v>
      </c>
      <c r="DG150" s="21">
        <f>EXP(-LN(2)/25)*DG149+(1-EXP(-LN(2)/25))/(LN(2)/25)*Calculateur!DB150*Calculateur!DD150*VLOOKUP('Données projet'!$B$13,Paramètres!$A$1:$I$89,3,0)*0.475*44/12</f>
        <v>9.6340370964126425</v>
      </c>
      <c r="DH150" s="21">
        <f>EXP(-LN(2)/2)*DH149+(1-EXP(-LN(2)/2))/(LN(2)/2)*DB150*DE150*VLOOKUP('Données projet'!$B$13,Paramètres!$A$1:$I$89,3,0)*0.475*44/12</f>
        <v>8.8404014859760059E-4</v>
      </c>
      <c r="DI150" s="22">
        <f t="shared" si="123"/>
        <v>58.651380963816266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-1.7053025658242404E-13</v>
      </c>
      <c r="DP150" s="17">
        <f>DO150*VLOOKUP('Données projet'!$B$14,Paramètres!$A$1:$I$89,3,0)*VLOOKUP('Données projet'!$B$14,Paramètres!$A$1:$I$89,5,0)</f>
        <v>-1.4897523215040567E-13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324.86930206492627</v>
      </c>
      <c r="DU150" s="59">
        <f t="shared" si="152"/>
        <v>317.03005098025352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12.223986634463051</v>
      </c>
      <c r="EB150" s="21">
        <f>EXP(-LN(2)/25)*EB149+(1-EXP(-LN(2)/25))/(LN(2)/25)*Calculateur!DW150*Calculateur!DY150*VLOOKUP('Données projet'!$B$14,Paramètres!$A$1:$I$89,3,0)*0.475*44/12</f>
        <v>7.2582959289303526</v>
      </c>
      <c r="EC150" s="21">
        <f>EXP(-LN(2)/2)*EC149+(1-EXP(-LN(2)/2))/(LN(2)/2)*DW150*DZ150*VLOOKUP('Données projet'!$B$14,Paramètres!$A$1:$I$89,3,0)*0.475*44/12</f>
        <v>4.6983865346568271E-9</v>
      </c>
      <c r="ED150" s="22">
        <f t="shared" si="126"/>
        <v>19.48228256809179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302.00825291248458</v>
      </c>
      <c r="T151" s="59">
        <f t="shared" si="142"/>
        <v>307.35115839449355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24.306936761818598</v>
      </c>
      <c r="AA151" s="21">
        <f>EXP(-LN(2)/25)*AA150+(1-EXP(-LN(2)/25))/(LN(2)/25)*Calculateur!V151*Calculateur!X151*VLOOKUP('Données projet'!$B$9,Paramètres!$A$1:$I$89,3,0)*0.475*44/12</f>
        <v>4.2226315841167006</v>
      </c>
      <c r="AB151" s="21">
        <f>EXP(-LN(2)/2)*AB150+(1-EXP(-LN(2)/2))/(LN(2)/2)*V151*Y151*VLOOKUP('Données projet'!$B$9,Paramètres!$A$1:$I$89,3,0)*0.475*44/12</f>
        <v>3.4084134099062734E-12</v>
      </c>
      <c r="AC151" s="22">
        <f t="shared" si="111"/>
        <v>28.529568345938706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5.0249582272954292E-14</v>
      </c>
      <c r="AK151" s="13">
        <f t="shared" si="143"/>
        <v>8.1784820119191593E-13</v>
      </c>
      <c r="AL151" s="20">
        <f t="shared" si="112"/>
        <v>1.5119369728679821E-12</v>
      </c>
      <c r="AM151" s="59">
        <f t="shared" si="113"/>
        <v>293.33333333333485</v>
      </c>
      <c r="AN151" s="59">
        <f ca="1">AVERAGE(OFFSET($AM$3,0,0,'Données projet'!$E$10+1,1))-AVERAGE(OFFSET($H$3,0,0,'Données projet'!$E$10+1,1))</f>
        <v>394.37446333077651</v>
      </c>
      <c r="AO151" s="59">
        <f t="shared" si="144"/>
        <v>335.44327961212963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53.745576713255375</v>
      </c>
      <c r="AV151" s="21">
        <f>EXP(-LN(2)/25)*AV150+(1-EXP(-LN(2)/25))/(LN(2)/25)*Calculateur!AQ151*Calculateur!AS151*VLOOKUP('Données projet'!$B$10,Paramètres!$A$1:$I$89,3,0)*0.475*44/12</f>
        <v>10.911957667898982</v>
      </c>
      <c r="AW151" s="21">
        <f>EXP(-LN(2)/2)*AW150+(1-EXP(-LN(2)/2))/(LN(2)/2)*AQ151*AT151*VLOOKUP('Données projet'!$B$10,Paramètres!$A$1:$I$89,3,0)*0.475*44/12</f>
        <v>4.5753486436049839E-9</v>
      </c>
      <c r="AX151" s="21">
        <f t="shared" si="114"/>
        <v>64.657534385729718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7.5999999999999988</v>
      </c>
      <c r="BD151" s="12">
        <f>IF('Données projet'!$A$88&gt;35,BD150+BC151-BL150,IF(A151&lt;'Données projet'!$A$88,$BA$205^A151,IF(A151='Données projet'!$A$88,'Données projet'!$B$88,BD150+BC151-BL150)))</f>
        <v>436.96000000000049</v>
      </c>
      <c r="BE151" s="13">
        <f>BD151*VLOOKUP('Données projet'!$B$11,Paramètres!$A$1:$I$89,3,0)*VLOOKUP('Données projet'!$B$11,Paramètres!$A$1:$I$89,5,0)</f>
        <v>395.36140800000044</v>
      </c>
      <c r="BF151" s="13">
        <f t="shared" si="145"/>
        <v>90.835624431167318</v>
      </c>
      <c r="BG151" s="20">
        <f t="shared" si="115"/>
        <v>846.79316481761714</v>
      </c>
      <c r="BH151" s="59">
        <f t="shared" si="116"/>
        <v>1140.1264981509505</v>
      </c>
      <c r="BI151" s="59">
        <f ca="1">AVERAGE(OFFSET($BH$3,0,0,'Données projet'!$E$11+1,1))-AVERAGE(OFFSET($H$3,0,0,'Données projet'!$E$11+1,1))</f>
        <v>490.06222615476065</v>
      </c>
      <c r="BJ151" s="59">
        <f t="shared" si="146"/>
        <v>310.43914804089906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39.389622048407197</v>
      </c>
      <c r="BQ151" s="21">
        <f>EXP(-LN(2)/25)*BQ150+(1-EXP(-LN(2)/25))/(LN(2)/25)*Calculateur!BL151*Calculateur!BN151*VLOOKUP('Données projet'!$B$11,Paramètres!$A$1:$I$89,3,0)*0.475*44/12</f>
        <v>16.166708257916973</v>
      </c>
      <c r="BR151" s="21">
        <f>EXP(-LN(2)/2)*BR150+(1-EXP(-LN(2)/2))/(LN(2)/2)*BL151*BO151*VLOOKUP('Données projet'!$B$11,Paramètres!$A$1:$I$89,3,0)*0.475*44/12</f>
        <v>8.3766925944671493E-7</v>
      </c>
      <c r="BS151" s="22">
        <f t="shared" si="117"/>
        <v>55.556331143993432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353.37479213497227</v>
      </c>
      <c r="CE151" s="59">
        <f t="shared" si="148"/>
        <v>345.4750813433123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13.520583781496388</v>
      </c>
      <c r="CL151" s="21">
        <f>EXP(-LN(2)/25)*CL150+(1-EXP(-LN(2)/25))/(LN(2)/25)*Calculateur!CG151*Calculateur!CI151*VLOOKUP('Données projet'!$B$12,Paramètres!$A$1:$I$89,3,0)*0.475*44/12</f>
        <v>7.7896288582188085</v>
      </c>
      <c r="CM151" s="21">
        <f>EXP(-LN(2)/2)*CM150+(1-EXP(-LN(2)/2))/(LN(2)/2)*CG151*CJ151*VLOOKUP('Données projet'!$B$12,Paramètres!$A$1:$I$89,3,0)*0.475*44/12</f>
        <v>3.6333990984364268E-9</v>
      </c>
      <c r="CN151" s="22">
        <f t="shared" si="120"/>
        <v>21.310212643348596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-7.3896444519050419E-13</v>
      </c>
      <c r="CU151" s="17">
        <f>CT151*VLOOKUP('Données projet'!$B$13,Paramètres!$A$1:$I$89,3,0)*VLOOKUP('Données projet'!$B$13,Paramètres!$A$1:$I$89,5,0)</f>
        <v>-3.5544189813663252E-13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314.18760071409162</v>
      </c>
      <c r="CZ151" s="59">
        <f t="shared" si="150"/>
        <v>267.72650645201787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48.055276947130956</v>
      </c>
      <c r="DG151" s="21">
        <f>EXP(-LN(2)/25)*DG150+(1-EXP(-LN(2)/25))/(LN(2)/25)*Calculateur!DB151*Calculateur!DD151*VLOOKUP('Données projet'!$B$13,Paramètres!$A$1:$I$89,3,0)*0.475*44/12</f>
        <v>9.370593845379247</v>
      </c>
      <c r="DH151" s="21">
        <f>EXP(-LN(2)/2)*DH150+(1-EXP(-LN(2)/2))/(LN(2)/2)*DB151*DE151*VLOOKUP('Données projet'!$B$13,Paramètres!$A$1:$I$89,3,0)*0.475*44/12</f>
        <v>6.2511078391452651E-4</v>
      </c>
      <c r="DI151" s="22">
        <f t="shared" si="123"/>
        <v>57.426495903294118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-1.7053025658242404E-13</v>
      </c>
      <c r="DP151" s="17">
        <f>DO151*VLOOKUP('Données projet'!$B$14,Paramètres!$A$1:$I$89,3,0)*VLOOKUP('Données projet'!$B$14,Paramètres!$A$1:$I$89,5,0)</f>
        <v>-1.4897523215040567E-13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324.86930206492627</v>
      </c>
      <c r="DU151" s="59">
        <f t="shared" si="152"/>
        <v>317.03005098025352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11.98428171245687</v>
      </c>
      <c r="EB151" s="21">
        <f>EXP(-LN(2)/25)*EB150+(1-EXP(-LN(2)/25))/(LN(2)/25)*Calculateur!DW151*Calculateur!DY151*VLOOKUP('Données projet'!$B$14,Paramètres!$A$1:$I$89,3,0)*0.475*44/12</f>
        <v>7.0598174450565585</v>
      </c>
      <c r="EC151" s="21">
        <f>EXP(-LN(2)/2)*EC150+(1-EXP(-LN(2)/2))/(LN(2)/2)*DW151*DZ151*VLOOKUP('Données projet'!$B$14,Paramètres!$A$1:$I$89,3,0)*0.475*44/12</f>
        <v>3.3222609792914064E-9</v>
      </c>
      <c r="ED151" s="22">
        <f t="shared" si="126"/>
        <v>19.044099160835689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302.00825291248458</v>
      </c>
      <c r="T152" s="59">
        <f t="shared" si="142"/>
        <v>307.35115839449355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23.830292557686835</v>
      </c>
      <c r="AA152" s="21">
        <f>EXP(-LN(2)/25)*AA151+(1-EXP(-LN(2)/25))/(LN(2)/25)*Calculateur!V152*Calculateur!X152*VLOOKUP('Données projet'!$B$9,Paramètres!$A$1:$I$89,3,0)*0.475*44/12</f>
        <v>4.1071635013904855</v>
      </c>
      <c r="AB152" s="21">
        <f>EXP(-LN(2)/2)*AB151+(1-EXP(-LN(2)/2))/(LN(2)/2)*V152*Y152*VLOOKUP('Données projet'!$B$9,Paramètres!$A$1:$I$89,3,0)*0.475*44/12</f>
        <v>2.4101122352318895E-12</v>
      </c>
      <c r="AC152" s="22">
        <f t="shared" si="111"/>
        <v>27.937456059079729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5.0249582272954292E-14</v>
      </c>
      <c r="AK152" s="13">
        <f t="shared" si="143"/>
        <v>8.1784820119191593E-13</v>
      </c>
      <c r="AL152" s="20">
        <f t="shared" si="112"/>
        <v>1.5119369728679821E-12</v>
      </c>
      <c r="AM152" s="59">
        <f t="shared" si="113"/>
        <v>293.33333333333485</v>
      </c>
      <c r="AN152" s="59">
        <f ca="1">AVERAGE(OFFSET($AM$3,0,0,'Données projet'!$E$10+1,1))-AVERAGE(OFFSET($H$3,0,0,'Données projet'!$E$10+1,1))</f>
        <v>394.37446333077651</v>
      </c>
      <c r="AO152" s="59">
        <f t="shared" si="144"/>
        <v>335.44327961212963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52.691658735473318</v>
      </c>
      <c r="AV152" s="21">
        <f>EXP(-LN(2)/25)*AV151+(1-EXP(-LN(2)/25))/(LN(2)/25)*Calculateur!AQ152*Calculateur!AS152*VLOOKUP('Données projet'!$B$10,Paramètres!$A$1:$I$89,3,0)*0.475*44/12</f>
        <v>10.61356961163537</v>
      </c>
      <c r="AW152" s="21">
        <f>EXP(-LN(2)/2)*AW151+(1-EXP(-LN(2)/2))/(LN(2)/2)*AQ152*AT152*VLOOKUP('Données projet'!$B$10,Paramètres!$A$1:$I$89,3,0)*0.475*44/12</f>
        <v>3.2352600521857564E-9</v>
      </c>
      <c r="AX152" s="21">
        <f t="shared" si="114"/>
        <v>63.305228350343945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7.5999999999999988</v>
      </c>
      <c r="BC152" s="12">
        <f t="array" ref="BC152">INDEX(BB:BB,MIN(IF(ISNUMBER(BB152:BB348),ROW(BB152:BB348),"")))</f>
        <v>7.5999999999999988</v>
      </c>
      <c r="BD152" s="12">
        <f>IF('Données projet'!$A$88&gt;35,BD151+BC152-BL151,IF(A152&lt;'Données projet'!$A$88,$BA$205^A152,IF(A152='Données projet'!$A$88,'Données projet'!$B$88,BD151+BC152-BL151)))</f>
        <v>444.56000000000051</v>
      </c>
      <c r="BE152" s="13">
        <f>BD152*VLOOKUP('Données projet'!$B$11,Paramètres!$A$1:$I$89,3,0)*VLOOKUP('Données projet'!$B$11,Paramètres!$A$1:$I$89,5,0)</f>
        <v>402.23788800000051</v>
      </c>
      <c r="BF152" s="13">
        <f t="shared" si="145"/>
        <v>92.230215246448978</v>
      </c>
      <c r="BG152" s="20">
        <f t="shared" si="115"/>
        <v>861.1986131542327</v>
      </c>
      <c r="BH152" s="59">
        <f t="shared" si="116"/>
        <v>1154.5319464875661</v>
      </c>
      <c r="BI152" s="59">
        <f ca="1">AVERAGE(OFFSET($BH$3,0,0,'Données projet'!$E$11+1,1))-AVERAGE(OFFSET($H$3,0,0,'Données projet'!$E$11+1,1))</f>
        <v>490.06222615476065</v>
      </c>
      <c r="BJ152" s="59">
        <f t="shared" si="146"/>
        <v>310.43914804089906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176.67000000000002</v>
      </c>
      <c r="BM152" s="16">
        <f>IF(ISNA(VLOOKUP(A152,'Données projet'!$A$87:$I$107,5,0)),0%,VLOOKUP(A152,'Données projet'!$A$87:$I$107,5,0)*VLOOKUP('Données projet'!$B$11,Paramètres!$A$1:$I$89,7,0))</f>
        <v>0.19350000000000001</v>
      </c>
      <c r="BN152" s="16">
        <f>IF(ISNA(VLOOKUP(A152,'Données projet'!$A$87:$I$107,6,0)),0%,VLOOKUP(A152,'Données projet'!$A$87:$I$107,6,0)*VLOOKUP('Données projet'!$B$11,Paramètres!$A$1:$I$89,7,0))</f>
        <v>2.1500000000000002E-2</v>
      </c>
      <c r="BO152" s="16">
        <f>IF(ISNA(VLOOKUP(A152,'Données projet'!$A$87:$I$107,7,0)),0%,VLOOKUP(A152,'Données projet'!$A$87:$I$107,7,0))</f>
        <v>0.05</v>
      </c>
      <c r="BP152" s="21">
        <f>EXP(-LN(2)/35)*BP151+(1-EXP(-LN(2)/35))/(LN(2)/35)*BL152*BM152*VLOOKUP('Données projet'!$B$11,Paramètres!$A$1:$I$89,3,0)*0.475*44/12</f>
        <v>72.810709588964016</v>
      </c>
      <c r="BQ152" s="21">
        <f>EXP(-LN(2)/25)*BQ151+(1-EXP(-LN(2)/25))/(LN(2)/25)*Calculateur!BL152*Calculateur!BN152*VLOOKUP('Données projet'!$B$11,Paramètres!$A$1:$I$89,3,0)*0.475*44/12</f>
        <v>19.508946680322214</v>
      </c>
      <c r="BR152" s="21">
        <f>EXP(-LN(2)/2)*BR151+(1-EXP(-LN(2)/2))/(LN(2)/2)*BL152*BO152*VLOOKUP('Données projet'!$B$11,Paramètres!$A$1:$I$89,3,0)*0.475*44/12</f>
        <v>7.5411873884724425</v>
      </c>
      <c r="BS152" s="22">
        <f t="shared" si="117"/>
        <v>99.860843657758664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353.37479213497227</v>
      </c>
      <c r="CE152" s="59">
        <f t="shared" si="148"/>
        <v>345.4750813433123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13.255453380283052</v>
      </c>
      <c r="CL152" s="21">
        <f>EXP(-LN(2)/25)*CL151+(1-EXP(-LN(2)/25))/(LN(2)/25)*Calculateur!CG152*Calculateur!CI152*VLOOKUP('Données projet'!$B$12,Paramètres!$A$1:$I$89,3,0)*0.475*44/12</f>
        <v>7.5766210474520372</v>
      </c>
      <c r="CM152" s="21">
        <f>EXP(-LN(2)/2)*CM151+(1-EXP(-LN(2)/2))/(LN(2)/2)*CG152*CJ152*VLOOKUP('Données projet'!$B$12,Paramètres!$A$1:$I$89,3,0)*0.475*44/12</f>
        <v>2.5692011412614855E-9</v>
      </c>
      <c r="CN152" s="22">
        <f t="shared" si="120"/>
        <v>20.832074430304292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-7.3896444519050419E-13</v>
      </c>
      <c r="CU152" s="17">
        <f>CT152*VLOOKUP('Données projet'!$B$13,Paramètres!$A$1:$I$89,3,0)*VLOOKUP('Données projet'!$B$13,Paramètres!$A$1:$I$89,5,0)</f>
        <v>-3.5544189813663252E-13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314.18760071409162</v>
      </c>
      <c r="CZ152" s="59">
        <f t="shared" si="150"/>
        <v>267.72650645201787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47.112942277022455</v>
      </c>
      <c r="DG152" s="21">
        <f>EXP(-LN(2)/25)*DG151+(1-EXP(-LN(2)/25))/(LN(2)/25)*Calculateur!DB152*Calculateur!DD152*VLOOKUP('Données projet'!$B$13,Paramètres!$A$1:$I$89,3,0)*0.475*44/12</f>
        <v>9.1143544638992378</v>
      </c>
      <c r="DH152" s="21">
        <f>EXP(-LN(2)/2)*DH151+(1-EXP(-LN(2)/2))/(LN(2)/2)*DB152*DE152*VLOOKUP('Données projet'!$B$13,Paramètres!$A$1:$I$89,3,0)*0.475*44/12</f>
        <v>4.4202007429880029E-4</v>
      </c>
      <c r="DI152" s="22">
        <f t="shared" si="123"/>
        <v>56.22773876099599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-1.7053025658242404E-13</v>
      </c>
      <c r="DP152" s="17">
        <f>DO152*VLOOKUP('Données projet'!$B$14,Paramètres!$A$1:$I$89,3,0)*VLOOKUP('Données projet'!$B$14,Paramètres!$A$1:$I$89,5,0)</f>
        <v>-1.4897523215040567E-13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324.86930206492627</v>
      </c>
      <c r="DU152" s="59">
        <f t="shared" si="152"/>
        <v>317.03005098025352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11.749277257765662</v>
      </c>
      <c r="EB152" s="21">
        <f>EXP(-LN(2)/25)*EB151+(1-EXP(-LN(2)/25))/(LN(2)/25)*Calculateur!DW152*Calculateur!DY152*VLOOKUP('Données projet'!$B$14,Paramètres!$A$1:$I$89,3,0)*0.475*44/12</f>
        <v>6.8667663657618228</v>
      </c>
      <c r="EC152" s="21">
        <f>EXP(-LN(2)/2)*EC151+(1-EXP(-LN(2)/2))/(LN(2)/2)*DW152*DZ152*VLOOKUP('Données projet'!$B$14,Paramètres!$A$1:$I$89,3,0)*0.475*44/12</f>
        <v>2.3491932673284135E-9</v>
      </c>
      <c r="ED152" s="22">
        <f t="shared" si="126"/>
        <v>18.616043625876678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302.00825291248458</v>
      </c>
      <c r="T153" s="59">
        <f t="shared" si="142"/>
        <v>307.35115839449355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23.362995055673842</v>
      </c>
      <c r="AA153" s="21">
        <f>EXP(-LN(2)/25)*AA152+(1-EXP(-LN(2)/25))/(LN(2)/25)*Calculateur!V153*Calculateur!X153*VLOOKUP('Données projet'!$B$9,Paramètres!$A$1:$I$89,3,0)*0.475*44/12</f>
        <v>3.9948528994586212</v>
      </c>
      <c r="AB153" s="21">
        <f>EXP(-LN(2)/2)*AB152+(1-EXP(-LN(2)/2))/(LN(2)/2)*V153*Y153*VLOOKUP('Données projet'!$B$9,Paramètres!$A$1:$I$89,3,0)*0.475*44/12</f>
        <v>1.7042067049531367E-12</v>
      </c>
      <c r="AC153" s="22">
        <f t="shared" si="111"/>
        <v>27.357847955134169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5.0249582272954292E-14</v>
      </c>
      <c r="AK153" s="13">
        <f t="shared" si="143"/>
        <v>8.1784820119191593E-13</v>
      </c>
      <c r="AL153" s="20">
        <f t="shared" si="112"/>
        <v>1.5119369728679821E-12</v>
      </c>
      <c r="AM153" s="59">
        <f t="shared" si="113"/>
        <v>293.33333333333485</v>
      </c>
      <c r="AN153" s="59">
        <f ca="1">AVERAGE(OFFSET($AM$3,0,0,'Données projet'!$E$10+1,1))-AVERAGE(OFFSET($H$3,0,0,'Données projet'!$E$10+1,1))</f>
        <v>394.37446333077651</v>
      </c>
      <c r="AO153" s="59">
        <f t="shared" si="144"/>
        <v>335.44327961212963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51.658407446409079</v>
      </c>
      <c r="AV153" s="21">
        <f>EXP(-LN(2)/25)*AV152+(1-EXP(-LN(2)/25))/(LN(2)/25)*Calculateur!AQ153*Calculateur!AS153*VLOOKUP('Données projet'!$B$10,Paramètres!$A$1:$I$89,3,0)*0.475*44/12</f>
        <v>10.323340992461832</v>
      </c>
      <c r="AW153" s="21">
        <f>EXP(-LN(2)/2)*AW152+(1-EXP(-LN(2)/2))/(LN(2)/2)*AQ153*AT153*VLOOKUP('Données projet'!$B$10,Paramètres!$A$1:$I$89,3,0)*0.475*44/12</f>
        <v>2.2876743218024919E-9</v>
      </c>
      <c r="AX153" s="21">
        <f t="shared" si="114"/>
        <v>61.981748441158587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4.6025000000000063</v>
      </c>
      <c r="BD153" s="12">
        <f>IF('Données projet'!$A$88&gt;35,BD152+BC153-BL152,IF(A153&lt;'Données projet'!$A$88,$BA$205^A153,IF(A153='Données projet'!$A$88,'Données projet'!$B$88,BD152+BC153-BL152)))</f>
        <v>272.49250000000052</v>
      </c>
      <c r="BE153" s="13">
        <f>BD153*VLOOKUP('Données projet'!$B$11,Paramètres!$A$1:$I$89,3,0)*VLOOKUP('Données projet'!$B$11,Paramètres!$A$1:$I$89,5,0)</f>
        <v>246.55121400000044</v>
      </c>
      <c r="BF153" s="13">
        <f t="shared" si="145"/>
        <v>59.846839241174408</v>
      </c>
      <c r="BG153" s="20">
        <f t="shared" si="115"/>
        <v>533.64327606171275</v>
      </c>
      <c r="BH153" s="59">
        <f t="shared" si="116"/>
        <v>826.97660939504613</v>
      </c>
      <c r="BI153" s="59">
        <f ca="1">AVERAGE(OFFSET($BH$3,0,0,'Données projet'!$E$11+1,1))-AVERAGE(OFFSET($H$3,0,0,'Données projet'!$E$11+1,1))</f>
        <v>490.06222615476065</v>
      </c>
      <c r="BJ153" s="59">
        <f t="shared" si="146"/>
        <v>310.43914804089906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71.382935984072148</v>
      </c>
      <c r="BQ153" s="21">
        <f>EXP(-LN(2)/25)*BQ152+(1-EXP(-LN(2)/25))/(LN(2)/25)*Calculateur!BL153*Calculateur!BN153*VLOOKUP('Données projet'!$B$11,Paramètres!$A$1:$I$89,3,0)*0.475*44/12</f>
        <v>18.975473507417885</v>
      </c>
      <c r="BR153" s="21">
        <f>EXP(-LN(2)/2)*BR152+(1-EXP(-LN(2)/2))/(LN(2)/2)*BL153*BO153*VLOOKUP('Données projet'!$B$11,Paramètres!$A$1:$I$89,3,0)*0.475*44/12</f>
        <v>5.332424740587336</v>
      </c>
      <c r="BS153" s="22">
        <f t="shared" si="117"/>
        <v>95.690834232077378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353.37479213497227</v>
      </c>
      <c r="CE153" s="59">
        <f t="shared" si="148"/>
        <v>345.4750813433123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12.995522024523934</v>
      </c>
      <c r="CL153" s="21">
        <f>EXP(-LN(2)/25)*CL152+(1-EXP(-LN(2)/25))/(LN(2)/25)*Calculateur!CG153*Calculateur!CI153*VLOOKUP('Données projet'!$B$12,Paramètres!$A$1:$I$89,3,0)*0.475*44/12</f>
        <v>7.369437946472277</v>
      </c>
      <c r="CM153" s="21">
        <f>EXP(-LN(2)/2)*CM152+(1-EXP(-LN(2)/2))/(LN(2)/2)*CG153*CJ153*VLOOKUP('Données projet'!$B$12,Paramètres!$A$1:$I$89,3,0)*0.475*44/12</f>
        <v>1.8166995492182134E-9</v>
      </c>
      <c r="CN153" s="22">
        <f t="shared" si="120"/>
        <v>20.364959972812908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-7.3896444519050419E-13</v>
      </c>
      <c r="CU153" s="17">
        <f>CT153*VLOOKUP('Données projet'!$B$13,Paramètres!$A$1:$I$89,3,0)*VLOOKUP('Données projet'!$B$13,Paramètres!$A$1:$I$89,5,0)</f>
        <v>-3.5544189813663252E-13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314.18760071409162</v>
      </c>
      <c r="CZ153" s="59">
        <f t="shared" si="150"/>
        <v>267.72650645201787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46.18908621502738</v>
      </c>
      <c r="DG153" s="21">
        <f>EXP(-LN(2)/25)*DG152+(1-EXP(-LN(2)/25))/(LN(2)/25)*Calculateur!DB153*Calculateur!DD153*VLOOKUP('Données projet'!$B$13,Paramètres!$A$1:$I$89,3,0)*0.475*44/12</f>
        <v>8.8651219617808437</v>
      </c>
      <c r="DH153" s="21">
        <f>EXP(-LN(2)/2)*DH152+(1-EXP(-LN(2)/2))/(LN(2)/2)*DB153*DE153*VLOOKUP('Données projet'!$B$13,Paramètres!$A$1:$I$89,3,0)*0.475*44/12</f>
        <v>3.1255539195726325E-4</v>
      </c>
      <c r="DI153" s="22">
        <f t="shared" si="123"/>
        <v>55.054520732200181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-1.7053025658242404E-13</v>
      </c>
      <c r="DP153" s="17">
        <f>DO153*VLOOKUP('Données projet'!$B$14,Paramètres!$A$1:$I$89,3,0)*VLOOKUP('Données projet'!$B$14,Paramètres!$A$1:$I$89,5,0)</f>
        <v>-1.4897523215040567E-13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324.86930206492627</v>
      </c>
      <c r="DU153" s="59">
        <f t="shared" si="152"/>
        <v>317.03005098025352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11.518881097092386</v>
      </c>
      <c r="EB153" s="21">
        <f>EXP(-LN(2)/25)*EB152+(1-EXP(-LN(2)/25))/(LN(2)/25)*Calculateur!DW153*Calculateur!DY153*VLOOKUP('Données projet'!$B$14,Paramètres!$A$1:$I$89,3,0)*0.475*44/12</f>
        <v>6.6789942783825165</v>
      </c>
      <c r="EC153" s="21">
        <f>EXP(-LN(2)/2)*EC152+(1-EXP(-LN(2)/2))/(LN(2)/2)*DW153*DZ153*VLOOKUP('Données projet'!$B$14,Paramètres!$A$1:$I$89,3,0)*0.475*44/12</f>
        <v>1.6611304896457032E-9</v>
      </c>
      <c r="ED153" s="22">
        <f t="shared" si="126"/>
        <v>18.197875377136032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302.00825291248458</v>
      </c>
      <c r="T154" s="59">
        <f t="shared" si="142"/>
        <v>307.35115839449355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22.904860972651989</v>
      </c>
      <c r="AA154" s="21">
        <f>EXP(-LN(2)/25)*AA153+(1-EXP(-LN(2)/25))/(LN(2)/25)*Calculateur!V154*Calculateur!X154*VLOOKUP('Données projet'!$B$9,Paramètres!$A$1:$I$89,3,0)*0.475*44/12</f>
        <v>3.8856134368427417</v>
      </c>
      <c r="AB154" s="21">
        <f>EXP(-LN(2)/2)*AB153+(1-EXP(-LN(2)/2))/(LN(2)/2)*V154*Y154*VLOOKUP('Données projet'!$B$9,Paramètres!$A$1:$I$89,3,0)*0.475*44/12</f>
        <v>1.2050561176159448E-12</v>
      </c>
      <c r="AC154" s="22">
        <f t="shared" ref="AC154:AC203" si="163">SUM(Z154:AB154)</f>
        <v>26.790474409495936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5.0249582272954292E-14</v>
      </c>
      <c r="AK154" s="13">
        <f t="shared" ref="AK154:AK203" si="164">EXP(-1.0587+0.8836*LN(AJ154)+0.284)</f>
        <v>8.1784820119191593E-13</v>
      </c>
      <c r="AL154" s="20">
        <f t="shared" ref="AL154:AL203" si="165">(AJ154+AK154)*0.475*44/12</f>
        <v>1.5119369728679821E-12</v>
      </c>
      <c r="AM154" s="59">
        <f t="shared" si="113"/>
        <v>293.33333333333485</v>
      </c>
      <c r="AN154" s="59">
        <f ca="1">AVERAGE(OFFSET($AM$3,0,0,'Données projet'!$E$10+1,1))-AVERAGE(OFFSET($H$3,0,0,'Données projet'!$E$10+1,1))</f>
        <v>394.37446333077651</v>
      </c>
      <c r="AO154" s="59">
        <f t="shared" si="144"/>
        <v>335.44327961212963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50.645417584902333</v>
      </c>
      <c r="AV154" s="21">
        <f>EXP(-LN(2)/25)*AV153+(1-EXP(-LN(2)/25))/(LN(2)/25)*Calculateur!AQ154*Calculateur!AS154*VLOOKUP('Données projet'!$B$10,Paramètres!$A$1:$I$89,3,0)*0.475*44/12</f>
        <v>10.041048690142054</v>
      </c>
      <c r="AW154" s="21">
        <f>EXP(-LN(2)/2)*AW153+(1-EXP(-LN(2)/2))/(LN(2)/2)*AQ154*AT154*VLOOKUP('Données projet'!$B$10,Paramètres!$A$1:$I$89,3,0)*0.475*44/12</f>
        <v>1.6176300260928782E-9</v>
      </c>
      <c r="AX154" s="21">
        <f t="shared" ref="AX154:AX203" si="166">SUM(AU154:AW154)</f>
        <v>60.686466276662017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4.6025000000000063</v>
      </c>
      <c r="BD154" s="12">
        <f>IF('Données projet'!$A$88&gt;35,BD153+BC154-BL153,IF(A154&lt;'Données projet'!$A$88,$BA$205^A154,IF(A154='Données projet'!$A$88,'Données projet'!$B$88,BD153+BC154-BL153)))</f>
        <v>277.09500000000054</v>
      </c>
      <c r="BE154" s="13">
        <f>BD154*VLOOKUP('Données projet'!$B$11,Paramètres!$A$1:$I$89,3,0)*VLOOKUP('Données projet'!$B$11,Paramètres!$A$1:$I$89,5,0)</f>
        <v>250.71555600000048</v>
      </c>
      <c r="BF154" s="13">
        <f t="shared" ref="BF154:BF203" si="167">EXP(-1.0587+0.8836*LN(BE154)+0.284)</f>
        <v>60.739140902774786</v>
      </c>
      <c r="BG154" s="20">
        <f t="shared" ref="BG154:BG203" si="168">(BE154+BF154)*0.475*44/12</f>
        <v>542.45026377233353</v>
      </c>
      <c r="BH154" s="59">
        <f t="shared" si="116"/>
        <v>835.78359710566679</v>
      </c>
      <c r="BI154" s="59">
        <f ca="1">AVERAGE(OFFSET($BH$3,0,0,'Données projet'!$E$11+1,1))-AVERAGE(OFFSET($H$3,0,0,'Données projet'!$E$11+1,1))</f>
        <v>490.06222615476065</v>
      </c>
      <c r="BJ154" s="59">
        <f t="shared" si="146"/>
        <v>310.43914804089906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69.983160148716294</v>
      </c>
      <c r="BQ154" s="21">
        <f>EXP(-LN(2)/25)*BQ153+(1-EXP(-LN(2)/25))/(LN(2)/25)*Calculateur!BL154*Calculateur!BN154*VLOOKUP('Données projet'!$B$11,Paramètres!$A$1:$I$89,3,0)*0.475*44/12</f>
        <v>18.456588186480761</v>
      </c>
      <c r="BR154" s="21">
        <f>EXP(-LN(2)/2)*BR153+(1-EXP(-LN(2)/2))/(LN(2)/2)*BL154*BO154*VLOOKUP('Données projet'!$B$11,Paramètres!$A$1:$I$89,3,0)*0.475*44/12</f>
        <v>3.7705936942362221</v>
      </c>
      <c r="BS154" s="22">
        <f t="shared" ref="BS154:BS203" si="169">SUM(BP154:BR154)</f>
        <v>92.210342029433278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353.37479213497227</v>
      </c>
      <c r="CE154" s="59">
        <f t="shared" si="148"/>
        <v>345.4750813433123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12.740687764108779</v>
      </c>
      <c r="CL154" s="21">
        <f>EXP(-LN(2)/25)*CL153+(1-EXP(-LN(2)/25))/(LN(2)/25)*Calculateur!CG154*Calculateur!CI154*VLOOKUP('Données projet'!$B$12,Paramètres!$A$1:$I$89,3,0)*0.475*44/12</f>
        <v>7.1679202782840941</v>
      </c>
      <c r="CM154" s="21">
        <f>EXP(-LN(2)/2)*CM153+(1-EXP(-LN(2)/2))/(LN(2)/2)*CG154*CJ154*VLOOKUP('Données projet'!$B$12,Paramètres!$A$1:$I$89,3,0)*0.475*44/12</f>
        <v>1.2846005706307427E-9</v>
      </c>
      <c r="CN154" s="22">
        <f t="shared" ref="CN154:CN203" si="172">SUM(CK154:CM154)</f>
        <v>19.908608043677475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-7.3896444519050419E-13</v>
      </c>
      <c r="CU154" s="17">
        <f>CT154*VLOOKUP('Données projet'!$B$13,Paramètres!$A$1:$I$89,3,0)*VLOOKUP('Données projet'!$B$13,Paramètres!$A$1:$I$89,5,0)</f>
        <v>-3.5544189813663252E-13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314.18760071409162</v>
      </c>
      <c r="CZ154" s="59">
        <f t="shared" si="150"/>
        <v>267.72650645201787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45.283346406911477</v>
      </c>
      <c r="DG154" s="21">
        <f>EXP(-LN(2)/25)*DG153+(1-EXP(-LN(2)/25))/(LN(2)/25)*Calculateur!DB154*Calculateur!DD154*VLOOKUP('Données projet'!$B$13,Paramètres!$A$1:$I$89,3,0)*0.475*44/12</f>
        <v>8.6227047355394433</v>
      </c>
      <c r="DH154" s="21">
        <f>EXP(-LN(2)/2)*DH153+(1-EXP(-LN(2)/2))/(LN(2)/2)*DB154*DE154*VLOOKUP('Données projet'!$B$13,Paramètres!$A$1:$I$89,3,0)*0.475*44/12</f>
        <v>2.2101003714940015E-4</v>
      </c>
      <c r="DI154" s="22">
        <f t="shared" ref="DI154:DI203" si="175">SUM(DF154:DH154)</f>
        <v>53.906272152488071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-1.7053025658242404E-13</v>
      </c>
      <c r="DP154" s="17">
        <f>DO154*VLOOKUP('Données projet'!$B$14,Paramètres!$A$1:$I$89,3,0)*VLOOKUP('Données projet'!$B$14,Paramètres!$A$1:$I$89,5,0)</f>
        <v>-1.4897523215040567E-13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324.86930206492627</v>
      </c>
      <c r="DU154" s="59">
        <f t="shared" si="152"/>
        <v>317.03005098025352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11.293002864602132</v>
      </c>
      <c r="EB154" s="21">
        <f>EXP(-LN(2)/25)*EB153+(1-EXP(-LN(2)/25))/(LN(2)/25)*Calculateur!DW154*Calculateur!DY154*VLOOKUP('Données projet'!$B$14,Paramètres!$A$1:$I$89,3,0)*0.475*44/12</f>
        <v>6.4963568286071025</v>
      </c>
      <c r="EC154" s="21">
        <f>EXP(-LN(2)/2)*EC153+(1-EXP(-LN(2)/2))/(LN(2)/2)*DW154*DZ154*VLOOKUP('Données projet'!$B$14,Paramètres!$A$1:$I$89,3,0)*0.475*44/12</f>
        <v>1.1745966336642068E-9</v>
      </c>
      <c r="ED154" s="22">
        <f t="shared" ref="ED154:ED203" si="178">SUM(EA154:EC154)</f>
        <v>17.789359694383833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302.00825291248458</v>
      </c>
      <c r="T155" s="59">
        <f t="shared" si="142"/>
        <v>307.35115839449355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22.455710619563995</v>
      </c>
      <c r="AA155" s="21">
        <f>EXP(-LN(2)/25)*AA154+(1-EXP(-LN(2)/25))/(LN(2)/25)*Calculateur!V155*Calculateur!X155*VLOOKUP('Données projet'!$B$9,Paramètres!$A$1:$I$89,3,0)*0.475*44/12</f>
        <v>3.7793611330767471</v>
      </c>
      <c r="AB155" s="21">
        <f>EXP(-LN(2)/2)*AB154+(1-EXP(-LN(2)/2))/(LN(2)/2)*V155*Y155*VLOOKUP('Données projet'!$B$9,Paramètres!$A$1:$I$89,3,0)*0.475*44/12</f>
        <v>8.5210335247656834E-13</v>
      </c>
      <c r="AC155" s="22">
        <f t="shared" si="163"/>
        <v>26.235071752641595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5.0249582272954292E-14</v>
      </c>
      <c r="AK155" s="13">
        <f t="shared" si="164"/>
        <v>8.1784820119191593E-13</v>
      </c>
      <c r="AL155" s="20">
        <f t="shared" si="165"/>
        <v>1.5119369728679821E-12</v>
      </c>
      <c r="AM155" s="59">
        <f t="shared" si="113"/>
        <v>293.33333333333485</v>
      </c>
      <c r="AN155" s="59">
        <f ca="1">AVERAGE(OFFSET($AM$3,0,0,'Données projet'!$E$10+1,1))-AVERAGE(OFFSET($H$3,0,0,'Données projet'!$E$10+1,1))</f>
        <v>394.37446333077651</v>
      </c>
      <c r="AO155" s="59">
        <f t="shared" si="144"/>
        <v>335.44327961212963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49.652291836716927</v>
      </c>
      <c r="AV155" s="21">
        <f>EXP(-LN(2)/25)*AV154+(1-EXP(-LN(2)/25))/(LN(2)/25)*Calculateur!AQ155*Calculateur!AS155*VLOOKUP('Données projet'!$B$10,Paramètres!$A$1:$I$89,3,0)*0.475*44/12</f>
        <v>9.7664756856743171</v>
      </c>
      <c r="AW155" s="21">
        <f>EXP(-LN(2)/2)*AW154+(1-EXP(-LN(2)/2))/(LN(2)/2)*AQ155*AT155*VLOOKUP('Données projet'!$B$10,Paramètres!$A$1:$I$89,3,0)*0.475*44/12</f>
        <v>1.143837160901246E-9</v>
      </c>
      <c r="AX155" s="21">
        <f t="shared" si="166"/>
        <v>59.418767523535081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4.6025000000000063</v>
      </c>
      <c r="BD155" s="12">
        <f>IF('Données projet'!$A$88&gt;35,BD154+BC155-BL154,IF(A155&lt;'Données projet'!$A$88,$BA$205^A155,IF(A155='Données projet'!$A$88,'Données projet'!$B$88,BD154+BC155-BL154)))</f>
        <v>281.69750000000056</v>
      </c>
      <c r="BE155" s="13">
        <f>BD155*VLOOKUP('Données projet'!$B$11,Paramètres!$A$1:$I$89,3,0)*VLOOKUP('Données projet'!$B$11,Paramètres!$A$1:$I$89,5,0)</f>
        <v>254.87989800000048</v>
      </c>
      <c r="BF155" s="13">
        <f t="shared" si="167"/>
        <v>61.629718985583246</v>
      </c>
      <c r="BG155" s="20">
        <f t="shared" si="168"/>
        <v>551.25424958322492</v>
      </c>
      <c r="BH155" s="59">
        <f t="shared" si="116"/>
        <v>844.58758291655818</v>
      </c>
      <c r="BI155" s="59">
        <f ca="1">AVERAGE(OFFSET($BH$3,0,0,'Données projet'!$E$11+1,1))-AVERAGE(OFFSET($H$3,0,0,'Données projet'!$E$11+1,1))</f>
        <v>490.06222615476065</v>
      </c>
      <c r="BJ155" s="59">
        <f t="shared" si="146"/>
        <v>310.43914804089906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68.610833063712818</v>
      </c>
      <c r="BQ155" s="21">
        <f>EXP(-LN(2)/25)*BQ154+(1-EXP(-LN(2)/25))/(LN(2)/25)*Calculateur!BL155*Calculateur!BN155*VLOOKUP('Données projet'!$B$11,Paramètres!$A$1:$I$89,3,0)*0.475*44/12</f>
        <v>17.951891811931656</v>
      </c>
      <c r="BR155" s="21">
        <f>EXP(-LN(2)/2)*BR154+(1-EXP(-LN(2)/2))/(LN(2)/2)*BL155*BO155*VLOOKUP('Données projet'!$B$11,Paramètres!$A$1:$I$89,3,0)*0.475*44/12</f>
        <v>2.6662123702936684</v>
      </c>
      <c r="BS155" s="22">
        <f t="shared" si="169"/>
        <v>89.228937245938141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353.37479213497227</v>
      </c>
      <c r="CE155" s="59">
        <f t="shared" si="148"/>
        <v>345.4750813433123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12.490850648106814</v>
      </c>
      <c r="CL155" s="21">
        <f>EXP(-LN(2)/25)*CL154+(1-EXP(-LN(2)/25))/(LN(2)/25)*Calculateur!CG155*Calculateur!CI155*VLOOKUP('Données projet'!$B$12,Paramètres!$A$1:$I$89,3,0)*0.475*44/12</f>
        <v>6.9719131213298704</v>
      </c>
      <c r="CM155" s="21">
        <f>EXP(-LN(2)/2)*CM154+(1-EXP(-LN(2)/2))/(LN(2)/2)*CG155*CJ155*VLOOKUP('Données projet'!$B$12,Paramètres!$A$1:$I$89,3,0)*0.475*44/12</f>
        <v>9.083497746091067E-10</v>
      </c>
      <c r="CN155" s="22">
        <f t="shared" si="172"/>
        <v>19.462763770345035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-7.3896444519050419E-13</v>
      </c>
      <c r="CU155" s="17">
        <f>CT155*VLOOKUP('Données projet'!$B$13,Paramètres!$A$1:$I$89,3,0)*VLOOKUP('Données projet'!$B$13,Paramètres!$A$1:$I$89,5,0)</f>
        <v>-3.5544189813663252E-13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314.18760071409162</v>
      </c>
      <c r="CZ155" s="59">
        <f t="shared" si="150"/>
        <v>267.72650645201787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44.395367603985989</v>
      </c>
      <c r="DG155" s="21">
        <f>EXP(-LN(2)/25)*DG154+(1-EXP(-LN(2)/25))/(LN(2)/25)*Calculateur!DB155*Calculateur!DD155*VLOOKUP('Données projet'!$B$13,Paramètres!$A$1:$I$89,3,0)*0.475*44/12</f>
        <v>8.3869164210977818</v>
      </c>
      <c r="DH155" s="21">
        <f>EXP(-LN(2)/2)*DH154+(1-EXP(-LN(2)/2))/(LN(2)/2)*DB155*DE155*VLOOKUP('Données projet'!$B$13,Paramètres!$A$1:$I$89,3,0)*0.475*44/12</f>
        <v>1.5627769597863163E-4</v>
      </c>
      <c r="DI155" s="22">
        <f t="shared" si="175"/>
        <v>52.782440302779747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-1.7053025658242404E-13</v>
      </c>
      <c r="DP155" s="17">
        <f>DO155*VLOOKUP('Données projet'!$B$14,Paramètres!$A$1:$I$89,3,0)*VLOOKUP('Données projet'!$B$14,Paramètres!$A$1:$I$89,5,0)</f>
        <v>-1.4897523215040567E-13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324.86930206492627</v>
      </c>
      <c r="DU155" s="59">
        <f t="shared" si="152"/>
        <v>317.03005098025352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11.071553966478893</v>
      </c>
      <c r="EB155" s="21">
        <f>EXP(-LN(2)/25)*EB154+(1-EXP(-LN(2)/25))/(LN(2)/25)*Calculateur!DW155*Calculateur!DY155*VLOOKUP('Données projet'!$B$14,Paramètres!$A$1:$I$89,3,0)*0.475*44/12</f>
        <v>6.3187136095002829</v>
      </c>
      <c r="EC155" s="21">
        <f>EXP(-LN(2)/2)*EC154+(1-EXP(-LN(2)/2))/(LN(2)/2)*DW155*DZ155*VLOOKUP('Données projet'!$B$14,Paramètres!$A$1:$I$89,3,0)*0.475*44/12</f>
        <v>8.3056524482285159E-10</v>
      </c>
      <c r="ED155" s="22">
        <f t="shared" si="178"/>
        <v>17.390267576809741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302.00825291248458</v>
      </c>
      <c r="T156" s="59">
        <f t="shared" si="142"/>
        <v>307.35115839449355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22.015367830945394</v>
      </c>
      <c r="AA156" s="21">
        <f>EXP(-LN(2)/25)*AA155+(1-EXP(-LN(2)/25))/(LN(2)/25)*Calculateur!V156*Calculateur!X156*VLOOKUP('Données projet'!$B$9,Paramètres!$A$1:$I$89,3,0)*0.475*44/12</f>
        <v>3.6760143041447995</v>
      </c>
      <c r="AB156" s="21">
        <f>EXP(-LN(2)/2)*AB155+(1-EXP(-LN(2)/2))/(LN(2)/2)*V156*Y156*VLOOKUP('Données projet'!$B$9,Paramètres!$A$1:$I$89,3,0)*0.475*44/12</f>
        <v>6.0252805880797238E-13</v>
      </c>
      <c r="AC156" s="22">
        <f t="shared" si="163"/>
        <v>25.691382135090798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5.0249582272954292E-14</v>
      </c>
      <c r="AK156" s="13">
        <f t="shared" si="164"/>
        <v>8.1784820119191593E-13</v>
      </c>
      <c r="AL156" s="20">
        <f t="shared" si="165"/>
        <v>1.5119369728679821E-12</v>
      </c>
      <c r="AM156" s="59">
        <f t="shared" si="113"/>
        <v>293.33333333333485</v>
      </c>
      <c r="AN156" s="59">
        <f ca="1">AVERAGE(OFFSET($AM$3,0,0,'Données projet'!$E$10+1,1))-AVERAGE(OFFSET($H$3,0,0,'Données projet'!$E$10+1,1))</f>
        <v>394.37446333077651</v>
      </c>
      <c r="AO156" s="59">
        <f t="shared" si="144"/>
        <v>335.44327961212963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48.678640678706543</v>
      </c>
      <c r="AV156" s="21">
        <f>EXP(-LN(2)/25)*AV155+(1-EXP(-LN(2)/25))/(LN(2)/25)*Calculateur!AQ156*Calculateur!AS156*VLOOKUP('Données projet'!$B$10,Paramètres!$A$1:$I$89,3,0)*0.475*44/12</f>
        <v>9.4994108944529181</v>
      </c>
      <c r="AW156" s="21">
        <f>EXP(-LN(2)/2)*AW155+(1-EXP(-LN(2)/2))/(LN(2)/2)*AQ156*AT156*VLOOKUP('Données projet'!$B$10,Paramètres!$A$1:$I$89,3,0)*0.475*44/12</f>
        <v>8.088150130464391E-10</v>
      </c>
      <c r="AX156" s="21">
        <f t="shared" si="166"/>
        <v>58.178051573968283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4.6025000000000063</v>
      </c>
      <c r="BC156" s="12">
        <f t="array" ref="BC156">INDEX(BB:BB,MIN(IF(ISNUMBER(BB156:BB352),ROW(BB156:BB352),"")))</f>
        <v>4.6025000000000063</v>
      </c>
      <c r="BD156" s="12">
        <f>IF('Données projet'!$A$88&gt;35,BD155+BC156-BL155,IF(A156&lt;'Données projet'!$A$88,$BA$205^A156,IF(A156='Données projet'!$A$88,'Données projet'!$B$88,BD155+BC156-BL155)))</f>
        <v>286.30000000000058</v>
      </c>
      <c r="BE156" s="13">
        <f>BD156*VLOOKUP('Données projet'!$B$11,Paramètres!$A$1:$I$89,3,0)*VLOOKUP('Données projet'!$B$11,Paramètres!$A$1:$I$89,5,0)</f>
        <v>259.04424000000051</v>
      </c>
      <c r="BF156" s="13">
        <f t="shared" si="167"/>
        <v>62.518604901036426</v>
      </c>
      <c r="BG156" s="20">
        <f t="shared" si="168"/>
        <v>560.0552882026393</v>
      </c>
      <c r="BH156" s="59">
        <f t="shared" si="116"/>
        <v>853.38862153597256</v>
      </c>
      <c r="BI156" s="59">
        <f ca="1">AVERAGE(OFFSET($BH$3,0,0,'Données projet'!$E$11+1,1))-AVERAGE(OFFSET($H$3,0,0,'Données projet'!$E$11+1,1))</f>
        <v>490.06222615476065</v>
      </c>
      <c r="BJ156" s="59">
        <f t="shared" si="146"/>
        <v>310.43914804089906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102.89000000000001</v>
      </c>
      <c r="BM156" s="16">
        <f>IF(ISNA(VLOOKUP(A156,'Données projet'!$A$87:$I$107,5,0)),0%,VLOOKUP(A156,'Données projet'!$A$87:$I$107,5,0)*VLOOKUP('Données projet'!$B$11,Paramètres!$A$1:$I$89,7,0))</f>
        <v>0.19350000000000001</v>
      </c>
      <c r="BN156" s="16">
        <f>IF(ISNA(VLOOKUP(A156,'Données projet'!$A$87:$I$107,6,0)),0%,VLOOKUP(A156,'Données projet'!$A$87:$I$107,6,0)*VLOOKUP('Données projet'!$B$11,Paramètres!$A$1:$I$89,7,0))</f>
        <v>2.1500000000000002E-2</v>
      </c>
      <c r="BO156" s="16">
        <f>IF(ISNA(VLOOKUP(A156,'Données projet'!$A$87:$I$107,7,0)),0%,VLOOKUP(A156,'Données projet'!$A$87:$I$107,7,0))</f>
        <v>0.05</v>
      </c>
      <c r="BP156" s="21">
        <f>EXP(-LN(2)/35)*BP155+(1-EXP(-LN(2)/35))/(LN(2)/35)*BL156*BM156*VLOOKUP('Données projet'!$B$11,Paramètres!$A$1:$I$89,3,0)*0.475*44/12</f>
        <v>87.179202619655996</v>
      </c>
      <c r="BQ156" s="21">
        <f>EXP(-LN(2)/25)*BQ155+(1-EXP(-LN(2)/25))/(LN(2)/25)*Calculateur!BL156*Calculateur!BN156*VLOOKUP('Données projet'!$B$11,Paramètres!$A$1:$I$89,3,0)*0.475*44/12</f>
        <v>19.664927272957744</v>
      </c>
      <c r="BR156" s="21">
        <f>EXP(-LN(2)/2)*BR155+(1-EXP(-LN(2)/2))/(LN(2)/2)*BL156*BO156*VLOOKUP('Données projet'!$B$11,Paramètres!$A$1:$I$89,3,0)*0.475*44/12</f>
        <v>6.2771727143052889</v>
      </c>
      <c r="BS156" s="22">
        <f t="shared" si="169"/>
        <v>113.12130260691903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353.37479213497227</v>
      </c>
      <c r="CE156" s="59">
        <f t="shared" si="148"/>
        <v>345.4750813433123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12.245912685564054</v>
      </c>
      <c r="CL156" s="21">
        <f>EXP(-LN(2)/25)*CL155+(1-EXP(-LN(2)/25))/(LN(2)/25)*Calculateur!CG156*Calculateur!CI156*VLOOKUP('Données projet'!$B$12,Paramètres!$A$1:$I$89,3,0)*0.475*44/12</f>
        <v>6.7812657903901288</v>
      </c>
      <c r="CM156" s="21">
        <f>EXP(-LN(2)/2)*CM155+(1-EXP(-LN(2)/2))/(LN(2)/2)*CG156*CJ156*VLOOKUP('Données projet'!$B$12,Paramètres!$A$1:$I$89,3,0)*0.475*44/12</f>
        <v>6.4230028531537137E-10</v>
      </c>
      <c r="CN156" s="22">
        <f t="shared" si="172"/>
        <v>19.027178476596482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-7.3896444519050419E-13</v>
      </c>
      <c r="CU156" s="17">
        <f>CT156*VLOOKUP('Données projet'!$B$13,Paramètres!$A$1:$I$89,3,0)*VLOOKUP('Données projet'!$B$13,Paramètres!$A$1:$I$89,5,0)</f>
        <v>-3.5544189813663252E-13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314.18760071409162</v>
      </c>
      <c r="CZ156" s="59">
        <f t="shared" si="150"/>
        <v>267.72650645201787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43.524801523772283</v>
      </c>
      <c r="DG156" s="21">
        <f>EXP(-LN(2)/25)*DG155+(1-EXP(-LN(2)/25))/(LN(2)/25)*Calculateur!DB156*Calculateur!DD156*VLOOKUP('Données projet'!$B$13,Paramètres!$A$1:$I$89,3,0)*0.475*44/12</f>
        <v>8.1575757505140967</v>
      </c>
      <c r="DH156" s="21">
        <f>EXP(-LN(2)/2)*DH155+(1-EXP(-LN(2)/2))/(LN(2)/2)*DB156*DE156*VLOOKUP('Données projet'!$B$13,Paramètres!$A$1:$I$89,3,0)*0.475*44/12</f>
        <v>1.1050501857470007E-4</v>
      </c>
      <c r="DI156" s="22">
        <f t="shared" si="175"/>
        <v>51.682487779304957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-1.7053025658242404E-13</v>
      </c>
      <c r="DP156" s="17">
        <f>DO156*VLOOKUP('Données projet'!$B$14,Paramètres!$A$1:$I$89,3,0)*VLOOKUP('Données projet'!$B$14,Paramètres!$A$1:$I$89,5,0)</f>
        <v>-1.4897523215040567E-13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324.86930206492627</v>
      </c>
      <c r="DU156" s="59">
        <f t="shared" si="152"/>
        <v>317.03005098025352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10.85444754617736</v>
      </c>
      <c r="EB156" s="21">
        <f>EXP(-LN(2)/25)*EB155+(1-EXP(-LN(2)/25))/(LN(2)/25)*Calculateur!DW156*Calculateur!DY156*VLOOKUP('Données projet'!$B$14,Paramètres!$A$1:$I$89,3,0)*0.475*44/12</f>
        <v>6.1459280535617902</v>
      </c>
      <c r="EC156" s="21">
        <f>EXP(-LN(2)/2)*EC155+(1-EXP(-LN(2)/2))/(LN(2)/2)*DW156*DZ156*VLOOKUP('Données projet'!$B$14,Paramètres!$A$1:$I$89,3,0)*0.475*44/12</f>
        <v>5.8729831683210339E-10</v>
      </c>
      <c r="ED156" s="22">
        <f t="shared" si="178"/>
        <v>17.00037560032645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302.00825291248458</v>
      </c>
      <c r="T157" s="59">
        <f t="shared" si="142"/>
        <v>307.35115839449355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21.583659895829022</v>
      </c>
      <c r="AA157" s="21">
        <f>EXP(-LN(2)/25)*AA156+(1-EXP(-LN(2)/25))/(LN(2)/25)*Calculateur!V157*Calculateur!X157*VLOOKUP('Données projet'!$B$9,Paramètres!$A$1:$I$89,3,0)*0.475*44/12</f>
        <v>3.5754934996847694</v>
      </c>
      <c r="AB157" s="21">
        <f>EXP(-LN(2)/2)*AB156+(1-EXP(-LN(2)/2))/(LN(2)/2)*V157*Y157*VLOOKUP('Données projet'!$B$9,Paramètres!$A$1:$I$89,3,0)*0.475*44/12</f>
        <v>4.2605167623828417E-13</v>
      </c>
      <c r="AC157" s="22">
        <f t="shared" si="163"/>
        <v>25.159153395514217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5.0249582272954292E-14</v>
      </c>
      <c r="AK157" s="13">
        <f t="shared" si="164"/>
        <v>8.1784820119191593E-13</v>
      </c>
      <c r="AL157" s="20">
        <f t="shared" si="165"/>
        <v>1.5119369728679821E-12</v>
      </c>
      <c r="AM157" s="59">
        <f t="shared" si="113"/>
        <v>293.33333333333485</v>
      </c>
      <c r="AN157" s="59">
        <f ca="1">AVERAGE(OFFSET($AM$3,0,0,'Données projet'!$E$10+1,1))-AVERAGE(OFFSET($H$3,0,0,'Données projet'!$E$10+1,1))</f>
        <v>394.37446333077651</v>
      </c>
      <c r="AO157" s="59">
        <f t="shared" si="144"/>
        <v>335.44327961212963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47.724082226036174</v>
      </c>
      <c r="AV157" s="21">
        <f>EXP(-LN(2)/25)*AV156+(1-EXP(-LN(2)/25))/(LN(2)/25)*Calculateur!AQ157*Calculateur!AS157*VLOOKUP('Données projet'!$B$10,Paramètres!$A$1:$I$89,3,0)*0.475*44/12</f>
        <v>9.2396490039917953</v>
      </c>
      <c r="AW157" s="21">
        <f>EXP(-LN(2)/2)*AW156+(1-EXP(-LN(2)/2))/(LN(2)/2)*AQ157*AT157*VLOOKUP('Données projet'!$B$10,Paramètres!$A$1:$I$89,3,0)*0.475*44/12</f>
        <v>5.7191858045062298E-10</v>
      </c>
      <c r="AX157" s="21">
        <f t="shared" si="166"/>
        <v>56.963731230599883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2.7775000000000034</v>
      </c>
      <c r="BD157" s="12">
        <f>IF('Données projet'!$A$88&gt;35,BD156+BC157-BL156,IF(A157&lt;'Données projet'!$A$88,$BA$205^A157,IF(A157='Données projet'!$A$88,'Données projet'!$B$88,BD156+BC157-BL156)))</f>
        <v>186.18750000000054</v>
      </c>
      <c r="BE157" s="13">
        <f>BD157*VLOOKUP('Données projet'!$B$11,Paramètres!$A$1:$I$89,3,0)*VLOOKUP('Données projet'!$B$11,Paramètres!$A$1:$I$89,5,0)</f>
        <v>168.4624500000005</v>
      </c>
      <c r="BF157" s="13">
        <f t="shared" si="167"/>
        <v>42.745481653995263</v>
      </c>
      <c r="BG157" s="20">
        <f t="shared" si="168"/>
        <v>367.85381429737589</v>
      </c>
      <c r="BH157" s="59">
        <f t="shared" si="116"/>
        <v>661.18714763070921</v>
      </c>
      <c r="BI157" s="59">
        <f ca="1">AVERAGE(OFFSET($BH$3,0,0,'Données projet'!$E$11+1,1))-AVERAGE(OFFSET($H$3,0,0,'Données projet'!$E$11+1,1))</f>
        <v>490.06222615476065</v>
      </c>
      <c r="BJ157" s="59">
        <f t="shared" si="146"/>
        <v>310.43914804089906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85.469671630347634</v>
      </c>
      <c r="BQ157" s="21">
        <f>EXP(-LN(2)/25)*BQ156+(1-EXP(-LN(2)/25))/(LN(2)/25)*Calculateur!BL157*Calculateur!BN157*VLOOKUP('Données projet'!$B$11,Paramètres!$A$1:$I$89,3,0)*0.475*44/12</f>
        <v>19.127188802545135</v>
      </c>
      <c r="BR157" s="21">
        <f>EXP(-LN(2)/2)*BR156+(1-EXP(-LN(2)/2))/(LN(2)/2)*BL157*BO157*VLOOKUP('Données projet'!$B$11,Paramètres!$A$1:$I$89,3,0)*0.475*44/12</f>
        <v>4.438631392964437</v>
      </c>
      <c r="BS157" s="22">
        <f t="shared" si="169"/>
        <v>109.03549182585721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353.37479213497227</v>
      </c>
      <c r="CE157" s="59">
        <f t="shared" si="148"/>
        <v>345.4750813433123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12.005777807069352</v>
      </c>
      <c r="CL157" s="21">
        <f>EXP(-LN(2)/25)*CL156+(1-EXP(-LN(2)/25))/(LN(2)/25)*Calculateur!CG157*Calculateur!CI157*VLOOKUP('Données projet'!$B$12,Paramètres!$A$1:$I$89,3,0)*0.475*44/12</f>
        <v>6.5958317207406418</v>
      </c>
      <c r="CM157" s="21">
        <f>EXP(-LN(2)/2)*CM156+(1-EXP(-LN(2)/2))/(LN(2)/2)*CG157*CJ157*VLOOKUP('Données projet'!$B$12,Paramètres!$A$1:$I$89,3,0)*0.475*44/12</f>
        <v>4.5417488730455335E-10</v>
      </c>
      <c r="CN157" s="22">
        <f t="shared" si="172"/>
        <v>18.60160952826417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-7.3896444519050419E-13</v>
      </c>
      <c r="CU157" s="17">
        <f>CT157*VLOOKUP('Données projet'!$B$13,Paramètres!$A$1:$I$89,3,0)*VLOOKUP('Données projet'!$B$13,Paramètres!$A$1:$I$89,5,0)</f>
        <v>-3.5544189813663252E-13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314.18760071409162</v>
      </c>
      <c r="CZ157" s="59">
        <f t="shared" si="150"/>
        <v>267.72650645201787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42.671306713398685</v>
      </c>
      <c r="DG157" s="21">
        <f>EXP(-LN(2)/25)*DG156+(1-EXP(-LN(2)/25))/(LN(2)/25)*Calculateur!DB157*Calculateur!DD157*VLOOKUP('Données projet'!$B$13,Paramètres!$A$1:$I$89,3,0)*0.475*44/12</f>
        <v>7.934506412628024</v>
      </c>
      <c r="DH157" s="21">
        <f>EXP(-LN(2)/2)*DH156+(1-EXP(-LN(2)/2))/(LN(2)/2)*DB157*DE157*VLOOKUP('Données projet'!$B$13,Paramètres!$A$1:$I$89,3,0)*0.475*44/12</f>
        <v>7.8138847989315814E-5</v>
      </c>
      <c r="DI157" s="22">
        <f t="shared" si="175"/>
        <v>50.6058912648747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-1.7053025658242404E-13</v>
      </c>
      <c r="DP157" s="17">
        <f>DO157*VLOOKUP('Données projet'!$B$14,Paramètres!$A$1:$I$89,3,0)*VLOOKUP('Données projet'!$B$14,Paramètres!$A$1:$I$89,5,0)</f>
        <v>-1.4897523215040567E-13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324.86930206492627</v>
      </c>
      <c r="DU157" s="59">
        <f t="shared" si="152"/>
        <v>317.03005098025352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10.641598450356099</v>
      </c>
      <c r="EB157" s="21">
        <f>EXP(-LN(2)/25)*EB156+(1-EXP(-LN(2)/25))/(LN(2)/25)*Calculateur!DW157*Calculateur!DY157*VLOOKUP('Données projet'!$B$14,Paramètres!$A$1:$I$89,3,0)*0.475*44/12</f>
        <v>5.977867327736833</v>
      </c>
      <c r="EC157" s="21">
        <f>EXP(-LN(2)/2)*EC156+(1-EXP(-LN(2)/2))/(LN(2)/2)*DW157*DZ157*VLOOKUP('Données projet'!$B$14,Paramètres!$A$1:$I$89,3,0)*0.475*44/12</f>
        <v>4.152826224114258E-10</v>
      </c>
      <c r="ED157" s="22">
        <f t="shared" si="178"/>
        <v>16.619465778508214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302.00825291248458</v>
      </c>
      <c r="T158" s="59">
        <f t="shared" si="142"/>
        <v>307.35115839449355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21.160417490004441</v>
      </c>
      <c r="AA158" s="21">
        <f>EXP(-LN(2)/25)*AA157+(1-EXP(-LN(2)/25))/(LN(2)/25)*Calculateur!V158*Calculateur!X158*VLOOKUP('Données projet'!$B$9,Paramètres!$A$1:$I$89,3,0)*0.475*44/12</f>
        <v>3.4777214419088582</v>
      </c>
      <c r="AB158" s="21">
        <f>EXP(-LN(2)/2)*AB157+(1-EXP(-LN(2)/2))/(LN(2)/2)*V158*Y158*VLOOKUP('Données projet'!$B$9,Paramètres!$A$1:$I$89,3,0)*0.475*44/12</f>
        <v>3.0126402940398619E-13</v>
      </c>
      <c r="AC158" s="22">
        <f t="shared" si="163"/>
        <v>24.638138931913602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5.0249582272954292E-14</v>
      </c>
      <c r="AK158" s="13">
        <f t="shared" si="164"/>
        <v>8.1784820119191593E-13</v>
      </c>
      <c r="AL158" s="20">
        <f t="shared" si="165"/>
        <v>1.5119369728679821E-12</v>
      </c>
      <c r="AM158" s="59">
        <f t="shared" si="113"/>
        <v>293.33333333333485</v>
      </c>
      <c r="AN158" s="59">
        <f ca="1">AVERAGE(OFFSET($AM$3,0,0,'Données projet'!$E$10+1,1))-AVERAGE(OFFSET($H$3,0,0,'Données projet'!$E$10+1,1))</f>
        <v>394.37446333077651</v>
      </c>
      <c r="AO158" s="59">
        <f t="shared" si="144"/>
        <v>335.44327961212963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46.788242082399506</v>
      </c>
      <c r="AV158" s="21">
        <f>EXP(-LN(2)/25)*AV157+(1-EXP(-LN(2)/25))/(LN(2)/25)*Calculateur!AQ158*Calculateur!AS158*VLOOKUP('Données projet'!$B$10,Paramètres!$A$1:$I$89,3,0)*0.475*44/12</f>
        <v>8.9869903160856168</v>
      </c>
      <c r="AW158" s="21">
        <f>EXP(-LN(2)/2)*AW157+(1-EXP(-LN(2)/2))/(LN(2)/2)*AQ158*AT158*VLOOKUP('Données projet'!$B$10,Paramètres!$A$1:$I$89,3,0)*0.475*44/12</f>
        <v>4.0440750652321955E-10</v>
      </c>
      <c r="AX158" s="21">
        <f t="shared" si="166"/>
        <v>55.775232398889528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2.7775000000000034</v>
      </c>
      <c r="BD158" s="12">
        <f>IF('Données projet'!$A$88&gt;35,BD157+BC158-BL157,IF(A158&lt;'Données projet'!$A$88,$BA$205^A158,IF(A158='Données projet'!$A$88,'Données projet'!$B$88,BD157+BC158-BL157)))</f>
        <v>188.96500000000054</v>
      </c>
      <c r="BE158" s="13">
        <f>BD158*VLOOKUP('Données projet'!$B$11,Paramètres!$A$1:$I$89,3,0)*VLOOKUP('Données projet'!$B$11,Paramètres!$A$1:$I$89,5,0)</f>
        <v>170.9755320000005</v>
      </c>
      <c r="BF158" s="13">
        <f t="shared" si="167"/>
        <v>43.308437487586524</v>
      </c>
      <c r="BG158" s="20">
        <f t="shared" si="168"/>
        <v>373.21124685754739</v>
      </c>
      <c r="BH158" s="59">
        <f t="shared" si="116"/>
        <v>666.54458019088065</v>
      </c>
      <c r="BI158" s="59">
        <f ca="1">AVERAGE(OFFSET($BH$3,0,0,'Données projet'!$E$11+1,1))-AVERAGE(OFFSET($H$3,0,0,'Données projet'!$E$11+1,1))</f>
        <v>490.06222615476065</v>
      </c>
      <c r="BJ158" s="59">
        <f t="shared" si="146"/>
        <v>310.43914804089906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83.793663501028661</v>
      </c>
      <c r="BQ158" s="21">
        <f>EXP(-LN(2)/25)*BQ157+(1-EXP(-LN(2)/25))/(LN(2)/25)*Calculateur!BL158*Calculateur!BN158*VLOOKUP('Données projet'!$B$11,Paramètres!$A$1:$I$89,3,0)*0.475*44/12</f>
        <v>18.604154818884396</v>
      </c>
      <c r="BR158" s="21">
        <f>EXP(-LN(2)/2)*BR157+(1-EXP(-LN(2)/2))/(LN(2)/2)*BL158*BO158*VLOOKUP('Données projet'!$B$11,Paramètres!$A$1:$I$89,3,0)*0.475*44/12</f>
        <v>3.1385863571526449</v>
      </c>
      <c r="BS158" s="22">
        <f t="shared" si="169"/>
        <v>105.5364046770657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353.37479213497227</v>
      </c>
      <c r="CE158" s="59">
        <f t="shared" si="148"/>
        <v>345.4750813433123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11.770351827074117</v>
      </c>
      <c r="CL158" s="21">
        <f>EXP(-LN(2)/25)*CL157+(1-EXP(-LN(2)/25))/(LN(2)/25)*Calculateur!CG158*Calculateur!CI158*VLOOKUP('Données projet'!$B$12,Paramètres!$A$1:$I$89,3,0)*0.475*44/12</f>
        <v>6.415468355477274</v>
      </c>
      <c r="CM158" s="21">
        <f>EXP(-LN(2)/2)*CM157+(1-EXP(-LN(2)/2))/(LN(2)/2)*CG158*CJ158*VLOOKUP('Données projet'!$B$12,Paramètres!$A$1:$I$89,3,0)*0.475*44/12</f>
        <v>3.2115014265768568E-10</v>
      </c>
      <c r="CN158" s="22">
        <f t="shared" si="172"/>
        <v>18.185820182872543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-7.3896444519050419E-13</v>
      </c>
      <c r="CU158" s="17">
        <f>CT158*VLOOKUP('Données projet'!$B$13,Paramètres!$A$1:$I$89,3,0)*VLOOKUP('Données projet'!$B$13,Paramètres!$A$1:$I$89,5,0)</f>
        <v>-3.5544189813663252E-13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314.18760071409162</v>
      </c>
      <c r="CZ158" s="59">
        <f t="shared" si="150"/>
        <v>267.72650645201787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41.834548415676089</v>
      </c>
      <c r="DG158" s="21">
        <f>EXP(-LN(2)/25)*DG157+(1-EXP(-LN(2)/25))/(LN(2)/25)*Calculateur!DB158*Calculateur!DD158*VLOOKUP('Données projet'!$B$13,Paramètres!$A$1:$I$89,3,0)*0.475*44/12</f>
        <v>7.7175369175171529</v>
      </c>
      <c r="DH158" s="21">
        <f>EXP(-LN(2)/2)*DH157+(1-EXP(-LN(2)/2))/(LN(2)/2)*DB158*DE158*VLOOKUP('Données projet'!$B$13,Paramètres!$A$1:$I$89,3,0)*0.475*44/12</f>
        <v>5.5252509287350037E-5</v>
      </c>
      <c r="DI158" s="22">
        <f t="shared" si="175"/>
        <v>49.552140585702524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-1.7053025658242404E-13</v>
      </c>
      <c r="DP158" s="17">
        <f>DO158*VLOOKUP('Données projet'!$B$14,Paramètres!$A$1:$I$89,3,0)*VLOOKUP('Données projet'!$B$14,Paramètres!$A$1:$I$89,5,0)</f>
        <v>-1.4897523215040567E-13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324.86930206492627</v>
      </c>
      <c r="DU158" s="59">
        <f t="shared" si="152"/>
        <v>317.03005098025352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10.432923195478764</v>
      </c>
      <c r="EB158" s="21">
        <f>EXP(-LN(2)/25)*EB157+(1-EXP(-LN(2)/25))/(LN(2)/25)*Calculateur!DW158*Calculateur!DY158*VLOOKUP('Données projet'!$B$14,Paramètres!$A$1:$I$89,3,0)*0.475*44/12</f>
        <v>5.814402231297489</v>
      </c>
      <c r="EC158" s="21">
        <f>EXP(-LN(2)/2)*EC157+(1-EXP(-LN(2)/2))/(LN(2)/2)*DW158*DZ158*VLOOKUP('Données projet'!$B$14,Paramètres!$A$1:$I$89,3,0)*0.475*44/12</f>
        <v>2.9364915841605169E-10</v>
      </c>
      <c r="ED158" s="22">
        <f t="shared" si="178"/>
        <v>16.247325427069903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302.00825291248458</v>
      </c>
      <c r="T159" s="59">
        <f t="shared" si="142"/>
        <v>307.35115839449355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20.745474609605704</v>
      </c>
      <c r="AA159" s="21">
        <f>EXP(-LN(2)/25)*AA158+(1-EXP(-LN(2)/25))/(LN(2)/25)*Calculateur!V159*Calculateur!X159*VLOOKUP('Données projet'!$B$9,Paramètres!$A$1:$I$89,3,0)*0.475*44/12</f>
        <v>3.3826229661944383</v>
      </c>
      <c r="AB159" s="21">
        <f>EXP(-LN(2)/2)*AB158+(1-EXP(-LN(2)/2))/(LN(2)/2)*V159*Y159*VLOOKUP('Données projet'!$B$9,Paramètres!$A$1:$I$89,3,0)*0.475*44/12</f>
        <v>2.1302583811914209E-13</v>
      </c>
      <c r="AC159" s="22">
        <f t="shared" si="163"/>
        <v>24.128097575800357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5.0249582272954292E-14</v>
      </c>
      <c r="AK159" s="13">
        <f t="shared" si="164"/>
        <v>8.1784820119191593E-13</v>
      </c>
      <c r="AL159" s="20">
        <f t="shared" si="165"/>
        <v>1.5119369728679821E-12</v>
      </c>
      <c r="AM159" s="59">
        <f t="shared" si="113"/>
        <v>293.33333333333485</v>
      </c>
      <c r="AN159" s="59">
        <f ca="1">AVERAGE(OFFSET($AM$3,0,0,'Données projet'!$E$10+1,1))-AVERAGE(OFFSET($H$3,0,0,'Données projet'!$E$10+1,1))</f>
        <v>394.37446333077651</v>
      </c>
      <c r="AO159" s="59">
        <f t="shared" si="144"/>
        <v>335.44327961212963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45.870753193173428</v>
      </c>
      <c r="AV159" s="21">
        <f>EXP(-LN(2)/25)*AV158+(1-EXP(-LN(2)/25))/(LN(2)/25)*Calculateur!AQ159*Calculateur!AS159*VLOOKUP('Données projet'!$B$10,Paramètres!$A$1:$I$89,3,0)*0.475*44/12</f>
        <v>8.7412405932869746</v>
      </c>
      <c r="AW159" s="21">
        <f>EXP(-LN(2)/2)*AW158+(1-EXP(-LN(2)/2))/(LN(2)/2)*AQ159*AT159*VLOOKUP('Données projet'!$B$10,Paramètres!$A$1:$I$89,3,0)*0.475*44/12</f>
        <v>2.8595929022531149E-10</v>
      </c>
      <c r="AX159" s="21">
        <f t="shared" si="166"/>
        <v>54.611993786746361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2.7775000000000034</v>
      </c>
      <c r="BD159" s="12">
        <f>IF('Données projet'!$A$88&gt;35,BD158+BC159-BL158,IF(A159&lt;'Données projet'!$A$88,$BA$205^A159,IF(A159='Données projet'!$A$88,'Données projet'!$B$88,BD158+BC159-BL158)))</f>
        <v>191.74250000000055</v>
      </c>
      <c r="BE159" s="13">
        <f>BD159*VLOOKUP('Données projet'!$B$11,Paramètres!$A$1:$I$89,3,0)*VLOOKUP('Données projet'!$B$11,Paramètres!$A$1:$I$89,5,0)</f>
        <v>173.4886140000005</v>
      </c>
      <c r="BF159" s="13">
        <f t="shared" si="167"/>
        <v>43.870430944544125</v>
      </c>
      <c r="BG159" s="20">
        <f t="shared" si="168"/>
        <v>378.56700327841526</v>
      </c>
      <c r="BH159" s="59">
        <f t="shared" si="116"/>
        <v>671.90033661174857</v>
      </c>
      <c r="BI159" s="59">
        <f ca="1">AVERAGE(OFFSET($BH$3,0,0,'Données projet'!$E$11+1,1))-AVERAGE(OFFSET($H$3,0,0,'Données projet'!$E$11+1,1))</f>
        <v>490.06222615476065</v>
      </c>
      <c r="BJ159" s="59">
        <f t="shared" si="146"/>
        <v>310.43914804089906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82.150520868861619</v>
      </c>
      <c r="BQ159" s="21">
        <f>EXP(-LN(2)/25)*BQ158+(1-EXP(-LN(2)/25))/(LN(2)/25)*Calculateur!BL159*Calculateur!BN159*VLOOKUP('Données projet'!$B$11,Paramètres!$A$1:$I$89,3,0)*0.475*44/12</f>
        <v>18.09542322701202</v>
      </c>
      <c r="BR159" s="21">
        <f>EXP(-LN(2)/2)*BR158+(1-EXP(-LN(2)/2))/(LN(2)/2)*BL159*BO159*VLOOKUP('Données projet'!$B$11,Paramètres!$A$1:$I$89,3,0)*0.475*44/12</f>
        <v>2.2193156964822189</v>
      </c>
      <c r="BS159" s="22">
        <f t="shared" si="169"/>
        <v>102.46525979235585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353.37479213497227</v>
      </c>
      <c r="CE159" s="59">
        <f t="shared" si="148"/>
        <v>345.4750813433123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11.53954240695092</v>
      </c>
      <c r="CL159" s="21">
        <f>EXP(-LN(2)/25)*CL158+(1-EXP(-LN(2)/25))/(LN(2)/25)*Calculateur!CG159*Calculateur!CI159*VLOOKUP('Données projet'!$B$12,Paramètres!$A$1:$I$89,3,0)*0.475*44/12</f>
        <v>6.2400370359219295</v>
      </c>
      <c r="CM159" s="21">
        <f>EXP(-LN(2)/2)*CM158+(1-EXP(-LN(2)/2))/(LN(2)/2)*CG159*CJ159*VLOOKUP('Données projet'!$B$12,Paramètres!$A$1:$I$89,3,0)*0.475*44/12</f>
        <v>2.2708744365227668E-10</v>
      </c>
      <c r="CN159" s="22">
        <f t="shared" si="172"/>
        <v>17.779579443099937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-7.3896444519050419E-13</v>
      </c>
      <c r="CU159" s="17">
        <f>CT159*VLOOKUP('Données projet'!$B$13,Paramètres!$A$1:$I$89,3,0)*VLOOKUP('Données projet'!$B$13,Paramètres!$A$1:$I$89,5,0)</f>
        <v>-3.5544189813663252E-13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314.18760071409162</v>
      </c>
      <c r="CZ159" s="59">
        <f t="shared" si="150"/>
        <v>267.72650645201787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41.014198437799664</v>
      </c>
      <c r="DG159" s="21">
        <f>EXP(-LN(2)/25)*DG158+(1-EXP(-LN(2)/25))/(LN(2)/25)*Calculateur!DB159*Calculateur!DD159*VLOOKUP('Données projet'!$B$13,Paramètres!$A$1:$I$89,3,0)*0.475*44/12</f>
        <v>7.5065004646600189</v>
      </c>
      <c r="DH159" s="21">
        <f>EXP(-LN(2)/2)*DH158+(1-EXP(-LN(2)/2))/(LN(2)/2)*DB159*DE159*VLOOKUP('Données projet'!$B$13,Paramètres!$A$1:$I$89,3,0)*0.475*44/12</f>
        <v>3.9069423994657907E-5</v>
      </c>
      <c r="DI159" s="22">
        <f t="shared" si="175"/>
        <v>48.520737971883676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-1.7053025658242404E-13</v>
      </c>
      <c r="DP159" s="17">
        <f>DO159*VLOOKUP('Données projet'!$B$14,Paramètres!$A$1:$I$89,3,0)*VLOOKUP('Données projet'!$B$14,Paramètres!$A$1:$I$89,5,0)</f>
        <v>-1.4897523215040567E-13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324.86930206492627</v>
      </c>
      <c r="DU159" s="59">
        <f t="shared" si="152"/>
        <v>317.03005098025352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10.228339935070236</v>
      </c>
      <c r="EB159" s="21">
        <f>EXP(-LN(2)/25)*EB158+(1-EXP(-LN(2)/25))/(LN(2)/25)*Calculateur!DW159*Calculateur!DY159*VLOOKUP('Données projet'!$B$14,Paramètres!$A$1:$I$89,3,0)*0.475*44/12</f>
        <v>5.6554070965165346</v>
      </c>
      <c r="EC159" s="21">
        <f>EXP(-LN(2)/2)*EC158+(1-EXP(-LN(2)/2))/(LN(2)/2)*DW159*DZ159*VLOOKUP('Données projet'!$B$14,Paramètres!$A$1:$I$89,3,0)*0.475*44/12</f>
        <v>2.076413112057129E-10</v>
      </c>
      <c r="ED159" s="22">
        <f t="shared" si="178"/>
        <v>15.883747031794414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302.00825291248458</v>
      </c>
      <c r="T160" s="59">
        <f t="shared" si="142"/>
        <v>307.35115839449355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20.338668506001419</v>
      </c>
      <c r="AA160" s="21">
        <f>EXP(-LN(2)/25)*AA159+(1-EXP(-LN(2)/25))/(LN(2)/25)*Calculateur!V160*Calculateur!X160*VLOOKUP('Données projet'!$B$9,Paramètres!$A$1:$I$89,3,0)*0.475*44/12</f>
        <v>3.2901249632994407</v>
      </c>
      <c r="AB160" s="21">
        <f>EXP(-LN(2)/2)*AB159+(1-EXP(-LN(2)/2))/(LN(2)/2)*V160*Y160*VLOOKUP('Données projet'!$B$9,Paramètres!$A$1:$I$89,3,0)*0.475*44/12</f>
        <v>1.506320147019931E-13</v>
      </c>
      <c r="AC160" s="22">
        <f t="shared" si="163"/>
        <v>23.628793469301009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5.0249582272954292E-14</v>
      </c>
      <c r="AK160" s="13">
        <f t="shared" si="164"/>
        <v>8.1784820119191593E-13</v>
      </c>
      <c r="AL160" s="20">
        <f t="shared" si="165"/>
        <v>1.5119369728679821E-12</v>
      </c>
      <c r="AM160" s="59">
        <f t="shared" si="113"/>
        <v>293.33333333333485</v>
      </c>
      <c r="AN160" s="59">
        <f ca="1">AVERAGE(OFFSET($AM$3,0,0,'Données projet'!$E$10+1,1))-AVERAGE(OFFSET($H$3,0,0,'Données projet'!$E$10+1,1))</f>
        <v>394.37446333077651</v>
      </c>
      <c r="AO160" s="59">
        <f t="shared" si="144"/>
        <v>335.44327961212963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44.971255701452108</v>
      </c>
      <c r="AV160" s="21">
        <f>EXP(-LN(2)/25)*AV159+(1-EXP(-LN(2)/25))/(LN(2)/25)*Calculateur!AQ160*Calculateur!AS160*VLOOKUP('Données projet'!$B$10,Paramètres!$A$1:$I$89,3,0)*0.475*44/12</f>
        <v>8.5022109095816774</v>
      </c>
      <c r="AW160" s="21">
        <f>EXP(-LN(2)/2)*AW159+(1-EXP(-LN(2)/2))/(LN(2)/2)*AQ160*AT160*VLOOKUP('Données projet'!$B$10,Paramètres!$A$1:$I$89,3,0)*0.475*44/12</f>
        <v>2.0220375326160977E-10</v>
      </c>
      <c r="AX160" s="21">
        <f t="shared" si="166"/>
        <v>53.473466611235992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2.7775000000000034</v>
      </c>
      <c r="BC160" s="12">
        <f t="array" ref="BC160">INDEX(BB:BB,MIN(IF(ISNUMBER(BB160:BB356),ROW(BB160:BB356),"")))</f>
        <v>2.7775000000000034</v>
      </c>
      <c r="BD160" s="12">
        <f>IF('Données projet'!$A$88&gt;35,BD159+BC160-BL159,IF(A160&lt;'Données projet'!$A$88,$BA$205^A160,IF(A160='Données projet'!$A$88,'Données projet'!$B$88,BD159+BC160-BL159)))</f>
        <v>194.52000000000055</v>
      </c>
      <c r="BE160" s="13">
        <f>BD160*VLOOKUP('Données projet'!$B$11,Paramètres!$A$1:$I$89,3,0)*VLOOKUP('Données projet'!$B$11,Paramètres!$A$1:$I$89,5,0)</f>
        <v>176.00169600000049</v>
      </c>
      <c r="BF160" s="13">
        <f t="shared" si="167"/>
        <v>44.431477576109785</v>
      </c>
      <c r="BG160" s="20">
        <f t="shared" si="168"/>
        <v>383.92111064505872</v>
      </c>
      <c r="BH160" s="59">
        <f t="shared" si="116"/>
        <v>677.25444397839203</v>
      </c>
      <c r="BI160" s="59">
        <f ca="1">AVERAGE(OFFSET($BH$3,0,0,'Données projet'!$E$11+1,1))-AVERAGE(OFFSET($H$3,0,0,'Données projet'!$E$11+1,1))</f>
        <v>490.06222615476065</v>
      </c>
      <c r="BJ160" s="59">
        <f t="shared" si="146"/>
        <v>310.43914804089906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67.13000000000001</v>
      </c>
      <c r="BM160" s="16">
        <f>IF(ISNA(VLOOKUP(A160,'Données projet'!$A$87:$I$107,5,0)),0%,VLOOKUP(A160,'Données projet'!$A$87:$I$107,5,0)*VLOOKUP('Données projet'!$B$11,Paramètres!$A$1:$I$89,7,0))</f>
        <v>0.19350000000000001</v>
      </c>
      <c r="BN160" s="16">
        <f>IF(ISNA(VLOOKUP(A160,'Données projet'!$A$87:$I$107,6,0)),0%,VLOOKUP(A160,'Données projet'!$A$87:$I$107,6,0)*VLOOKUP('Données projet'!$B$11,Paramètres!$A$1:$I$89,7,0))</f>
        <v>2.1500000000000002E-2</v>
      </c>
      <c r="BO160" s="16">
        <f>IF(ISNA(VLOOKUP(A160,'Données projet'!$A$87:$I$107,7,0)),0%,VLOOKUP(A160,'Données projet'!$A$87:$I$107,7,0))</f>
        <v>0.05</v>
      </c>
      <c r="BP160" s="21">
        <f>EXP(-LN(2)/35)*BP159+(1-EXP(-LN(2)/35))/(LN(2)/35)*BL160*BM160*VLOOKUP('Données projet'!$B$11,Paramètres!$A$1:$I$89,3,0)*0.475*44/12</f>
        <v>93.53223667850591</v>
      </c>
      <c r="BQ160" s="21">
        <f>EXP(-LN(2)/25)*BQ159+(1-EXP(-LN(2)/25))/(LN(2)/25)*Calculateur!BL160*Calculateur!BN160*VLOOKUP('Données projet'!$B$11,Paramètres!$A$1:$I$89,3,0)*0.475*44/12</f>
        <v>19.038545199818962</v>
      </c>
      <c r="BR160" s="21">
        <f>EXP(-LN(2)/2)*BR159+(1-EXP(-LN(2)/2))/(LN(2)/2)*BL160*BO160*VLOOKUP('Données projet'!$B$11,Paramètres!$A$1:$I$89,3,0)*0.475*44/12</f>
        <v>4.4347478093886004</v>
      </c>
      <c r="BS160" s="22">
        <f t="shared" si="169"/>
        <v>117.00552968771348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353.37479213497227</v>
      </c>
      <c r="CE160" s="59">
        <f t="shared" si="148"/>
        <v>345.4750813433123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11.313259018776494</v>
      </c>
      <c r="CL160" s="21">
        <f>EXP(-LN(2)/25)*CL159+(1-EXP(-LN(2)/25))/(LN(2)/25)*Calculateur!CG160*Calculateur!CI160*VLOOKUP('Données projet'!$B$12,Paramètres!$A$1:$I$89,3,0)*0.475*44/12</f>
        <v>6.069402895025358</v>
      </c>
      <c r="CM160" s="21">
        <f>EXP(-LN(2)/2)*CM159+(1-EXP(-LN(2)/2))/(LN(2)/2)*CG160*CJ160*VLOOKUP('Données projet'!$B$12,Paramètres!$A$1:$I$89,3,0)*0.475*44/12</f>
        <v>1.6057507132884284E-10</v>
      </c>
      <c r="CN160" s="22">
        <f t="shared" si="172"/>
        <v>17.382661913962426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-7.3896444519050419E-13</v>
      </c>
      <c r="CU160" s="17">
        <f>CT160*VLOOKUP('Données projet'!$B$13,Paramètres!$A$1:$I$89,3,0)*VLOOKUP('Données projet'!$B$13,Paramètres!$A$1:$I$89,5,0)</f>
        <v>-3.5544189813663252E-13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314.18760071409162</v>
      </c>
      <c r="CZ160" s="59">
        <f t="shared" si="150"/>
        <v>267.72650645201787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40.209935022625316</v>
      </c>
      <c r="DG160" s="21">
        <f>EXP(-LN(2)/25)*DG159+(1-EXP(-LN(2)/25))/(LN(2)/25)*Calculateur!DB160*Calculateur!DD160*VLOOKUP('Données projet'!$B$13,Paramètres!$A$1:$I$89,3,0)*0.475*44/12</f>
        <v>7.3012348147041877</v>
      </c>
      <c r="DH160" s="21">
        <f>EXP(-LN(2)/2)*DH159+(1-EXP(-LN(2)/2))/(LN(2)/2)*DB160*DE160*VLOOKUP('Données projet'!$B$13,Paramètres!$A$1:$I$89,3,0)*0.475*44/12</f>
        <v>2.7626254643675018E-5</v>
      </c>
      <c r="DI160" s="22">
        <f t="shared" si="175"/>
        <v>47.511197463584146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-1.7053025658242404E-13</v>
      </c>
      <c r="DP160" s="17">
        <f>DO160*VLOOKUP('Données projet'!$B$14,Paramètres!$A$1:$I$89,3,0)*VLOOKUP('Données projet'!$B$14,Paramètres!$A$1:$I$89,5,0)</f>
        <v>-1.4897523215040567E-13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324.86930206492627</v>
      </c>
      <c r="DU160" s="59">
        <f t="shared" si="152"/>
        <v>317.03005098025352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10.027768427614852</v>
      </c>
      <c r="EB160" s="21">
        <f>EXP(-LN(2)/25)*EB159+(1-EXP(-LN(2)/25))/(LN(2)/25)*Calculateur!DW160*Calculateur!DY160*VLOOKUP('Données projet'!$B$14,Paramètres!$A$1:$I$89,3,0)*0.475*44/12</f>
        <v>5.5007596920573567</v>
      </c>
      <c r="EC160" s="21">
        <f>EXP(-LN(2)/2)*EC159+(1-EXP(-LN(2)/2))/(LN(2)/2)*DW160*DZ160*VLOOKUP('Données projet'!$B$14,Paramètres!$A$1:$I$89,3,0)*0.475*44/12</f>
        <v>1.4682457920802585E-10</v>
      </c>
      <c r="ED160" s="22">
        <f t="shared" si="178"/>
        <v>15.528528119819034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302.00825291248458</v>
      </c>
      <c r="T161" s="59">
        <f t="shared" si="142"/>
        <v>307.35115839449355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19.939839621961593</v>
      </c>
      <c r="AA161" s="21">
        <f>EXP(-LN(2)/25)*AA160+(1-EXP(-LN(2)/25))/(LN(2)/25)*Calculateur!V161*Calculateur!X161*VLOOKUP('Données projet'!$B$9,Paramètres!$A$1:$I$89,3,0)*0.475*44/12</f>
        <v>3.2001563231578656</v>
      </c>
      <c r="AB161" s="21">
        <f>EXP(-LN(2)/2)*AB160+(1-EXP(-LN(2)/2))/(LN(2)/2)*V161*Y161*VLOOKUP('Données projet'!$B$9,Paramètres!$A$1:$I$89,3,0)*0.475*44/12</f>
        <v>1.0651291905957104E-13</v>
      </c>
      <c r="AC161" s="22">
        <f t="shared" si="163"/>
        <v>23.139995945119566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5.0249582272954292E-14</v>
      </c>
      <c r="AK161" s="13">
        <f t="shared" si="164"/>
        <v>8.1784820119191593E-13</v>
      </c>
      <c r="AL161" s="20">
        <f t="shared" si="165"/>
        <v>1.5119369728679821E-12</v>
      </c>
      <c r="AM161" s="59">
        <f t="shared" si="113"/>
        <v>293.33333333333485</v>
      </c>
      <c r="AN161" s="59">
        <f ca="1">AVERAGE(OFFSET($AM$3,0,0,'Données projet'!$E$10+1,1))-AVERAGE(OFFSET($H$3,0,0,'Données projet'!$E$10+1,1))</f>
        <v>394.37446333077651</v>
      </c>
      <c r="AO161" s="59">
        <f t="shared" si="144"/>
        <v>335.44327961212963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44.089396806904148</v>
      </c>
      <c r="AV161" s="21">
        <f>EXP(-LN(2)/25)*AV160+(1-EXP(-LN(2)/25))/(LN(2)/25)*Calculateur!AQ161*Calculateur!AS161*VLOOKUP('Données projet'!$B$10,Paramètres!$A$1:$I$89,3,0)*0.475*44/12</f>
        <v>8.2697175051473266</v>
      </c>
      <c r="AW161" s="21">
        <f>EXP(-LN(2)/2)*AW160+(1-EXP(-LN(2)/2))/(LN(2)/2)*AQ161*AT161*VLOOKUP('Données projet'!$B$10,Paramètres!$A$1:$I$89,3,0)*0.475*44/12</f>
        <v>1.4297964511265575E-10</v>
      </c>
      <c r="AX161" s="21">
        <f t="shared" si="166"/>
        <v>52.359114312194457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1.7174999999999976</v>
      </c>
      <c r="BD161" s="12">
        <f>IF('Données projet'!$A$88&gt;35,BD160+BC161-BL160,IF(A161&lt;'Données projet'!$A$88,$BA$205^A161,IF(A161='Données projet'!$A$88,'Données projet'!$B$88,BD160+BC161-BL160)))</f>
        <v>129.10750000000053</v>
      </c>
      <c r="BE161" s="13">
        <f>BD161*VLOOKUP('Données projet'!$B$11,Paramètres!$A$1:$I$89,3,0)*VLOOKUP('Données projet'!$B$11,Paramètres!$A$1:$I$89,5,0)</f>
        <v>116.81646600000047</v>
      </c>
      <c r="BF161" s="13">
        <f t="shared" si="167"/>
        <v>30.931334347171287</v>
      </c>
      <c r="BG161" s="20">
        <f t="shared" si="168"/>
        <v>257.32741893799079</v>
      </c>
      <c r="BH161" s="59">
        <f t="shared" si="116"/>
        <v>550.6607522713241</v>
      </c>
      <c r="BI161" s="59">
        <f ca="1">AVERAGE(OFFSET($BH$3,0,0,'Données projet'!$E$11+1,1))-AVERAGE(OFFSET($H$3,0,0,'Données projet'!$E$11+1,1))</f>
        <v>490.06222615476065</v>
      </c>
      <c r="BJ161" s="59">
        <f t="shared" si="146"/>
        <v>310.43914804089906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91.698126566271654</v>
      </c>
      <c r="BQ161" s="21">
        <f>EXP(-LN(2)/25)*BQ160+(1-EXP(-LN(2)/25))/(LN(2)/25)*Calculateur!BL161*Calculateur!BN161*VLOOKUP('Données projet'!$B$11,Paramètres!$A$1:$I$89,3,0)*0.475*44/12</f>
        <v>18.517935180136334</v>
      </c>
      <c r="BR161" s="21">
        <f>EXP(-LN(2)/2)*BR160+(1-EXP(-LN(2)/2))/(LN(2)/2)*BL161*BO161*VLOOKUP('Données projet'!$B$11,Paramètres!$A$1:$I$89,3,0)*0.475*44/12</f>
        <v>3.1358402488708661</v>
      </c>
      <c r="BS161" s="22">
        <f t="shared" si="169"/>
        <v>113.35190199527885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353.37479213497227</v>
      </c>
      <c r="CE161" s="59">
        <f t="shared" si="148"/>
        <v>345.4750813433123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11.09141290982493</v>
      </c>
      <c r="CL161" s="21">
        <f>EXP(-LN(2)/25)*CL160+(1-EXP(-LN(2)/25))/(LN(2)/25)*Calculateur!CG161*Calculateur!CI161*VLOOKUP('Données projet'!$B$12,Paramètres!$A$1:$I$89,3,0)*0.475*44/12</f>
        <v>5.9034347536848628</v>
      </c>
      <c r="CM161" s="21">
        <f>EXP(-LN(2)/2)*CM160+(1-EXP(-LN(2)/2))/(LN(2)/2)*CG161*CJ161*VLOOKUP('Données projet'!$B$12,Paramètres!$A$1:$I$89,3,0)*0.475*44/12</f>
        <v>1.1354372182613834E-10</v>
      </c>
      <c r="CN161" s="22">
        <f t="shared" si="172"/>
        <v>16.994847663623339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-7.3896444519050419E-13</v>
      </c>
      <c r="CU161" s="17">
        <f>CT161*VLOOKUP('Données projet'!$B$13,Paramètres!$A$1:$I$89,3,0)*VLOOKUP('Données projet'!$B$13,Paramètres!$A$1:$I$89,5,0)</f>
        <v>-3.5544189813663252E-13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314.18760071409162</v>
      </c>
      <c r="CZ161" s="59">
        <f t="shared" si="150"/>
        <v>267.72650645201787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39.421442722470289</v>
      </c>
      <c r="DG161" s="21">
        <f>EXP(-LN(2)/25)*DG160+(1-EXP(-LN(2)/25))/(LN(2)/25)*Calculateur!DB161*Calculateur!DD161*VLOOKUP('Données projet'!$B$13,Paramètres!$A$1:$I$89,3,0)*0.475*44/12</f>
        <v>7.1015821647408499</v>
      </c>
      <c r="DH161" s="21">
        <f>EXP(-LN(2)/2)*DH160+(1-EXP(-LN(2)/2))/(LN(2)/2)*DB161*DE161*VLOOKUP('Données projet'!$B$13,Paramètres!$A$1:$I$89,3,0)*0.475*44/12</f>
        <v>1.9534711997328953E-5</v>
      </c>
      <c r="DI161" s="22">
        <f t="shared" si="175"/>
        <v>46.523044421923132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-1.7053025658242404E-13</v>
      </c>
      <c r="DP161" s="17">
        <f>DO161*VLOOKUP('Données projet'!$B$14,Paramètres!$A$1:$I$89,3,0)*VLOOKUP('Données projet'!$B$14,Paramètres!$A$1:$I$89,5,0)</f>
        <v>-1.4897523215040567E-13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324.86930206492627</v>
      </c>
      <c r="DU161" s="59">
        <f t="shared" si="152"/>
        <v>317.03005098025352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9.8311300050841268</v>
      </c>
      <c r="EB161" s="21">
        <f>EXP(-LN(2)/25)*EB160+(1-EXP(-LN(2)/25))/(LN(2)/25)*Calculateur!DW161*Calculateur!DY161*VLOOKUP('Données projet'!$B$14,Paramètres!$A$1:$I$89,3,0)*0.475*44/12</f>
        <v>5.3503411290056686</v>
      </c>
      <c r="EC161" s="21">
        <f>EXP(-LN(2)/2)*EC160+(1-EXP(-LN(2)/2))/(LN(2)/2)*DW161*DZ161*VLOOKUP('Données projet'!$B$14,Paramètres!$A$1:$I$89,3,0)*0.475*44/12</f>
        <v>1.0382065560285645E-10</v>
      </c>
      <c r="ED161" s="22">
        <f t="shared" si="178"/>
        <v>15.181471134193616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302.00825291248458</v>
      </c>
      <c r="T162" s="59">
        <f t="shared" si="142"/>
        <v>307.35115839449355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19.548831529076189</v>
      </c>
      <c r="AA162" s="21">
        <f>EXP(-LN(2)/25)*AA161+(1-EXP(-LN(2)/25))/(LN(2)/25)*Calculateur!V162*Calculateur!X162*VLOOKUP('Données projet'!$B$9,Paramètres!$A$1:$I$89,3,0)*0.475*44/12</f>
        <v>3.1126478802122066</v>
      </c>
      <c r="AB162" s="21">
        <f>EXP(-LN(2)/2)*AB161+(1-EXP(-LN(2)/2))/(LN(2)/2)*V162*Y162*VLOOKUP('Données projet'!$B$9,Paramètres!$A$1:$I$89,3,0)*0.475*44/12</f>
        <v>7.5316007350996548E-14</v>
      </c>
      <c r="AC162" s="22">
        <f t="shared" si="163"/>
        <v>22.661479409288471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5.0249582272954292E-14</v>
      </c>
      <c r="AK162" s="13">
        <f t="shared" si="164"/>
        <v>8.1784820119191593E-13</v>
      </c>
      <c r="AL162" s="20">
        <f t="shared" si="165"/>
        <v>1.5119369728679821E-12</v>
      </c>
      <c r="AM162" s="59">
        <f t="shared" si="113"/>
        <v>293.33333333333485</v>
      </c>
      <c r="AN162" s="59">
        <f ca="1">AVERAGE(OFFSET($AM$3,0,0,'Données projet'!$E$10+1,1))-AVERAGE(OFFSET($H$3,0,0,'Données projet'!$E$10+1,1))</f>
        <v>394.37446333077651</v>
      </c>
      <c r="AO162" s="59">
        <f t="shared" si="144"/>
        <v>335.44327961212963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43.224830627397459</v>
      </c>
      <c r="AV162" s="21">
        <f>EXP(-LN(2)/25)*AV161+(1-EXP(-LN(2)/25))/(LN(2)/25)*Calculateur!AQ162*Calculateur!AS162*VLOOKUP('Données projet'!$B$10,Paramètres!$A$1:$I$89,3,0)*0.475*44/12</f>
        <v>8.0435816450835294</v>
      </c>
      <c r="AW162" s="21">
        <f>EXP(-LN(2)/2)*AW161+(1-EXP(-LN(2)/2))/(LN(2)/2)*AQ162*AT162*VLOOKUP('Données projet'!$B$10,Paramètres!$A$1:$I$89,3,0)*0.475*44/12</f>
        <v>1.0110187663080489E-10</v>
      </c>
      <c r="AX162" s="21">
        <f t="shared" si="166"/>
        <v>51.26841227258209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1.7174999999999976</v>
      </c>
      <c r="BD162" s="12">
        <f>IF('Données projet'!$A$88&gt;35,BD161+BC162-BL161,IF(A162&lt;'Données projet'!$A$88,$BA$205^A162,IF(A162='Données projet'!$A$88,'Données projet'!$B$88,BD161+BC162-BL161)))</f>
        <v>130.82500000000053</v>
      </c>
      <c r="BE162" s="13">
        <f>BD162*VLOOKUP('Données projet'!$B$11,Paramètres!$A$1:$I$89,3,0)*VLOOKUP('Données projet'!$B$11,Paramètres!$A$1:$I$89,5,0)</f>
        <v>118.37046000000048</v>
      </c>
      <c r="BF162" s="13">
        <f t="shared" si="167"/>
        <v>31.29463394593726</v>
      </c>
      <c r="BG162" s="20">
        <f t="shared" si="168"/>
        <v>260.6667052891749</v>
      </c>
      <c r="BH162" s="59">
        <f t="shared" si="116"/>
        <v>554.00003862250821</v>
      </c>
      <c r="BI162" s="59">
        <f ca="1">AVERAGE(OFFSET($BH$3,0,0,'Données projet'!$E$11+1,1))-AVERAGE(OFFSET($H$3,0,0,'Données projet'!$E$11+1,1))</f>
        <v>490.06222615476065</v>
      </c>
      <c r="BJ162" s="59">
        <f t="shared" si="146"/>
        <v>310.43914804089906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89.899982234641612</v>
      </c>
      <c r="BQ162" s="21">
        <f>EXP(-LN(2)/25)*BQ161+(1-EXP(-LN(2)/25))/(LN(2)/25)*Calculateur!BL162*Calculateur!BN162*VLOOKUP('Données projet'!$B$11,Paramètres!$A$1:$I$89,3,0)*0.475*44/12</f>
        <v>18.011561268819619</v>
      </c>
      <c r="BR162" s="21">
        <f>EXP(-LN(2)/2)*BR161+(1-EXP(-LN(2)/2))/(LN(2)/2)*BL162*BO162*VLOOKUP('Données projet'!$B$11,Paramètres!$A$1:$I$89,3,0)*0.475*44/12</f>
        <v>2.2173739046943002</v>
      </c>
      <c r="BS162" s="22">
        <f t="shared" si="169"/>
        <v>110.12891740815553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353.37479213497227</v>
      </c>
      <c r="CE162" s="59">
        <f t="shared" si="148"/>
        <v>345.4750813433123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10.873917067757141</v>
      </c>
      <c r="CL162" s="21">
        <f>EXP(-LN(2)/25)*CL161+(1-EXP(-LN(2)/25))/(LN(2)/25)*Calculateur!CG162*Calculateur!CI162*VLOOKUP('Données projet'!$B$12,Paramètres!$A$1:$I$89,3,0)*0.475*44/12</f>
        <v>5.742005019897209</v>
      </c>
      <c r="CM162" s="21">
        <f>EXP(-LN(2)/2)*CM161+(1-EXP(-LN(2)/2))/(LN(2)/2)*CG162*CJ162*VLOOKUP('Données projet'!$B$12,Paramètres!$A$1:$I$89,3,0)*0.475*44/12</f>
        <v>8.0287535664421421E-11</v>
      </c>
      <c r="CN162" s="22">
        <f t="shared" si="172"/>
        <v>16.615922087734639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-7.3896444519050419E-13</v>
      </c>
      <c r="CU162" s="17">
        <f>CT162*VLOOKUP('Données projet'!$B$13,Paramètres!$A$1:$I$89,3,0)*VLOOKUP('Données projet'!$B$13,Paramètres!$A$1:$I$89,5,0)</f>
        <v>-3.5544189813663252E-13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314.18760071409162</v>
      </c>
      <c r="CZ162" s="59">
        <f t="shared" si="150"/>
        <v>267.72650645201787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38.648412275388488</v>
      </c>
      <c r="DG162" s="21">
        <f>EXP(-LN(2)/25)*DG161+(1-EXP(-LN(2)/25))/(LN(2)/25)*Calculateur!DB162*Calculateur!DD162*VLOOKUP('Données projet'!$B$13,Paramètres!$A$1:$I$89,3,0)*0.475*44/12</f>
        <v>6.9073890269900362</v>
      </c>
      <c r="DH162" s="21">
        <f>EXP(-LN(2)/2)*DH161+(1-EXP(-LN(2)/2))/(LN(2)/2)*DB162*DE162*VLOOKUP('Données projet'!$B$13,Paramètres!$A$1:$I$89,3,0)*0.475*44/12</f>
        <v>1.3813127321837509E-5</v>
      </c>
      <c r="DI162" s="22">
        <f t="shared" si="175"/>
        <v>45.555815115505851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-1.7053025658242404E-13</v>
      </c>
      <c r="DP162" s="17">
        <f>DO162*VLOOKUP('Données projet'!$B$14,Paramètres!$A$1:$I$89,3,0)*VLOOKUP('Données projet'!$B$14,Paramètres!$A$1:$I$89,5,0)</f>
        <v>-1.4897523215040567E-13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324.86930206492627</v>
      </c>
      <c r="DU162" s="59">
        <f t="shared" si="152"/>
        <v>317.03005098025352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9.638347542081636</v>
      </c>
      <c r="EB162" s="21">
        <f>EXP(-LN(2)/25)*EB161+(1-EXP(-LN(2)/25))/(LN(2)/25)*Calculateur!DW162*Calculateur!DY162*VLOOKUP('Données projet'!$B$14,Paramètres!$A$1:$I$89,3,0)*0.475*44/12</f>
        <v>5.2040357694707966</v>
      </c>
      <c r="EC162" s="21">
        <f>EXP(-LN(2)/2)*EC161+(1-EXP(-LN(2)/2))/(LN(2)/2)*DW162*DZ162*VLOOKUP('Données projet'!$B$14,Paramètres!$A$1:$I$89,3,0)*0.475*44/12</f>
        <v>7.3412289604012923E-11</v>
      </c>
      <c r="ED162" s="22">
        <f t="shared" si="178"/>
        <v>14.842383311625843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302.00825291248458</v>
      </c>
      <c r="T163" s="59">
        <f t="shared" si="142"/>
        <v>307.35115839449355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19.16549086640088</v>
      </c>
      <c r="AA163" s="21">
        <f>EXP(-LN(2)/25)*AA162+(1-EXP(-LN(2)/25))/(LN(2)/25)*Calculateur!V163*Calculateur!X163*VLOOKUP('Données projet'!$B$9,Paramètres!$A$1:$I$89,3,0)*0.475*44/12</f>
        <v>3.027532360240766</v>
      </c>
      <c r="AB163" s="21">
        <f>EXP(-LN(2)/2)*AB162+(1-EXP(-LN(2)/2))/(LN(2)/2)*V163*Y163*VLOOKUP('Données projet'!$B$9,Paramètres!$A$1:$I$89,3,0)*0.475*44/12</f>
        <v>5.3256459529785521E-14</v>
      </c>
      <c r="AC163" s="22">
        <f t="shared" si="163"/>
        <v>22.193023226641699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5.0249582272954292E-14</v>
      </c>
      <c r="AK163" s="13">
        <f t="shared" si="164"/>
        <v>8.1784820119191593E-13</v>
      </c>
      <c r="AL163" s="20">
        <f t="shared" si="165"/>
        <v>1.5119369728679821E-12</v>
      </c>
      <c r="AM163" s="59">
        <f t="shared" si="113"/>
        <v>293.33333333333485</v>
      </c>
      <c r="AN163" s="59">
        <f ca="1">AVERAGE(OFFSET($AM$3,0,0,'Données projet'!$E$10+1,1))-AVERAGE(OFFSET($H$3,0,0,'Données projet'!$E$10+1,1))</f>
        <v>394.37446333077651</v>
      </c>
      <c r="AO163" s="59">
        <f t="shared" si="144"/>
        <v>335.44327961212963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42.377218063337594</v>
      </c>
      <c r="AV163" s="21">
        <f>EXP(-LN(2)/25)*AV162+(1-EXP(-LN(2)/25))/(LN(2)/25)*Calculateur!AQ163*Calculateur!AS163*VLOOKUP('Données projet'!$B$10,Paramètres!$A$1:$I$89,3,0)*0.475*44/12</f>
        <v>7.8236294820051455</v>
      </c>
      <c r="AW163" s="21">
        <f>EXP(-LN(2)/2)*AW162+(1-EXP(-LN(2)/2))/(LN(2)/2)*AQ163*AT163*VLOOKUP('Données projet'!$B$10,Paramètres!$A$1:$I$89,3,0)*0.475*44/12</f>
        <v>7.1489822556327873E-11</v>
      </c>
      <c r="AX163" s="21">
        <f t="shared" si="166"/>
        <v>50.200847545414227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1.7174999999999976</v>
      </c>
      <c r="BD163" s="12">
        <f>IF('Données projet'!$A$88&gt;35,BD162+BC163-BL162,IF(A163&lt;'Données projet'!$A$88,$BA$205^A163,IF(A163='Données projet'!$A$88,'Données projet'!$B$88,BD162+BC163-BL162)))</f>
        <v>132.54250000000053</v>
      </c>
      <c r="BE163" s="13">
        <f>BD163*VLOOKUP('Données projet'!$B$11,Paramètres!$A$1:$I$89,3,0)*VLOOKUP('Données projet'!$B$11,Paramètres!$A$1:$I$89,5,0)</f>
        <v>119.92445400000048</v>
      </c>
      <c r="BF163" s="13">
        <f t="shared" si="167"/>
        <v>31.657378784489545</v>
      </c>
      <c r="BG163" s="20">
        <f t="shared" si="168"/>
        <v>264.00502543298677</v>
      </c>
      <c r="BH163" s="59">
        <f t="shared" si="116"/>
        <v>557.33835876632008</v>
      </c>
      <c r="BI163" s="59">
        <f ca="1">AVERAGE(OFFSET($BH$3,0,0,'Données projet'!$E$11+1,1))-AVERAGE(OFFSET($H$3,0,0,'Données projet'!$E$11+1,1))</f>
        <v>490.06222615476065</v>
      </c>
      <c r="BJ163" s="59">
        <f t="shared" si="146"/>
        <v>310.43914804089906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88.137098416595094</v>
      </c>
      <c r="BQ163" s="21">
        <f>EXP(-LN(2)/25)*BQ162+(1-EXP(-LN(2)/25))/(LN(2)/25)*Calculateur!BL163*Calculateur!BN163*VLOOKUP('Données projet'!$B$11,Paramètres!$A$1:$I$89,3,0)*0.475*44/12</f>
        <v>17.519034178736906</v>
      </c>
      <c r="BR163" s="21">
        <f>EXP(-LN(2)/2)*BR162+(1-EXP(-LN(2)/2))/(LN(2)/2)*BL163*BO163*VLOOKUP('Données projet'!$B$11,Paramètres!$A$1:$I$89,3,0)*0.475*44/12</f>
        <v>1.567920124435433</v>
      </c>
      <c r="BS163" s="22">
        <f t="shared" si="169"/>
        <v>107.22405271976743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353.37479213497227</v>
      </c>
      <c r="CE163" s="59">
        <f t="shared" si="148"/>
        <v>345.4750813433123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10.660686186492937</v>
      </c>
      <c r="CL163" s="21">
        <f>EXP(-LN(2)/25)*CL162+(1-EXP(-LN(2)/25))/(LN(2)/25)*Calculateur!CG163*Calculateur!CI163*VLOOKUP('Données projet'!$B$12,Paramètres!$A$1:$I$89,3,0)*0.475*44/12</f>
        <v>5.5849895906691991</v>
      </c>
      <c r="CM163" s="21">
        <f>EXP(-LN(2)/2)*CM162+(1-EXP(-LN(2)/2))/(LN(2)/2)*CG163*CJ163*VLOOKUP('Données projet'!$B$12,Paramètres!$A$1:$I$89,3,0)*0.475*44/12</f>
        <v>5.6771860913069169E-11</v>
      </c>
      <c r="CN163" s="22">
        <f t="shared" si="172"/>
        <v>16.245675777218906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-7.3896444519050419E-13</v>
      </c>
      <c r="CU163" s="17">
        <f>CT163*VLOOKUP('Données projet'!$B$13,Paramètres!$A$1:$I$89,3,0)*VLOOKUP('Données projet'!$B$13,Paramètres!$A$1:$I$89,5,0)</f>
        <v>-3.5544189813663252E-13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314.18760071409162</v>
      </c>
      <c r="CZ163" s="59">
        <f t="shared" si="150"/>
        <v>267.72650645201787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37.890540483871945</v>
      </c>
      <c r="DG163" s="21">
        <f>EXP(-LN(2)/25)*DG162+(1-EXP(-LN(2)/25))/(LN(2)/25)*Calculateur!DB163*Calculateur!DD163*VLOOKUP('Données projet'!$B$13,Paramètres!$A$1:$I$89,3,0)*0.475*44/12</f>
        <v>6.718506110803192</v>
      </c>
      <c r="DH163" s="21">
        <f>EXP(-LN(2)/2)*DH162+(1-EXP(-LN(2)/2))/(LN(2)/2)*DB163*DE163*VLOOKUP('Données projet'!$B$13,Paramètres!$A$1:$I$89,3,0)*0.475*44/12</f>
        <v>9.7673559986644767E-6</v>
      </c>
      <c r="DI163" s="22">
        <f t="shared" si="175"/>
        <v>44.609056362031133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-1.7053025658242404E-13</v>
      </c>
      <c r="DP163" s="17">
        <f>DO163*VLOOKUP('Données projet'!$B$14,Paramètres!$A$1:$I$89,3,0)*VLOOKUP('Données projet'!$B$14,Paramètres!$A$1:$I$89,5,0)</f>
        <v>-1.4897523215040567E-13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324.86930206492627</v>
      </c>
      <c r="DU163" s="59">
        <f t="shared" si="152"/>
        <v>317.03005098025352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9.4493454255929308</v>
      </c>
      <c r="EB163" s="21">
        <f>EXP(-LN(2)/25)*EB162+(1-EXP(-LN(2)/25))/(LN(2)/25)*Calculateur!DW163*Calculateur!DY163*VLOOKUP('Données projet'!$B$14,Paramètres!$A$1:$I$89,3,0)*0.475*44/12</f>
        <v>5.0617311376862704</v>
      </c>
      <c r="EC163" s="21">
        <f>EXP(-LN(2)/2)*EC162+(1-EXP(-LN(2)/2))/(LN(2)/2)*DW163*DZ163*VLOOKUP('Données projet'!$B$14,Paramètres!$A$1:$I$89,3,0)*0.475*44/12</f>
        <v>5.1910327801428224E-11</v>
      </c>
      <c r="ED163" s="22">
        <f t="shared" si="178"/>
        <v>14.511076563331111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302.00825291248458</v>
      </c>
      <c r="T164" s="59">
        <f t="shared" si="142"/>
        <v>307.35115839449355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18.789667280305917</v>
      </c>
      <c r="AA164" s="21">
        <f>EXP(-LN(2)/25)*AA163+(1-EXP(-LN(2)/25))/(LN(2)/25)*Calculateur!V164*Calculateur!X164*VLOOKUP('Données projet'!$B$9,Paramètres!$A$1:$I$89,3,0)*0.475*44/12</f>
        <v>2.9447443286389747</v>
      </c>
      <c r="AB164" s="21">
        <f>EXP(-LN(2)/2)*AB163+(1-EXP(-LN(2)/2))/(LN(2)/2)*V164*Y164*VLOOKUP('Données projet'!$B$9,Paramètres!$A$1:$I$89,3,0)*0.475*44/12</f>
        <v>3.7658003675498274E-14</v>
      </c>
      <c r="AC164" s="22">
        <f t="shared" si="163"/>
        <v>21.734411608944932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5.0249582272954292E-14</v>
      </c>
      <c r="AK164" s="13">
        <f t="shared" si="164"/>
        <v>8.1784820119191593E-13</v>
      </c>
      <c r="AL164" s="20">
        <f t="shared" si="165"/>
        <v>1.5119369728679821E-12</v>
      </c>
      <c r="AM164" s="59">
        <f t="shared" si="113"/>
        <v>293.33333333333485</v>
      </c>
      <c r="AN164" s="59">
        <f ca="1">AVERAGE(OFFSET($AM$3,0,0,'Données projet'!$E$10+1,1))-AVERAGE(OFFSET($H$3,0,0,'Données projet'!$E$10+1,1))</f>
        <v>394.37446333077651</v>
      </c>
      <c r="AO164" s="59">
        <f t="shared" si="144"/>
        <v>335.44327961212963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41.546226664666328</v>
      </c>
      <c r="AV164" s="21">
        <f>EXP(-LN(2)/25)*AV163+(1-EXP(-LN(2)/25))/(LN(2)/25)*Calculateur!AQ164*Calculateur!AS164*VLOOKUP('Données projet'!$B$10,Paramètres!$A$1:$I$89,3,0)*0.475*44/12</f>
        <v>7.6096919223929218</v>
      </c>
      <c r="AW164" s="21">
        <f>EXP(-LN(2)/2)*AW163+(1-EXP(-LN(2)/2))/(LN(2)/2)*AQ164*AT164*VLOOKUP('Données projet'!$B$10,Paramètres!$A$1:$I$89,3,0)*0.475*44/12</f>
        <v>5.0550938315402444E-11</v>
      </c>
      <c r="AX164" s="21">
        <f t="shared" si="166"/>
        <v>49.155918587109795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1.7174999999999976</v>
      </c>
      <c r="BC164" s="12">
        <f t="array" ref="BC164">INDEX(BB:BB,MIN(IF(ISNUMBER(BB164:BB360),ROW(BB164:BB360),"")))</f>
        <v>1.7174999999999976</v>
      </c>
      <c r="BD164" s="12">
        <f>IF('Données projet'!$A$88&gt;35,BD163+BC164-BL163,IF(A164&lt;'Données projet'!$A$88,$BA$205^A164,IF(A164='Données projet'!$A$88,'Données projet'!$B$88,BD163+BC164-BL163)))</f>
        <v>134.26000000000053</v>
      </c>
      <c r="BE164" s="13">
        <f>BD164*VLOOKUP('Données projet'!$B$11,Paramètres!$A$1:$I$89,3,0)*VLOOKUP('Données projet'!$B$11,Paramètres!$A$1:$I$89,5,0)</f>
        <v>121.47844800000047</v>
      </c>
      <c r="BF164" s="13">
        <f t="shared" si="167"/>
        <v>32.019576882630901</v>
      </c>
      <c r="BG164" s="20">
        <f t="shared" si="168"/>
        <v>267.34239333724963</v>
      </c>
      <c r="BH164" s="59">
        <f t="shared" si="116"/>
        <v>560.67572667058289</v>
      </c>
      <c r="BI164" s="59">
        <f ca="1">AVERAGE(OFFSET($BH$3,0,0,'Données projet'!$E$11+1,1))-AVERAGE(OFFSET($H$3,0,0,'Données projet'!$E$11+1,1))</f>
        <v>490.06222615476065</v>
      </c>
      <c r="BJ164" s="59">
        <f t="shared" si="146"/>
        <v>310.43914804089906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134.26</v>
      </c>
      <c r="BM164" s="16">
        <f>IF(ISNA(VLOOKUP(A164,'Données projet'!$A$87:$I$107,5,0)),0%,VLOOKUP(A164,'Données projet'!$A$87:$I$107,5,0)*VLOOKUP('Données projet'!$B$11,Paramètres!$A$1:$I$89,7,0))</f>
        <v>0.19350000000000001</v>
      </c>
      <c r="BN164" s="16">
        <f>IF(ISNA(VLOOKUP(A164,'Données projet'!$A$87:$I$107,6,0)),0%,VLOOKUP(A164,'Données projet'!$A$87:$I$107,6,0)*VLOOKUP('Données projet'!$B$11,Paramètres!$A$1:$I$89,7,0))</f>
        <v>2.1500000000000002E-2</v>
      </c>
      <c r="BO164" s="16">
        <f>IF(ISNA(VLOOKUP(A164,'Données projet'!$A$87:$I$107,7,0)),0%,VLOOKUP(A164,'Données projet'!$A$87:$I$107,7,0))</f>
        <v>0.05</v>
      </c>
      <c r="BP164" s="21">
        <f>EXP(-LN(2)/35)*BP163+(1-EXP(-LN(2)/35))/(LN(2)/35)*BL164*BM164*VLOOKUP('Données projet'!$B$11,Paramètres!$A$1:$I$89,3,0)*0.475*44/12</f>
        <v>112.39405850899264</v>
      </c>
      <c r="BQ164" s="21">
        <f>EXP(-LN(2)/25)*BQ163+(1-EXP(-LN(2)/25))/(LN(2)/25)*Calculateur!BL164*Calculateur!BN164*VLOOKUP('Données projet'!$B$11,Paramètres!$A$1:$I$89,3,0)*0.475*44/12</f>
        <v>19.915859812926445</v>
      </c>
      <c r="BR164" s="21">
        <f>EXP(-LN(2)/2)*BR163+(1-EXP(-LN(2)/2))/(LN(2)/2)*BL164*BO164*VLOOKUP('Données projet'!$B$11,Paramètres!$A$1:$I$89,3,0)*0.475*44/12</f>
        <v>6.8395962139717037</v>
      </c>
      <c r="BS164" s="22">
        <f t="shared" si="169"/>
        <v>139.1495145358908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353.37479213497227</v>
      </c>
      <c r="CE164" s="59">
        <f t="shared" si="148"/>
        <v>345.4750813433123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10.451636632752328</v>
      </c>
      <c r="CL164" s="21">
        <f>EXP(-LN(2)/25)*CL163+(1-EXP(-LN(2)/25))/(LN(2)/25)*Calculateur!CG164*Calculateur!CI164*VLOOKUP('Données projet'!$B$12,Paramètres!$A$1:$I$89,3,0)*0.475*44/12</f>
        <v>5.4322677566105115</v>
      </c>
      <c r="CM164" s="21">
        <f>EXP(-LN(2)/2)*CM163+(1-EXP(-LN(2)/2))/(LN(2)/2)*CG164*CJ164*VLOOKUP('Données projet'!$B$12,Paramètres!$A$1:$I$89,3,0)*0.475*44/12</f>
        <v>4.0143767832210711E-11</v>
      </c>
      <c r="CN164" s="22">
        <f t="shared" si="172"/>
        <v>15.883904389402984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-7.3896444519050419E-13</v>
      </c>
      <c r="CU164" s="17">
        <f>CT164*VLOOKUP('Données projet'!$B$13,Paramètres!$A$1:$I$89,3,0)*VLOOKUP('Données projet'!$B$13,Paramètres!$A$1:$I$89,5,0)</f>
        <v>-3.5544189813663252E-13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314.18760071409162</v>
      </c>
      <c r="CZ164" s="59">
        <f t="shared" si="150"/>
        <v>267.72650645201787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37.147530095930897</v>
      </c>
      <c r="DG164" s="21">
        <f>EXP(-LN(2)/25)*DG163+(1-EXP(-LN(2)/25))/(LN(2)/25)*Calculateur!DB164*Calculateur!DD164*VLOOKUP('Données projet'!$B$13,Paramètres!$A$1:$I$89,3,0)*0.475*44/12</f>
        <v>6.5347882078923973</v>
      </c>
      <c r="DH164" s="21">
        <f>EXP(-LN(2)/2)*DH163+(1-EXP(-LN(2)/2))/(LN(2)/2)*DB164*DE164*VLOOKUP('Données projet'!$B$13,Paramètres!$A$1:$I$89,3,0)*0.475*44/12</f>
        <v>6.9065636609187546E-6</v>
      </c>
      <c r="DI164" s="22">
        <f t="shared" si="175"/>
        <v>43.682325210386956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-1.7053025658242404E-13</v>
      </c>
      <c r="DP164" s="17">
        <f>DO164*VLOOKUP('Données projet'!$B$14,Paramètres!$A$1:$I$89,3,0)*VLOOKUP('Données projet'!$B$14,Paramètres!$A$1:$I$89,5,0)</f>
        <v>-1.4897523215040567E-13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324.86930206492627</v>
      </c>
      <c r="DU164" s="59">
        <f t="shared" si="152"/>
        <v>317.03005098025352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9.2640495253286623</v>
      </c>
      <c r="EB164" s="21">
        <f>EXP(-LN(2)/25)*EB163+(1-EXP(-LN(2)/25))/(LN(2)/25)*Calculateur!DW164*Calculateur!DY164*VLOOKUP('Données projet'!$B$14,Paramètres!$A$1:$I$89,3,0)*0.475*44/12</f>
        <v>4.9233178335413674</v>
      </c>
      <c r="EC164" s="21">
        <f>EXP(-LN(2)/2)*EC163+(1-EXP(-LN(2)/2))/(LN(2)/2)*DW164*DZ164*VLOOKUP('Données projet'!$B$14,Paramètres!$A$1:$I$89,3,0)*0.475*44/12</f>
        <v>3.6706144802006462E-11</v>
      </c>
      <c r="ED164" s="22">
        <f t="shared" si="178"/>
        <v>14.187367358906737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302.00825291248458</v>
      </c>
      <c r="T165" s="59">
        <f t="shared" si="142"/>
        <v>307.35115839449355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18.421213365504521</v>
      </c>
      <c r="AA165" s="21">
        <f>EXP(-LN(2)/25)*AA164+(1-EXP(-LN(2)/25))/(LN(2)/25)*Calculateur!V165*Calculateur!X165*VLOOKUP('Données projet'!$B$9,Paramètres!$A$1:$I$89,3,0)*0.475*44/12</f>
        <v>2.8642201401149681</v>
      </c>
      <c r="AB165" s="21">
        <f>EXP(-LN(2)/2)*AB164+(1-EXP(-LN(2)/2))/(LN(2)/2)*V165*Y165*VLOOKUP('Données projet'!$B$9,Paramètres!$A$1:$I$89,3,0)*0.475*44/12</f>
        <v>2.6628229764892761E-14</v>
      </c>
      <c r="AC165" s="22">
        <f t="shared" si="163"/>
        <v>21.285433505619512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5.0249582272954292E-14</v>
      </c>
      <c r="AK165" s="13">
        <f t="shared" si="164"/>
        <v>8.1784820119191593E-13</v>
      </c>
      <c r="AL165" s="20">
        <f t="shared" si="165"/>
        <v>1.5119369728679821E-12</v>
      </c>
      <c r="AM165" s="59">
        <f t="shared" si="113"/>
        <v>293.33333333333485</v>
      </c>
      <c r="AN165" s="59">
        <f ca="1">AVERAGE(OFFSET($AM$3,0,0,'Données projet'!$E$10+1,1))-AVERAGE(OFFSET($H$3,0,0,'Données projet'!$E$10+1,1))</f>
        <v>394.37446333077651</v>
      </c>
      <c r="AO165" s="59">
        <f t="shared" si="144"/>
        <v>335.44327961212963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40.731530500468303</v>
      </c>
      <c r="AV165" s="21">
        <f>EXP(-LN(2)/25)*AV164+(1-EXP(-LN(2)/25))/(LN(2)/25)*Calculateur!AQ165*Calculateur!AS165*VLOOKUP('Données projet'!$B$10,Paramètres!$A$1:$I$89,3,0)*0.475*44/12</f>
        <v>7.4016044965987815</v>
      </c>
      <c r="AW165" s="21">
        <f>EXP(-LN(2)/2)*AW164+(1-EXP(-LN(2)/2))/(LN(2)/2)*AQ165*AT165*VLOOKUP('Données projet'!$B$10,Paramètres!$A$1:$I$89,3,0)*0.475*44/12</f>
        <v>3.5744911278163936E-11</v>
      </c>
      <c r="AX165" s="21">
        <f t="shared" si="166"/>
        <v>48.133134997102829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5.4001247917767614E-13</v>
      </c>
      <c r="BE165" s="13">
        <f>BD165*VLOOKUP('Données projet'!$B$11,Paramètres!$A$1:$I$89,3,0)*VLOOKUP('Données projet'!$B$11,Paramètres!$A$1:$I$89,5,0)</f>
        <v>4.8860329115996133E-13</v>
      </c>
      <c r="BF165" s="13">
        <f t="shared" si="167"/>
        <v>6.1025862939685007E-12</v>
      </c>
      <c r="BG165" s="20">
        <f t="shared" si="168"/>
        <v>1.1479655194098737E-11</v>
      </c>
      <c r="BH165" s="59">
        <f t="shared" si="116"/>
        <v>293.3333333333448</v>
      </c>
      <c r="BI165" s="59">
        <f ca="1">AVERAGE(OFFSET($BH$3,0,0,'Données projet'!$E$11+1,1))-AVERAGE(OFFSET($H$3,0,0,'Données projet'!$E$11+1,1))</f>
        <v>490.06222615476065</v>
      </c>
      <c r="BJ165" s="59">
        <f t="shared" si="146"/>
        <v>310.43914804089906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110.19007957523789</v>
      </c>
      <c r="BQ165" s="21">
        <f>EXP(-LN(2)/25)*BQ164+(1-EXP(-LN(2)/25))/(LN(2)/25)*Calculateur!BL165*Calculateur!BN165*VLOOKUP('Données projet'!$B$11,Paramètres!$A$1:$I$89,3,0)*0.475*44/12</f>
        <v>19.371259579012424</v>
      </c>
      <c r="BR165" s="21">
        <f>EXP(-LN(2)/2)*BR164+(1-EXP(-LN(2)/2))/(LN(2)/2)*BL165*BO165*VLOOKUP('Données projet'!$B$11,Paramètres!$A$1:$I$89,3,0)*0.475*44/12</f>
        <v>4.8363248634772287</v>
      </c>
      <c r="BS165" s="22">
        <f t="shared" si="169"/>
        <v>134.39766401772752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353.37479213497227</v>
      </c>
      <c r="CE165" s="59">
        <f t="shared" si="148"/>
        <v>345.4750813433123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10.246686413252934</v>
      </c>
      <c r="CL165" s="21">
        <f>EXP(-LN(2)/25)*CL164+(1-EXP(-LN(2)/25))/(LN(2)/25)*Calculateur!CG165*Calculateur!CI165*VLOOKUP('Données projet'!$B$12,Paramètres!$A$1:$I$89,3,0)*0.475*44/12</f>
        <v>5.2837221091354518</v>
      </c>
      <c r="CM165" s="21">
        <f>EXP(-LN(2)/2)*CM164+(1-EXP(-LN(2)/2))/(LN(2)/2)*CG165*CJ165*VLOOKUP('Données projet'!$B$12,Paramètres!$A$1:$I$89,3,0)*0.475*44/12</f>
        <v>2.8385930456534585E-11</v>
      </c>
      <c r="CN165" s="22">
        <f t="shared" si="172"/>
        <v>15.530408522416772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-7.3896444519050419E-13</v>
      </c>
      <c r="CU165" s="17">
        <f>CT165*VLOOKUP('Données projet'!$B$13,Paramètres!$A$1:$I$89,3,0)*VLOOKUP('Données projet'!$B$13,Paramètres!$A$1:$I$89,5,0)</f>
        <v>-3.5544189813663252E-13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314.18760071409162</v>
      </c>
      <c r="CZ165" s="59">
        <f t="shared" si="150"/>
        <v>267.72650645201787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36.419089688505785</v>
      </c>
      <c r="DG165" s="21">
        <f>EXP(-LN(2)/25)*DG164+(1-EXP(-LN(2)/25))/(LN(2)/25)*Calculateur!DB165*Calculateur!DD165*VLOOKUP('Données projet'!$B$13,Paramètres!$A$1:$I$89,3,0)*0.475*44/12</f>
        <v>6.3560940806980035</v>
      </c>
      <c r="DH165" s="21">
        <f>EXP(-LN(2)/2)*DH164+(1-EXP(-LN(2)/2))/(LN(2)/2)*DB165*DE165*VLOOKUP('Données projet'!$B$13,Paramètres!$A$1:$I$89,3,0)*0.475*44/12</f>
        <v>4.8836779993322384E-6</v>
      </c>
      <c r="DI165" s="22">
        <f t="shared" si="175"/>
        <v>42.775188652881795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-1.7053025658242404E-13</v>
      </c>
      <c r="DP165" s="17">
        <f>DO165*VLOOKUP('Données projet'!$B$14,Paramètres!$A$1:$I$89,3,0)*VLOOKUP('Données projet'!$B$14,Paramètres!$A$1:$I$89,5,0)</f>
        <v>-1.4897523215040567E-13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324.86930206492627</v>
      </c>
      <c r="DU165" s="59">
        <f t="shared" si="152"/>
        <v>317.03005098025352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9.0823871646492353</v>
      </c>
      <c r="EB165" s="21">
        <f>EXP(-LN(2)/25)*EB164+(1-EXP(-LN(2)/25))/(LN(2)/25)*Calculateur!DW165*Calculateur!DY165*VLOOKUP('Données projet'!$B$14,Paramètres!$A$1:$I$89,3,0)*0.475*44/12</f>
        <v>4.7886894484771458</v>
      </c>
      <c r="EC165" s="21">
        <f>EXP(-LN(2)/2)*EC164+(1-EXP(-LN(2)/2))/(LN(2)/2)*DW165*DZ165*VLOOKUP('Données projet'!$B$14,Paramètres!$A$1:$I$89,3,0)*0.475*44/12</f>
        <v>2.5955163900714112E-11</v>
      </c>
      <c r="ED165" s="22">
        <f t="shared" si="178"/>
        <v>13.871076613152335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302.00825291248458</v>
      </c>
      <c r="T166" s="59">
        <f t="shared" si="142"/>
        <v>307.35115839449355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18.059984607237684</v>
      </c>
      <c r="AA166" s="21">
        <f>EXP(-LN(2)/25)*AA165+(1-EXP(-LN(2)/25))/(LN(2)/25)*Calculateur!V166*Calculateur!X166*VLOOKUP('Données projet'!$B$9,Paramètres!$A$1:$I$89,3,0)*0.475*44/12</f>
        <v>2.7858978897607334</v>
      </c>
      <c r="AB166" s="21">
        <f>EXP(-LN(2)/2)*AB165+(1-EXP(-LN(2)/2))/(LN(2)/2)*V166*Y166*VLOOKUP('Données projet'!$B$9,Paramètres!$A$1:$I$89,3,0)*0.475*44/12</f>
        <v>1.8829001837749137E-14</v>
      </c>
      <c r="AC166" s="22">
        <f t="shared" si="163"/>
        <v>20.845882496998435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5.0249582272954292E-14</v>
      </c>
      <c r="AK166" s="13">
        <f t="shared" si="164"/>
        <v>8.1784820119191593E-13</v>
      </c>
      <c r="AL166" s="20">
        <f t="shared" si="165"/>
        <v>1.5119369728679821E-12</v>
      </c>
      <c r="AM166" s="59">
        <f t="shared" si="113"/>
        <v>293.33333333333485</v>
      </c>
      <c r="AN166" s="59">
        <f ca="1">AVERAGE(OFFSET($AM$3,0,0,'Données projet'!$E$10+1,1))-AVERAGE(OFFSET($H$3,0,0,'Données projet'!$E$10+1,1))</f>
        <v>394.37446333077651</v>
      </c>
      <c r="AO166" s="59">
        <f t="shared" si="144"/>
        <v>335.44327961212963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39.932810031134608</v>
      </c>
      <c r="AV166" s="21">
        <f>EXP(-LN(2)/25)*AV165+(1-EXP(-LN(2)/25))/(LN(2)/25)*Calculateur!AQ166*Calculateur!AS166*VLOOKUP('Données projet'!$B$10,Paramètres!$A$1:$I$89,3,0)*0.475*44/12</f>
        <v>7.1992072324058238</v>
      </c>
      <c r="AW166" s="21">
        <f>EXP(-LN(2)/2)*AW165+(1-EXP(-LN(2)/2))/(LN(2)/2)*AQ166*AT166*VLOOKUP('Données projet'!$B$10,Paramètres!$A$1:$I$89,3,0)*0.475*44/12</f>
        <v>2.5275469157701222E-11</v>
      </c>
      <c r="AX166" s="21">
        <f t="shared" si="166"/>
        <v>47.132017263565707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5.4001247917767614E-13</v>
      </c>
      <c r="BE166" s="13">
        <f>BD166*VLOOKUP('Données projet'!$B$11,Paramètres!$A$1:$I$89,3,0)*VLOOKUP('Données projet'!$B$11,Paramètres!$A$1:$I$89,5,0)</f>
        <v>4.8860329115996133E-13</v>
      </c>
      <c r="BF166" s="13">
        <f t="shared" si="167"/>
        <v>6.1025862939685007E-12</v>
      </c>
      <c r="BG166" s="20">
        <f t="shared" si="168"/>
        <v>1.1479655194098737E-11</v>
      </c>
      <c r="BH166" s="59">
        <f t="shared" si="116"/>
        <v>293.3333333333448</v>
      </c>
      <c r="BI166" s="59">
        <f ca="1">AVERAGE(OFFSET($BH$3,0,0,'Données projet'!$E$11+1,1))-AVERAGE(OFFSET($H$3,0,0,'Données projet'!$E$11+1,1))</f>
        <v>490.06222615476065</v>
      </c>
      <c r="BJ166" s="59">
        <f t="shared" si="146"/>
        <v>310.43914804089906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108.02931932407965</v>
      </c>
      <c r="BQ166" s="21">
        <f>EXP(-LN(2)/25)*BQ165+(1-EXP(-LN(2)/25))/(LN(2)/25)*Calculateur!BL166*Calculateur!BN166*VLOOKUP('Données projet'!$B$11,Paramètres!$A$1:$I$89,3,0)*0.475*44/12</f>
        <v>18.84155146713406</v>
      </c>
      <c r="BR166" s="21">
        <f>EXP(-LN(2)/2)*BR165+(1-EXP(-LN(2)/2))/(LN(2)/2)*BL166*BO166*VLOOKUP('Données projet'!$B$11,Paramètres!$A$1:$I$89,3,0)*0.475*44/12</f>
        <v>3.4197981069858523</v>
      </c>
      <c r="BS166" s="22">
        <f t="shared" si="169"/>
        <v>130.29066889819958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353.37479213497227</v>
      </c>
      <c r="CE166" s="59">
        <f t="shared" si="148"/>
        <v>345.4750813433123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10.045755142550634</v>
      </c>
      <c r="CL166" s="21">
        <f>EXP(-LN(2)/25)*CL165+(1-EXP(-LN(2)/25))/(LN(2)/25)*Calculateur!CG166*Calculateur!CI166*VLOOKUP('Données projet'!$B$12,Paramètres!$A$1:$I$89,3,0)*0.475*44/12</f>
        <v>5.1392384502022734</v>
      </c>
      <c r="CM166" s="21">
        <f>EXP(-LN(2)/2)*CM165+(1-EXP(-LN(2)/2))/(LN(2)/2)*CG166*CJ166*VLOOKUP('Données projet'!$B$12,Paramètres!$A$1:$I$89,3,0)*0.475*44/12</f>
        <v>2.0071883916105355E-11</v>
      </c>
      <c r="CN166" s="22">
        <f t="shared" si="172"/>
        <v>15.184993592772978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-7.3896444519050419E-13</v>
      </c>
      <c r="CU166" s="17">
        <f>CT166*VLOOKUP('Données projet'!$B$13,Paramètres!$A$1:$I$89,3,0)*VLOOKUP('Données projet'!$B$13,Paramètres!$A$1:$I$89,5,0)</f>
        <v>-3.5544189813663252E-13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314.18760071409162</v>
      </c>
      <c r="CZ166" s="59">
        <f t="shared" si="150"/>
        <v>267.72650645201787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35.704933553165503</v>
      </c>
      <c r="DG166" s="21">
        <f>EXP(-LN(2)/25)*DG165+(1-EXP(-LN(2)/25))/(LN(2)/25)*Calculateur!DB166*Calculateur!DD166*VLOOKUP('Données projet'!$B$13,Paramètres!$A$1:$I$89,3,0)*0.475*44/12</f>
        <v>6.1822863538088564</v>
      </c>
      <c r="DH166" s="21">
        <f>EXP(-LN(2)/2)*DH165+(1-EXP(-LN(2)/2))/(LN(2)/2)*DB166*DE166*VLOOKUP('Données projet'!$B$13,Paramètres!$A$1:$I$89,3,0)*0.475*44/12</f>
        <v>3.4532818304593773E-6</v>
      </c>
      <c r="DI166" s="22">
        <f t="shared" si="175"/>
        <v>41.887223360256186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-1.7053025658242404E-13</v>
      </c>
      <c r="DP166" s="17">
        <f>DO166*VLOOKUP('Données projet'!$B$14,Paramètres!$A$1:$I$89,3,0)*VLOOKUP('Données projet'!$B$14,Paramètres!$A$1:$I$89,5,0)</f>
        <v>-1.4897523215040567E-13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324.86930206492627</v>
      </c>
      <c r="DU166" s="59">
        <f t="shared" si="152"/>
        <v>317.03005098025352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8.9042870920596329</v>
      </c>
      <c r="EB166" s="21">
        <f>EXP(-LN(2)/25)*EB165+(1-EXP(-LN(2)/25))/(LN(2)/25)*Calculateur!DW166*Calculateur!DY166*VLOOKUP('Données projet'!$B$14,Paramètres!$A$1:$I$89,3,0)*0.475*44/12</f>
        <v>4.6577424836823047</v>
      </c>
      <c r="EC166" s="21">
        <f>EXP(-LN(2)/2)*EC165+(1-EXP(-LN(2)/2))/(LN(2)/2)*DW166*DZ166*VLOOKUP('Données projet'!$B$14,Paramètres!$A$1:$I$89,3,0)*0.475*44/12</f>
        <v>1.8353072401003231E-11</v>
      </c>
      <c r="ED166" s="22">
        <f t="shared" si="178"/>
        <v>13.562029575760292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302.00825291248458</v>
      </c>
      <c r="T167" s="59">
        <f t="shared" si="142"/>
        <v>307.35115839449355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17.705839324592674</v>
      </c>
      <c r="AA167" s="21">
        <f>EXP(-LN(2)/25)*AA166+(1-EXP(-LN(2)/25))/(LN(2)/25)*Calculateur!V167*Calculateur!X167*VLOOKUP('Données projet'!$B$9,Paramètres!$A$1:$I$89,3,0)*0.475*44/12</f>
        <v>2.7097173654612234</v>
      </c>
      <c r="AB167" s="21">
        <f>EXP(-LN(2)/2)*AB166+(1-EXP(-LN(2)/2))/(LN(2)/2)*V167*Y167*VLOOKUP('Données projet'!$B$9,Paramètres!$A$1:$I$89,3,0)*0.475*44/12</f>
        <v>1.331411488244638E-14</v>
      </c>
      <c r="AC167" s="22">
        <f t="shared" si="163"/>
        <v>20.415556690053911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5.0249582272954292E-14</v>
      </c>
      <c r="AK167" s="13">
        <f t="shared" si="164"/>
        <v>8.1784820119191593E-13</v>
      </c>
      <c r="AL167" s="20">
        <f t="shared" si="165"/>
        <v>1.5119369728679821E-12</v>
      </c>
      <c r="AM167" s="59">
        <f t="shared" si="113"/>
        <v>293.33333333333485</v>
      </c>
      <c r="AN167" s="59">
        <f ca="1">AVERAGE(OFFSET($AM$3,0,0,'Données projet'!$E$10+1,1))-AVERAGE(OFFSET($H$3,0,0,'Données projet'!$E$10+1,1))</f>
        <v>394.37446333077651</v>
      </c>
      <c r="AO167" s="59">
        <f t="shared" si="144"/>
        <v>335.44327961212963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39.149751983033163</v>
      </c>
      <c r="AV167" s="21">
        <f>EXP(-LN(2)/25)*AV166+(1-EXP(-LN(2)/25))/(LN(2)/25)*Calculateur!AQ167*Calculateur!AS167*VLOOKUP('Données projet'!$B$10,Paramètres!$A$1:$I$89,3,0)*0.475*44/12</f>
        <v>7.0023445320458322</v>
      </c>
      <c r="AW167" s="21">
        <f>EXP(-LN(2)/2)*AW166+(1-EXP(-LN(2)/2))/(LN(2)/2)*AQ167*AT167*VLOOKUP('Données projet'!$B$10,Paramètres!$A$1:$I$89,3,0)*0.475*44/12</f>
        <v>1.7872455639081968E-11</v>
      </c>
      <c r="AX167" s="21">
        <f t="shared" si="166"/>
        <v>46.152096515096865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5.4001247917767614E-13</v>
      </c>
      <c r="BE167" s="13">
        <f>BD167*VLOOKUP('Données projet'!$B$11,Paramètres!$A$1:$I$89,3,0)*VLOOKUP('Données projet'!$B$11,Paramètres!$A$1:$I$89,5,0)</f>
        <v>4.8860329115996133E-13</v>
      </c>
      <c r="BF167" s="13">
        <f t="shared" si="167"/>
        <v>6.1025862939685007E-12</v>
      </c>
      <c r="BG167" s="20">
        <f t="shared" si="168"/>
        <v>1.1479655194098737E-11</v>
      </c>
      <c r="BH167" s="59">
        <f t="shared" si="116"/>
        <v>293.3333333333448</v>
      </c>
      <c r="BI167" s="59">
        <f ca="1">AVERAGE(OFFSET($BH$3,0,0,'Données projet'!$E$11+1,1))-AVERAGE(OFFSET($H$3,0,0,'Données projet'!$E$11+1,1))</f>
        <v>490.06222615476065</v>
      </c>
      <c r="BJ167" s="59">
        <f t="shared" si="146"/>
        <v>310.43914804089906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105.91093026351301</v>
      </c>
      <c r="BQ167" s="21">
        <f>EXP(-LN(2)/25)*BQ166+(1-EXP(-LN(2)/25))/(LN(2)/25)*Calculateur!BL167*Calculateur!BN167*VLOOKUP('Données projet'!$B$11,Paramètres!$A$1:$I$89,3,0)*0.475*44/12</f>
        <v>18.32632825143115</v>
      </c>
      <c r="BR167" s="21">
        <f>EXP(-LN(2)/2)*BR166+(1-EXP(-LN(2)/2))/(LN(2)/2)*BL167*BO167*VLOOKUP('Données projet'!$B$11,Paramètres!$A$1:$I$89,3,0)*0.475*44/12</f>
        <v>2.4181624317386148</v>
      </c>
      <c r="BS167" s="22">
        <f t="shared" si="169"/>
        <v>126.65542094668277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353.37479213497227</v>
      </c>
      <c r="CE167" s="59">
        <f t="shared" si="148"/>
        <v>345.4750813433123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9.8487640115108324</v>
      </c>
      <c r="CL167" s="21">
        <f>EXP(-LN(2)/25)*CL166+(1-EXP(-LN(2)/25))/(LN(2)/25)*Calculateur!CG167*Calculateur!CI167*VLOOKUP('Données projet'!$B$12,Paramètres!$A$1:$I$89,3,0)*0.475*44/12</f>
        <v>4.9987057045206882</v>
      </c>
      <c r="CM167" s="21">
        <f>EXP(-LN(2)/2)*CM166+(1-EXP(-LN(2)/2))/(LN(2)/2)*CG167*CJ167*VLOOKUP('Données projet'!$B$12,Paramètres!$A$1:$I$89,3,0)*0.475*44/12</f>
        <v>1.4192965228267292E-11</v>
      </c>
      <c r="CN167" s="22">
        <f t="shared" si="172"/>
        <v>14.847469716045714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-7.3896444519050419E-13</v>
      </c>
      <c r="CU167" s="17">
        <f>CT167*VLOOKUP('Données projet'!$B$13,Paramètres!$A$1:$I$89,3,0)*VLOOKUP('Données projet'!$B$13,Paramètres!$A$1:$I$89,5,0)</f>
        <v>-3.5544189813663252E-13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314.18760071409162</v>
      </c>
      <c r="CZ167" s="59">
        <f t="shared" si="150"/>
        <v>267.72650645201787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35.004781584047009</v>
      </c>
      <c r="DG167" s="21">
        <f>EXP(-LN(2)/25)*DG166+(1-EXP(-LN(2)/25))/(LN(2)/25)*Calculateur!DB167*Calculateur!DD167*VLOOKUP('Données projet'!$B$13,Paramètres!$A$1:$I$89,3,0)*0.475*44/12</f>
        <v>6.0132314083516434</v>
      </c>
      <c r="DH167" s="21">
        <f>EXP(-LN(2)/2)*DH166+(1-EXP(-LN(2)/2))/(LN(2)/2)*DB167*DE167*VLOOKUP('Données projet'!$B$13,Paramètres!$A$1:$I$89,3,0)*0.475*44/12</f>
        <v>2.4418389996661192E-6</v>
      </c>
      <c r="DI167" s="22">
        <f t="shared" si="175"/>
        <v>41.018015434237654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-1.7053025658242404E-13</v>
      </c>
      <c r="DP167" s="17">
        <f>DO167*VLOOKUP('Données projet'!$B$14,Paramètres!$A$1:$I$89,3,0)*VLOOKUP('Données projet'!$B$14,Paramètres!$A$1:$I$89,5,0)</f>
        <v>-1.4897523215040567E-13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324.86930206492627</v>
      </c>
      <c r="DU167" s="59">
        <f t="shared" si="152"/>
        <v>317.03005098025352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8.7296794532631949</v>
      </c>
      <c r="EB167" s="21">
        <f>EXP(-LN(2)/25)*EB166+(1-EXP(-LN(2)/25))/(LN(2)/25)*Calculateur!DW167*Calculateur!DY167*VLOOKUP('Données projet'!$B$14,Paramètres!$A$1:$I$89,3,0)*0.475*44/12</f>
        <v>4.5303762705259807</v>
      </c>
      <c r="EC167" s="21">
        <f>EXP(-LN(2)/2)*EC166+(1-EXP(-LN(2)/2))/(LN(2)/2)*DW167*DZ167*VLOOKUP('Données projet'!$B$14,Paramètres!$A$1:$I$89,3,0)*0.475*44/12</f>
        <v>1.2977581950357056E-11</v>
      </c>
      <c r="ED167" s="22">
        <f t="shared" si="178"/>
        <v>13.260055723802154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302.00825291248458</v>
      </c>
      <c r="T168" s="59">
        <f t="shared" si="142"/>
        <v>307.35115839449355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17.358638614933039</v>
      </c>
      <c r="AA168" s="21">
        <f>EXP(-LN(2)/25)*AA167+(1-EXP(-LN(2)/25))/(LN(2)/25)*Calculateur!V168*Calculateur!X168*VLOOKUP('Données projet'!$B$9,Paramètres!$A$1:$I$89,3,0)*0.475*44/12</f>
        <v>2.6356200016048432</v>
      </c>
      <c r="AB168" s="21">
        <f>EXP(-LN(2)/2)*AB167+(1-EXP(-LN(2)/2))/(LN(2)/2)*V168*Y168*VLOOKUP('Données projet'!$B$9,Paramètres!$A$1:$I$89,3,0)*0.475*44/12</f>
        <v>9.4145009188745685E-15</v>
      </c>
      <c r="AC168" s="22">
        <f t="shared" si="163"/>
        <v>19.994258616537891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5.0249582272954292E-14</v>
      </c>
      <c r="AK168" s="13">
        <f t="shared" si="164"/>
        <v>8.1784820119191593E-13</v>
      </c>
      <c r="AL168" s="20">
        <f t="shared" si="165"/>
        <v>1.5119369728679821E-12</v>
      </c>
      <c r="AM168" s="59">
        <f t="shared" si="113"/>
        <v>293.33333333333485</v>
      </c>
      <c r="AN168" s="59">
        <f ca="1">AVERAGE(OFFSET($AM$3,0,0,'Données projet'!$E$10+1,1))-AVERAGE(OFFSET($H$3,0,0,'Données projet'!$E$10+1,1))</f>
        <v>394.37446333077651</v>
      </c>
      <c r="AO168" s="59">
        <f t="shared" si="144"/>
        <v>335.44327961212963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38.382049225636734</v>
      </c>
      <c r="AV168" s="21">
        <f>EXP(-LN(2)/25)*AV167+(1-EXP(-LN(2)/25))/(LN(2)/25)*Calculateur!AQ168*Calculateur!AS168*VLOOKUP('Données projet'!$B$10,Paramètres!$A$1:$I$89,3,0)*0.475*44/12</f>
        <v>6.8108650525797438</v>
      </c>
      <c r="AW168" s="21">
        <f>EXP(-LN(2)/2)*AW167+(1-EXP(-LN(2)/2))/(LN(2)/2)*AQ168*AT168*VLOOKUP('Données projet'!$B$10,Paramètres!$A$1:$I$89,3,0)*0.475*44/12</f>
        <v>1.2637734578850611E-11</v>
      </c>
      <c r="AX168" s="21">
        <f t="shared" si="166"/>
        <v>45.192914278229118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5.4001247917767614E-13</v>
      </c>
      <c r="BE168" s="13">
        <f>BD168*VLOOKUP('Données projet'!$B$11,Paramètres!$A$1:$I$89,3,0)*VLOOKUP('Données projet'!$B$11,Paramètres!$A$1:$I$89,5,0)</f>
        <v>4.8860329115996133E-13</v>
      </c>
      <c r="BF168" s="13">
        <f t="shared" si="167"/>
        <v>6.1025862939685007E-12</v>
      </c>
      <c r="BG168" s="20">
        <f t="shared" si="168"/>
        <v>1.1479655194098737E-11</v>
      </c>
      <c r="BH168" s="59">
        <f t="shared" si="116"/>
        <v>293.3333333333448</v>
      </c>
      <c r="BI168" s="59">
        <f ca="1">AVERAGE(OFFSET($BH$3,0,0,'Données projet'!$E$11+1,1))-AVERAGE(OFFSET($H$3,0,0,'Données projet'!$E$11+1,1))</f>
        <v>490.06222615476065</v>
      </c>
      <c r="BJ168" s="59">
        <f t="shared" si="146"/>
        <v>310.43914804089906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103.83408152033434</v>
      </c>
      <c r="BQ168" s="21">
        <f>EXP(-LN(2)/25)*BQ167+(1-EXP(-LN(2)/25))/(LN(2)/25)*Calculateur!BL168*Calculateur!BN168*VLOOKUP('Données projet'!$B$11,Paramètres!$A$1:$I$89,3,0)*0.475*44/12</f>
        <v>17.825193841656048</v>
      </c>
      <c r="BR168" s="21">
        <f>EXP(-LN(2)/2)*BR167+(1-EXP(-LN(2)/2))/(LN(2)/2)*BL168*BO168*VLOOKUP('Données projet'!$B$11,Paramètres!$A$1:$I$89,3,0)*0.475*44/12</f>
        <v>1.7098990534929264</v>
      </c>
      <c r="BS168" s="22">
        <f t="shared" si="169"/>
        <v>123.36917441548331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353.37479213497227</v>
      </c>
      <c r="CE168" s="59">
        <f t="shared" si="148"/>
        <v>345.4750813433123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9.6556357563979951</v>
      </c>
      <c r="CL168" s="21">
        <f>EXP(-LN(2)/25)*CL167+(1-EXP(-LN(2)/25))/(LN(2)/25)*Calculateur!CG168*Calculateur!CI168*VLOOKUP('Données projet'!$B$12,Paramètres!$A$1:$I$89,3,0)*0.475*44/12</f>
        <v>4.8620158341600614</v>
      </c>
      <c r="CM168" s="21">
        <f>EXP(-LN(2)/2)*CM167+(1-EXP(-LN(2)/2))/(LN(2)/2)*CG168*CJ168*VLOOKUP('Données projet'!$B$12,Paramètres!$A$1:$I$89,3,0)*0.475*44/12</f>
        <v>1.0035941958052678E-11</v>
      </c>
      <c r="CN168" s="22">
        <f t="shared" si="172"/>
        <v>14.517651590568093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-7.3896444519050419E-13</v>
      </c>
      <c r="CU168" s="17">
        <f>CT168*VLOOKUP('Données projet'!$B$13,Paramètres!$A$1:$I$89,3,0)*VLOOKUP('Données projet'!$B$13,Paramètres!$A$1:$I$89,5,0)</f>
        <v>-3.5544189813663252E-13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314.18760071409162</v>
      </c>
      <c r="CZ168" s="59">
        <f t="shared" si="150"/>
        <v>267.72650645201787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34.318359167992398</v>
      </c>
      <c r="DG168" s="21">
        <f>EXP(-LN(2)/25)*DG167+(1-EXP(-LN(2)/25))/(LN(2)/25)*Calculateur!DB168*Calculateur!DD168*VLOOKUP('Données projet'!$B$13,Paramètres!$A$1:$I$89,3,0)*0.475*44/12</f>
        <v>5.8487992792681718</v>
      </c>
      <c r="DH168" s="21">
        <f>EXP(-LN(2)/2)*DH167+(1-EXP(-LN(2)/2))/(LN(2)/2)*DB168*DE168*VLOOKUP('Données projet'!$B$13,Paramètres!$A$1:$I$89,3,0)*0.475*44/12</f>
        <v>1.7266409152296886E-6</v>
      </c>
      <c r="DI168" s="22">
        <f t="shared" si="175"/>
        <v>40.167160173901486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-1.7053025658242404E-13</v>
      </c>
      <c r="DP168" s="17">
        <f>DO168*VLOOKUP('Données projet'!$B$14,Paramètres!$A$1:$I$89,3,0)*VLOOKUP('Données projet'!$B$14,Paramètres!$A$1:$I$89,5,0)</f>
        <v>-1.4897523215040567E-13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324.86930206492627</v>
      </c>
      <c r="DU168" s="59">
        <f t="shared" si="152"/>
        <v>317.03005098025352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8.5584957637634123</v>
      </c>
      <c r="EB168" s="21">
        <f>EXP(-LN(2)/25)*EB167+(1-EXP(-LN(2)/25))/(LN(2)/25)*Calculateur!DW168*Calculateur!DY168*VLOOKUP('Données projet'!$B$14,Paramètres!$A$1:$I$89,3,0)*0.475*44/12</f>
        <v>4.4064928931663143</v>
      </c>
      <c r="EC168" s="21">
        <f>EXP(-LN(2)/2)*EC167+(1-EXP(-LN(2)/2))/(LN(2)/2)*DW168*DZ168*VLOOKUP('Données projet'!$B$14,Paramètres!$A$1:$I$89,3,0)*0.475*44/12</f>
        <v>9.1765362005016154E-12</v>
      </c>
      <c r="ED168" s="22">
        <f t="shared" si="178"/>
        <v>12.964988656938903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302.00825291248458</v>
      </c>
      <c r="T169" s="59">
        <f t="shared" si="142"/>
        <v>307.35115839449355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17.018246299418305</v>
      </c>
      <c r="AA169" s="21">
        <f>EXP(-LN(2)/25)*AA168+(1-EXP(-LN(2)/25))/(LN(2)/25)*Calculateur!V169*Calculateur!X169*VLOOKUP('Données projet'!$B$9,Paramètres!$A$1:$I$89,3,0)*0.475*44/12</f>
        <v>2.5635488340597266</v>
      </c>
      <c r="AB169" s="21">
        <f>EXP(-LN(2)/2)*AB168+(1-EXP(-LN(2)/2))/(LN(2)/2)*V169*Y169*VLOOKUP('Données projet'!$B$9,Paramètres!$A$1:$I$89,3,0)*0.475*44/12</f>
        <v>6.6570574412231902E-15</v>
      </c>
      <c r="AC169" s="22">
        <f t="shared" si="163"/>
        <v>19.581795133478039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5.0249582272954292E-14</v>
      </c>
      <c r="AK169" s="13">
        <f t="shared" si="164"/>
        <v>8.1784820119191593E-13</v>
      </c>
      <c r="AL169" s="20">
        <f t="shared" si="165"/>
        <v>1.5119369728679821E-12</v>
      </c>
      <c r="AM169" s="59">
        <f t="shared" si="113"/>
        <v>293.33333333333485</v>
      </c>
      <c r="AN169" s="59">
        <f ca="1">AVERAGE(OFFSET($AM$3,0,0,'Données projet'!$E$10+1,1))-AVERAGE(OFFSET($H$3,0,0,'Données projet'!$E$10+1,1))</f>
        <v>394.37446333077651</v>
      </c>
      <c r="AO169" s="59">
        <f t="shared" si="144"/>
        <v>335.44327961212963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37.629400651060408</v>
      </c>
      <c r="AV169" s="21">
        <f>EXP(-LN(2)/25)*AV168+(1-EXP(-LN(2)/25))/(LN(2)/25)*Calculateur!AQ169*Calculateur!AS169*VLOOKUP('Données projet'!$B$10,Paramètres!$A$1:$I$89,3,0)*0.475*44/12</f>
        <v>6.6246215895491245</v>
      </c>
      <c r="AW169" s="21">
        <f>EXP(-LN(2)/2)*AW168+(1-EXP(-LN(2)/2))/(LN(2)/2)*AQ169*AT169*VLOOKUP('Données projet'!$B$10,Paramètres!$A$1:$I$89,3,0)*0.475*44/12</f>
        <v>8.9362278195409841E-12</v>
      </c>
      <c r="AX169" s="21">
        <f t="shared" si="166"/>
        <v>44.254022240618468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5.4001247917767614E-13</v>
      </c>
      <c r="BE169" s="13">
        <f>BD169*VLOOKUP('Données projet'!$B$11,Paramètres!$A$1:$I$89,3,0)*VLOOKUP('Données projet'!$B$11,Paramètres!$A$1:$I$89,5,0)</f>
        <v>4.8860329115996133E-13</v>
      </c>
      <c r="BF169" s="13">
        <f t="shared" si="167"/>
        <v>6.1025862939685007E-12</v>
      </c>
      <c r="BG169" s="20">
        <f t="shared" si="168"/>
        <v>1.1479655194098737E-11</v>
      </c>
      <c r="BH169" s="59">
        <f t="shared" si="116"/>
        <v>293.3333333333448</v>
      </c>
      <c r="BI169" s="59">
        <f ca="1">AVERAGE(OFFSET($BH$3,0,0,'Données projet'!$E$11+1,1))-AVERAGE(OFFSET($H$3,0,0,'Données projet'!$E$11+1,1))</f>
        <v>490.06222615476065</v>
      </c>
      <c r="BJ169" s="59">
        <f t="shared" si="146"/>
        <v>310.43914804089906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101.79795851425673</v>
      </c>
      <c r="BQ169" s="21">
        <f>EXP(-LN(2)/25)*BQ168+(1-EXP(-LN(2)/25))/(LN(2)/25)*Calculateur!BL169*Calculateur!BN169*VLOOKUP('Données projet'!$B$11,Paramètres!$A$1:$I$89,3,0)*0.475*44/12</f>
        <v>17.337762978669758</v>
      </c>
      <c r="BR169" s="21">
        <f>EXP(-LN(2)/2)*BR168+(1-EXP(-LN(2)/2))/(LN(2)/2)*BL169*BO169*VLOOKUP('Données projet'!$B$11,Paramètres!$A$1:$I$89,3,0)*0.475*44/12</f>
        <v>1.2090812158693074</v>
      </c>
      <c r="BS169" s="22">
        <f t="shared" si="169"/>
        <v>120.3448027087958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353.37479213497227</v>
      </c>
      <c r="CE169" s="59">
        <f t="shared" si="148"/>
        <v>345.4750813433123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9.4662946285713154</v>
      </c>
      <c r="CL169" s="21">
        <f>EXP(-LN(2)/25)*CL168+(1-EXP(-LN(2)/25))/(LN(2)/25)*Calculateur!CG169*Calculateur!CI169*VLOOKUP('Données projet'!$B$12,Paramètres!$A$1:$I$89,3,0)*0.475*44/12</f>
        <v>4.7290637554926542</v>
      </c>
      <c r="CM169" s="21">
        <f>EXP(-LN(2)/2)*CM168+(1-EXP(-LN(2)/2))/(LN(2)/2)*CG169*CJ169*VLOOKUP('Données projet'!$B$12,Paramètres!$A$1:$I$89,3,0)*0.475*44/12</f>
        <v>7.0964826141336461E-12</v>
      </c>
      <c r="CN169" s="22">
        <f t="shared" si="172"/>
        <v>14.195358384071065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-7.3896444519050419E-13</v>
      </c>
      <c r="CU169" s="17">
        <f>CT169*VLOOKUP('Données projet'!$B$13,Paramètres!$A$1:$I$89,3,0)*VLOOKUP('Données projet'!$B$13,Paramètres!$A$1:$I$89,5,0)</f>
        <v>-3.5544189813663252E-13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314.18760071409162</v>
      </c>
      <c r="CZ169" s="59">
        <f t="shared" si="150"/>
        <v>267.72650645201787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33.645397076840283</v>
      </c>
      <c r="DG169" s="21">
        <f>EXP(-LN(2)/25)*DG168+(1-EXP(-LN(2)/25))/(LN(2)/25)*Calculateur!DB169*Calculateur!DD169*VLOOKUP('Données projet'!$B$13,Paramètres!$A$1:$I$89,3,0)*0.475*44/12</f>
        <v>5.6888635554015972</v>
      </c>
      <c r="DH169" s="21">
        <f>EXP(-LN(2)/2)*DH168+(1-EXP(-LN(2)/2))/(LN(2)/2)*DB169*DE169*VLOOKUP('Données projet'!$B$13,Paramètres!$A$1:$I$89,3,0)*0.475*44/12</f>
        <v>1.2209194998330596E-6</v>
      </c>
      <c r="DI169" s="22">
        <f t="shared" si="175"/>
        <v>39.334261853161379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-1.7053025658242404E-13</v>
      </c>
      <c r="DP169" s="17">
        <f>DO169*VLOOKUP('Données projet'!$B$14,Paramètres!$A$1:$I$89,3,0)*VLOOKUP('Données projet'!$B$14,Paramètres!$A$1:$I$89,5,0)</f>
        <v>-1.4897523215040567E-13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324.86930206492627</v>
      </c>
      <c r="DU169" s="59">
        <f t="shared" si="152"/>
        <v>317.03005098025352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8.3906688820029789</v>
      </c>
      <c r="EB169" s="21">
        <f>EXP(-LN(2)/25)*EB168+(1-EXP(-LN(2)/25))/(LN(2)/25)*Calculateur!DW169*Calculateur!DY169*VLOOKUP('Données projet'!$B$14,Paramètres!$A$1:$I$89,3,0)*0.475*44/12</f>
        <v>4.2859971132752914</v>
      </c>
      <c r="EC169" s="21">
        <f>EXP(-LN(2)/2)*EC168+(1-EXP(-LN(2)/2))/(LN(2)/2)*DW169*DZ169*VLOOKUP('Données projet'!$B$14,Paramètres!$A$1:$I$89,3,0)*0.475*44/12</f>
        <v>6.4887909751785281E-12</v>
      </c>
      <c r="ED169" s="22">
        <f t="shared" si="178"/>
        <v>12.676665995284759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302.00825291248458</v>
      </c>
      <c r="T170" s="59">
        <f t="shared" si="142"/>
        <v>307.35115839449355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16.684528869592004</v>
      </c>
      <c r="AA170" s="21">
        <f>EXP(-LN(2)/25)*AA169+(1-EXP(-LN(2)/25))/(LN(2)/25)*Calculateur!V170*Calculateur!X170*VLOOKUP('Données projet'!$B$9,Paramètres!$A$1:$I$89,3,0)*0.475*44/12</f>
        <v>2.4934484563811892</v>
      </c>
      <c r="AB170" s="21">
        <f>EXP(-LN(2)/2)*AB169+(1-EXP(-LN(2)/2))/(LN(2)/2)*V170*Y170*VLOOKUP('Données projet'!$B$9,Paramètres!$A$1:$I$89,3,0)*0.475*44/12</f>
        <v>4.7072504594372843E-15</v>
      </c>
      <c r="AC170" s="22">
        <f t="shared" si="163"/>
        <v>19.177977325973195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5.0249582272954292E-14</v>
      </c>
      <c r="AK170" s="13">
        <f t="shared" si="164"/>
        <v>8.1784820119191593E-13</v>
      </c>
      <c r="AL170" s="20">
        <f t="shared" si="165"/>
        <v>1.5119369728679821E-12</v>
      </c>
      <c r="AM170" s="59">
        <f t="shared" si="113"/>
        <v>293.33333333333485</v>
      </c>
      <c r="AN170" s="59">
        <f ca="1">AVERAGE(OFFSET($AM$3,0,0,'Données projet'!$E$10+1,1))-AVERAGE(OFFSET($H$3,0,0,'Données projet'!$E$10+1,1))</f>
        <v>394.37446333077651</v>
      </c>
      <c r="AO170" s="59">
        <f t="shared" si="144"/>
        <v>335.44327961212963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36.891511055961224</v>
      </c>
      <c r="AV170" s="21">
        <f>EXP(-LN(2)/25)*AV169+(1-EXP(-LN(2)/25))/(LN(2)/25)*Calculateur!AQ170*Calculateur!AS170*VLOOKUP('Données projet'!$B$10,Paramètres!$A$1:$I$89,3,0)*0.475*44/12</f>
        <v>6.4434709638091947</v>
      </c>
      <c r="AW170" s="21">
        <f>EXP(-LN(2)/2)*AW169+(1-EXP(-LN(2)/2))/(LN(2)/2)*AQ170*AT170*VLOOKUP('Données projet'!$B$10,Paramètres!$A$1:$I$89,3,0)*0.475*44/12</f>
        <v>6.3188672894253054E-12</v>
      </c>
      <c r="AX170" s="21">
        <f t="shared" si="166"/>
        <v>43.334982019776739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5.4001247917767614E-13</v>
      </c>
      <c r="BE170" s="13">
        <f>BD170*VLOOKUP('Données projet'!$B$11,Paramètres!$A$1:$I$89,3,0)*VLOOKUP('Données projet'!$B$11,Paramètres!$A$1:$I$89,5,0)</f>
        <v>4.8860329115996133E-13</v>
      </c>
      <c r="BF170" s="13">
        <f t="shared" si="167"/>
        <v>6.1025862939685007E-12</v>
      </c>
      <c r="BG170" s="20">
        <f t="shared" si="168"/>
        <v>1.1479655194098737E-11</v>
      </c>
      <c r="BH170" s="59">
        <f t="shared" si="116"/>
        <v>293.3333333333448</v>
      </c>
      <c r="BI170" s="59">
        <f ca="1">AVERAGE(OFFSET($BH$3,0,0,'Données projet'!$E$11+1,1))-AVERAGE(OFFSET($H$3,0,0,'Données projet'!$E$11+1,1))</f>
        <v>490.06222615476065</v>
      </c>
      <c r="BJ170" s="59">
        <f t="shared" si="146"/>
        <v>310.43914804089906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99.801762638415909</v>
      </c>
      <c r="BQ170" s="21">
        <f>EXP(-LN(2)/25)*BQ169+(1-EXP(-LN(2)/25))/(LN(2)/25)*Calculateur!BL170*Calculateur!BN170*VLOOKUP('Données projet'!$B$11,Paramètres!$A$1:$I$89,3,0)*0.475*44/12</f>
        <v>16.863660938264704</v>
      </c>
      <c r="BR170" s="21">
        <f>EXP(-LN(2)/2)*BR169+(1-EXP(-LN(2)/2))/(LN(2)/2)*BL170*BO170*VLOOKUP('Données projet'!$B$11,Paramètres!$A$1:$I$89,3,0)*0.475*44/12</f>
        <v>0.85494952674646318</v>
      </c>
      <c r="BS170" s="22">
        <f t="shared" si="169"/>
        <v>117.52037310342708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353.37479213497227</v>
      </c>
      <c r="CE170" s="59">
        <f t="shared" si="148"/>
        <v>345.4750813433123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9.2806663647746337</v>
      </c>
      <c r="CL170" s="21">
        <f>EXP(-LN(2)/25)*CL169+(1-EXP(-LN(2)/25))/(LN(2)/25)*Calculateur!CG170*Calculateur!CI170*VLOOKUP('Données projet'!$B$12,Paramètres!$A$1:$I$89,3,0)*0.475*44/12</f>
        <v>4.599747258408053</v>
      </c>
      <c r="CM170" s="21">
        <f>EXP(-LN(2)/2)*CM169+(1-EXP(-LN(2)/2))/(LN(2)/2)*CG170*CJ170*VLOOKUP('Données projet'!$B$12,Paramètres!$A$1:$I$89,3,0)*0.475*44/12</f>
        <v>5.0179709790263388E-12</v>
      </c>
      <c r="CN170" s="22">
        <f t="shared" si="172"/>
        <v>13.880413623187705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-7.3896444519050419E-13</v>
      </c>
      <c r="CU170" s="17">
        <f>CT170*VLOOKUP('Données projet'!$B$13,Paramètres!$A$1:$I$89,3,0)*VLOOKUP('Données projet'!$B$13,Paramètres!$A$1:$I$89,5,0)</f>
        <v>-3.5544189813663252E-13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314.18760071409162</v>
      </c>
      <c r="CZ170" s="59">
        <f t="shared" si="150"/>
        <v>267.72650645201787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32.985631361829313</v>
      </c>
      <c r="DG170" s="21">
        <f>EXP(-LN(2)/25)*DG169+(1-EXP(-LN(2)/25))/(LN(2)/25)*Calculateur!DB170*Calculateur!DD170*VLOOKUP('Données projet'!$B$13,Paramètres!$A$1:$I$89,3,0)*0.475*44/12</f>
        <v>5.5333012823148078</v>
      </c>
      <c r="DH170" s="21">
        <f>EXP(-LN(2)/2)*DH169+(1-EXP(-LN(2)/2))/(LN(2)/2)*DB170*DE170*VLOOKUP('Données projet'!$B$13,Paramètres!$A$1:$I$89,3,0)*0.475*44/12</f>
        <v>8.6332045761484432E-7</v>
      </c>
      <c r="DI170" s="22">
        <f t="shared" si="175"/>
        <v>38.518933507464581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-1.7053025658242404E-13</v>
      </c>
      <c r="DP170" s="17">
        <f>DO170*VLOOKUP('Données projet'!$B$14,Paramètres!$A$1:$I$89,3,0)*VLOOKUP('Données projet'!$B$14,Paramètres!$A$1:$I$89,5,0)</f>
        <v>-1.4897523215040567E-13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324.86930206492627</v>
      </c>
      <c r="DU170" s="59">
        <f t="shared" si="152"/>
        <v>317.03005098025352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8.2261329830295775</v>
      </c>
      <c r="EB170" s="21">
        <f>EXP(-LN(2)/25)*EB169+(1-EXP(-LN(2)/25))/(LN(2)/25)*Calculateur!DW170*Calculateur!DY170*VLOOKUP('Données projet'!$B$14,Paramètres!$A$1:$I$89,3,0)*0.475*44/12</f>
        <v>4.168796296821986</v>
      </c>
      <c r="EC170" s="21">
        <f>EXP(-LN(2)/2)*EC169+(1-EXP(-LN(2)/2))/(LN(2)/2)*DW170*DZ170*VLOOKUP('Données projet'!$B$14,Paramètres!$A$1:$I$89,3,0)*0.475*44/12</f>
        <v>4.5882681002508077E-12</v>
      </c>
      <c r="ED170" s="22">
        <f t="shared" si="178"/>
        <v>12.394929279856152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302.00825291248458</v>
      </c>
      <c r="T171" s="59">
        <f t="shared" si="142"/>
        <v>307.35115839449355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16.357355435017062</v>
      </c>
      <c r="AA171" s="21">
        <f>EXP(-LN(2)/25)*AA170+(1-EXP(-LN(2)/25))/(LN(2)/25)*Calculateur!V171*Calculateur!X171*VLOOKUP('Données projet'!$B$9,Paramètres!$A$1:$I$89,3,0)*0.475*44/12</f>
        <v>2.4252649772166901</v>
      </c>
      <c r="AB171" s="21">
        <f>EXP(-LN(2)/2)*AB170+(1-EXP(-LN(2)/2))/(LN(2)/2)*V171*Y171*VLOOKUP('Données projet'!$B$9,Paramètres!$A$1:$I$89,3,0)*0.475*44/12</f>
        <v>3.3285287206115951E-15</v>
      </c>
      <c r="AC171" s="22">
        <f t="shared" si="163"/>
        <v>18.782620412233758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5.0249582272954292E-14</v>
      </c>
      <c r="AK171" s="13">
        <f t="shared" si="164"/>
        <v>8.1784820119191593E-13</v>
      </c>
      <c r="AL171" s="20">
        <f t="shared" si="165"/>
        <v>1.5119369728679821E-12</v>
      </c>
      <c r="AM171" s="59">
        <f t="shared" si="113"/>
        <v>293.33333333333485</v>
      </c>
      <c r="AN171" s="59">
        <f ca="1">AVERAGE(OFFSET($AM$3,0,0,'Données projet'!$E$10+1,1))-AVERAGE(OFFSET($H$3,0,0,'Données projet'!$E$10+1,1))</f>
        <v>394.37446333077651</v>
      </c>
      <c r="AO171" s="59">
        <f t="shared" si="144"/>
        <v>335.44327961212963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36.168091025753718</v>
      </c>
      <c r="AV171" s="21">
        <f>EXP(-LN(2)/25)*AV170+(1-EXP(-LN(2)/25))/(LN(2)/25)*Calculateur!AQ171*Calculateur!AS171*VLOOKUP('Données projet'!$B$10,Paramètres!$A$1:$I$89,3,0)*0.475*44/12</f>
        <v>6.2672739114564209</v>
      </c>
      <c r="AW171" s="21">
        <f>EXP(-LN(2)/2)*AW170+(1-EXP(-LN(2)/2))/(LN(2)/2)*AQ171*AT171*VLOOKUP('Données projet'!$B$10,Paramètres!$A$1:$I$89,3,0)*0.475*44/12</f>
        <v>4.4681139097704921E-12</v>
      </c>
      <c r="AX171" s="21">
        <f t="shared" si="166"/>
        <v>42.435364937214608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5.4001247917767614E-13</v>
      </c>
      <c r="BE171" s="13">
        <f>BD171*VLOOKUP('Données projet'!$B$11,Paramètres!$A$1:$I$89,3,0)*VLOOKUP('Données projet'!$B$11,Paramètres!$A$1:$I$89,5,0)</f>
        <v>4.8860329115996133E-13</v>
      </c>
      <c r="BF171" s="13">
        <f t="shared" si="167"/>
        <v>6.1025862939685007E-12</v>
      </c>
      <c r="BG171" s="20">
        <f t="shared" si="168"/>
        <v>1.1479655194098737E-11</v>
      </c>
      <c r="BH171" s="59">
        <f t="shared" si="116"/>
        <v>293.3333333333448</v>
      </c>
      <c r="BI171" s="59">
        <f ca="1">AVERAGE(OFFSET($BH$3,0,0,'Données projet'!$E$11+1,1))-AVERAGE(OFFSET($H$3,0,0,'Données projet'!$E$11+1,1))</f>
        <v>490.06222615476065</v>
      </c>
      <c r="BJ171" s="59">
        <f t="shared" si="146"/>
        <v>310.43914804089906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97.844710946141063</v>
      </c>
      <c r="BQ171" s="21">
        <f>EXP(-LN(2)/25)*BQ170+(1-EXP(-LN(2)/25))/(LN(2)/25)*Calculateur!BL171*Calculateur!BN171*VLOOKUP('Données projet'!$B$11,Paramètres!$A$1:$I$89,3,0)*0.475*44/12</f>
        <v>16.40252324308647</v>
      </c>
      <c r="BR171" s="21">
        <f>EXP(-LN(2)/2)*BR170+(1-EXP(-LN(2)/2))/(LN(2)/2)*BL171*BO171*VLOOKUP('Données projet'!$B$11,Paramètres!$A$1:$I$89,3,0)*0.475*44/12</f>
        <v>0.6045406079346537</v>
      </c>
      <c r="BS171" s="22">
        <f t="shared" si="169"/>
        <v>114.85177479716218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353.37479213497227</v>
      </c>
      <c r="CE171" s="59">
        <f t="shared" si="148"/>
        <v>345.4750813433123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9.0986781580089424</v>
      </c>
      <c r="CL171" s="21">
        <f>EXP(-LN(2)/25)*CL170+(1-EXP(-LN(2)/25))/(LN(2)/25)*Calculateur!CG171*Calculateur!CI171*VLOOKUP('Données projet'!$B$12,Paramètres!$A$1:$I$89,3,0)*0.475*44/12</f>
        <v>4.4739669277366891</v>
      </c>
      <c r="CM171" s="21">
        <f>EXP(-LN(2)/2)*CM170+(1-EXP(-LN(2)/2))/(LN(2)/2)*CG171*CJ171*VLOOKUP('Données projet'!$B$12,Paramètres!$A$1:$I$89,3,0)*0.475*44/12</f>
        <v>3.5482413070668231E-12</v>
      </c>
      <c r="CN171" s="22">
        <f t="shared" si="172"/>
        <v>13.572645085749178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-7.3896444519050419E-13</v>
      </c>
      <c r="CU171" s="17">
        <f>CT171*VLOOKUP('Données projet'!$B$13,Paramètres!$A$1:$I$89,3,0)*VLOOKUP('Données projet'!$B$13,Paramètres!$A$1:$I$89,5,0)</f>
        <v>-3.5544189813663252E-13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314.18760071409162</v>
      </c>
      <c r="CZ171" s="59">
        <f t="shared" si="150"/>
        <v>267.72650645201787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32.33880325007236</v>
      </c>
      <c r="DG171" s="21">
        <f>EXP(-LN(2)/25)*DG170+(1-EXP(-LN(2)/25))/(LN(2)/25)*Calculateur!DB171*Calculateur!DD171*VLOOKUP('Données projet'!$B$13,Paramètres!$A$1:$I$89,3,0)*0.475*44/12</f>
        <v>5.3819928677662414</v>
      </c>
      <c r="DH171" s="21">
        <f>EXP(-LN(2)/2)*DH170+(1-EXP(-LN(2)/2))/(LN(2)/2)*DB171*DE171*VLOOKUP('Données projet'!$B$13,Paramètres!$A$1:$I$89,3,0)*0.475*44/12</f>
        <v>6.1045974991652979E-7</v>
      </c>
      <c r="DI171" s="22">
        <f t="shared" si="175"/>
        <v>37.720796728298353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-1.7053025658242404E-13</v>
      </c>
      <c r="DP171" s="17">
        <f>DO171*VLOOKUP('Données projet'!$B$14,Paramètres!$A$1:$I$89,3,0)*VLOOKUP('Données projet'!$B$14,Paramètres!$A$1:$I$89,5,0)</f>
        <v>-1.4897523215040567E-13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324.86930206492627</v>
      </c>
      <c r="DU171" s="59">
        <f t="shared" si="152"/>
        <v>317.03005098025352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8.0648235326780551</v>
      </c>
      <c r="EB171" s="21">
        <f>EXP(-LN(2)/25)*EB170+(1-EXP(-LN(2)/25))/(LN(2)/25)*Calculateur!DW171*Calculateur!DY171*VLOOKUP('Données projet'!$B$14,Paramètres!$A$1:$I$89,3,0)*0.475*44/12</f>
        <v>4.0548003428579191</v>
      </c>
      <c r="EC171" s="21">
        <f>EXP(-LN(2)/2)*EC170+(1-EXP(-LN(2)/2))/(LN(2)/2)*DW171*DZ171*VLOOKUP('Données projet'!$B$14,Paramètres!$A$1:$I$89,3,0)*0.475*44/12</f>
        <v>3.244395487589264E-12</v>
      </c>
      <c r="ED171" s="22">
        <f t="shared" si="178"/>
        <v>12.119623875539219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302.00825291248458</v>
      </c>
      <c r="T172" s="59">
        <f t="shared" si="142"/>
        <v>307.35115839449355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16.036597671938047</v>
      </c>
      <c r="AA172" s="21">
        <f>EXP(-LN(2)/25)*AA171+(1-EXP(-LN(2)/25))/(LN(2)/25)*Calculateur!V172*Calculateur!X172*VLOOKUP('Données projet'!$B$9,Paramètres!$A$1:$I$89,3,0)*0.475*44/12</f>
        <v>2.3589459788755578</v>
      </c>
      <c r="AB172" s="21">
        <f>EXP(-LN(2)/2)*AB171+(1-EXP(-LN(2)/2))/(LN(2)/2)*V172*Y172*VLOOKUP('Données projet'!$B$9,Paramètres!$A$1:$I$89,3,0)*0.475*44/12</f>
        <v>2.3536252297186421E-15</v>
      </c>
      <c r="AC172" s="22">
        <f t="shared" si="163"/>
        <v>18.395543650813607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5.0249582272954292E-14</v>
      </c>
      <c r="AK172" s="13">
        <f t="shared" si="164"/>
        <v>8.1784820119191593E-13</v>
      </c>
      <c r="AL172" s="20">
        <f t="shared" si="165"/>
        <v>1.5119369728679821E-12</v>
      </c>
      <c r="AM172" s="59">
        <f t="shared" si="113"/>
        <v>293.33333333333485</v>
      </c>
      <c r="AN172" s="59">
        <f ca="1">AVERAGE(OFFSET($AM$3,0,0,'Données projet'!$E$10+1,1))-AVERAGE(OFFSET($H$3,0,0,'Données projet'!$E$10+1,1))</f>
        <v>394.37446333077651</v>
      </c>
      <c r="AO172" s="59">
        <f t="shared" si="144"/>
        <v>335.44327961212963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35.458856821095935</v>
      </c>
      <c r="AV172" s="21">
        <f>EXP(-LN(2)/25)*AV171+(1-EXP(-LN(2)/25))/(LN(2)/25)*Calculateur!AQ172*Calculateur!AS172*VLOOKUP('Données projet'!$B$10,Paramètres!$A$1:$I$89,3,0)*0.475*44/12</f>
        <v>6.0958949767660338</v>
      </c>
      <c r="AW172" s="21">
        <f>EXP(-LN(2)/2)*AW171+(1-EXP(-LN(2)/2))/(LN(2)/2)*AQ172*AT172*VLOOKUP('Données projet'!$B$10,Paramètres!$A$1:$I$89,3,0)*0.475*44/12</f>
        <v>3.1594336447126527E-12</v>
      </c>
      <c r="AX172" s="21">
        <f t="shared" si="166"/>
        <v>41.55475179786513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5.4001247917767614E-13</v>
      </c>
      <c r="BE172" s="13">
        <f>BD172*VLOOKUP('Données projet'!$B$11,Paramètres!$A$1:$I$89,3,0)*VLOOKUP('Données projet'!$B$11,Paramètres!$A$1:$I$89,5,0)</f>
        <v>4.8860329115996133E-13</v>
      </c>
      <c r="BF172" s="13">
        <f t="shared" si="167"/>
        <v>6.1025862939685007E-12</v>
      </c>
      <c r="BG172" s="20">
        <f t="shared" si="168"/>
        <v>1.1479655194098737E-11</v>
      </c>
      <c r="BH172" s="59">
        <f t="shared" si="116"/>
        <v>293.3333333333448</v>
      </c>
      <c r="BI172" s="59">
        <f ca="1">AVERAGE(OFFSET($BH$3,0,0,'Données projet'!$E$11+1,1))-AVERAGE(OFFSET($H$3,0,0,'Données projet'!$E$11+1,1))</f>
        <v>490.06222615476065</v>
      </c>
      <c r="BJ172" s="59">
        <f t="shared" si="146"/>
        <v>310.43914804089906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95.926035843868064</v>
      </c>
      <c r="BQ172" s="21">
        <f>EXP(-LN(2)/25)*BQ171+(1-EXP(-LN(2)/25))/(LN(2)/25)*Calculateur!BL172*Calculateur!BN172*VLOOKUP('Données projet'!$B$11,Paramètres!$A$1:$I$89,3,0)*0.475*44/12</f>
        <v>15.953995382433062</v>
      </c>
      <c r="BR172" s="21">
        <f>EXP(-LN(2)/2)*BR171+(1-EXP(-LN(2)/2))/(LN(2)/2)*BL172*BO172*VLOOKUP('Données projet'!$B$11,Paramètres!$A$1:$I$89,3,0)*0.475*44/12</f>
        <v>0.42747476337323159</v>
      </c>
      <c r="BS172" s="22">
        <f t="shared" si="169"/>
        <v>112.30750598967435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353.37479213497227</v>
      </c>
      <c r="CE172" s="59">
        <f t="shared" si="148"/>
        <v>345.4750813433123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8.9202586289760806</v>
      </c>
      <c r="CL172" s="21">
        <f>EXP(-LN(2)/25)*CL171+(1-EXP(-LN(2)/25))/(LN(2)/25)*Calculateur!CG172*Calculateur!CI172*VLOOKUP('Données projet'!$B$12,Paramètres!$A$1:$I$89,3,0)*0.475*44/12</f>
        <v>4.3516260668220337</v>
      </c>
      <c r="CM172" s="21">
        <f>EXP(-LN(2)/2)*CM171+(1-EXP(-LN(2)/2))/(LN(2)/2)*CG172*CJ172*VLOOKUP('Données projet'!$B$12,Paramètres!$A$1:$I$89,3,0)*0.475*44/12</f>
        <v>2.5089854895131694E-12</v>
      </c>
      <c r="CN172" s="22">
        <f t="shared" si="172"/>
        <v>13.271884695800622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-7.3896444519050419E-13</v>
      </c>
      <c r="CU172" s="17">
        <f>CT172*VLOOKUP('Données projet'!$B$13,Paramètres!$A$1:$I$89,3,0)*VLOOKUP('Données projet'!$B$13,Paramètres!$A$1:$I$89,5,0)</f>
        <v>-3.5544189813663252E-13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314.18760071409162</v>
      </c>
      <c r="CZ172" s="59">
        <f t="shared" si="150"/>
        <v>267.72650645201787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31.704659043060769</v>
      </c>
      <c r="DG172" s="21">
        <f>EXP(-LN(2)/25)*DG171+(1-EXP(-LN(2)/25))/(LN(2)/25)*Calculateur!DB172*Calculateur!DD172*VLOOKUP('Données projet'!$B$13,Paramètres!$A$1:$I$89,3,0)*0.475*44/12</f>
        <v>5.2348219897704693</v>
      </c>
      <c r="DH172" s="21">
        <f>EXP(-LN(2)/2)*DH171+(1-EXP(-LN(2)/2))/(LN(2)/2)*DB172*DE172*VLOOKUP('Données projet'!$B$13,Paramètres!$A$1:$I$89,3,0)*0.475*44/12</f>
        <v>4.3166022880742216E-7</v>
      </c>
      <c r="DI172" s="22">
        <f t="shared" si="175"/>
        <v>36.939481464491465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-1.7053025658242404E-13</v>
      </c>
      <c r="DP172" s="17">
        <f>DO172*VLOOKUP('Données projet'!$B$14,Paramètres!$A$1:$I$89,3,0)*VLOOKUP('Données projet'!$B$14,Paramètres!$A$1:$I$89,5,0)</f>
        <v>-1.4897523215040567E-13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324.86930206492627</v>
      </c>
      <c r="DU172" s="59">
        <f t="shared" si="152"/>
        <v>317.03005098025352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7.906677262258877</v>
      </c>
      <c r="EB172" s="21">
        <f>EXP(-LN(2)/25)*EB171+(1-EXP(-LN(2)/25))/(LN(2)/25)*Calculateur!DW172*Calculateur!DY172*VLOOKUP('Données projet'!$B$14,Paramètres!$A$1:$I$89,3,0)*0.475*44/12</f>
        <v>3.9439216142497866</v>
      </c>
      <c r="EC172" s="21">
        <f>EXP(-LN(2)/2)*EC171+(1-EXP(-LN(2)/2))/(LN(2)/2)*DW172*DZ172*VLOOKUP('Données projet'!$B$14,Paramètres!$A$1:$I$89,3,0)*0.475*44/12</f>
        <v>2.2941340501254038E-12</v>
      </c>
      <c r="ED172" s="22">
        <f t="shared" si="178"/>
        <v>11.850598876510956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302.00825291248458</v>
      </c>
      <c r="T173" s="59">
        <f t="shared" si="142"/>
        <v>307.35115839449355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15.722129772950092</v>
      </c>
      <c r="AA173" s="21">
        <f>EXP(-LN(2)/25)*AA172+(1-EXP(-LN(2)/25))/(LN(2)/25)*Calculateur!V173*Calculateur!X173*VLOOKUP('Données projet'!$B$9,Paramètres!$A$1:$I$89,3,0)*0.475*44/12</f>
        <v>2.2944404770316282</v>
      </c>
      <c r="AB173" s="21">
        <f>EXP(-LN(2)/2)*AB172+(1-EXP(-LN(2)/2))/(LN(2)/2)*V173*Y173*VLOOKUP('Données projet'!$B$9,Paramètres!$A$1:$I$89,3,0)*0.475*44/12</f>
        <v>1.6642643603057975E-15</v>
      </c>
      <c r="AC173" s="22">
        <f t="shared" si="163"/>
        <v>18.016570249981719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5.0249582272954292E-14</v>
      </c>
      <c r="AK173" s="13">
        <f t="shared" si="164"/>
        <v>8.1784820119191593E-13</v>
      </c>
      <c r="AL173" s="20">
        <f t="shared" si="165"/>
        <v>1.5119369728679821E-12</v>
      </c>
      <c r="AM173" s="59">
        <f t="shared" si="113"/>
        <v>293.33333333333485</v>
      </c>
      <c r="AN173" s="59">
        <f ca="1">AVERAGE(OFFSET($AM$3,0,0,'Données projet'!$E$10+1,1))-AVERAGE(OFFSET($H$3,0,0,'Données projet'!$E$10+1,1))</f>
        <v>394.37446333077651</v>
      </c>
      <c r="AO173" s="59">
        <f t="shared" si="144"/>
        <v>335.44327961212963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34.763530266601343</v>
      </c>
      <c r="AV173" s="21">
        <f>EXP(-LN(2)/25)*AV172+(1-EXP(-LN(2)/25))/(LN(2)/25)*Calculateur!AQ173*Calculateur!AS173*VLOOKUP('Données projet'!$B$10,Paramètres!$A$1:$I$89,3,0)*0.475*44/12</f>
        <v>5.9292024080571819</v>
      </c>
      <c r="AW173" s="21">
        <f>EXP(-LN(2)/2)*AW172+(1-EXP(-LN(2)/2))/(LN(2)/2)*AQ173*AT173*VLOOKUP('Données projet'!$B$10,Paramètres!$A$1:$I$89,3,0)*0.475*44/12</f>
        <v>2.234056954885246E-12</v>
      </c>
      <c r="AX173" s="21">
        <f t="shared" si="166"/>
        <v>40.692732674660753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5.4001247917767614E-13</v>
      </c>
      <c r="BE173" s="13">
        <f>BD173*VLOOKUP('Données projet'!$B$11,Paramètres!$A$1:$I$89,3,0)*VLOOKUP('Données projet'!$B$11,Paramètres!$A$1:$I$89,5,0)</f>
        <v>4.8860329115996133E-13</v>
      </c>
      <c r="BF173" s="13">
        <f t="shared" si="167"/>
        <v>6.1025862939685007E-12</v>
      </c>
      <c r="BG173" s="20">
        <f t="shared" si="168"/>
        <v>1.1479655194098737E-11</v>
      </c>
      <c r="BH173" s="59">
        <f t="shared" si="116"/>
        <v>293.3333333333448</v>
      </c>
      <c r="BI173" s="59">
        <f ca="1">AVERAGE(OFFSET($BH$3,0,0,'Données projet'!$E$11+1,1))-AVERAGE(OFFSET($H$3,0,0,'Données projet'!$E$11+1,1))</f>
        <v>490.06222615476065</v>
      </c>
      <c r="BJ173" s="59">
        <f t="shared" si="146"/>
        <v>310.43914804089906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94.04498479007438</v>
      </c>
      <c r="BQ173" s="21">
        <f>EXP(-LN(2)/25)*BQ172+(1-EXP(-LN(2)/25))/(LN(2)/25)*Calculateur!BL173*Calculateur!BN173*VLOOKUP('Données projet'!$B$11,Paramètres!$A$1:$I$89,3,0)*0.475*44/12</f>
        <v>15.517732539716276</v>
      </c>
      <c r="BR173" s="21">
        <f>EXP(-LN(2)/2)*BR172+(1-EXP(-LN(2)/2))/(LN(2)/2)*BL173*BO173*VLOOKUP('Données projet'!$B$11,Paramètres!$A$1:$I$89,3,0)*0.475*44/12</f>
        <v>0.30227030396732685</v>
      </c>
      <c r="BS173" s="22">
        <f t="shared" si="169"/>
        <v>109.86498763375799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353.37479213497227</v>
      </c>
      <c r="CE173" s="59">
        <f t="shared" si="148"/>
        <v>345.4750813433123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8.745337798082387</v>
      </c>
      <c r="CL173" s="21">
        <f>EXP(-LN(2)/25)*CL172+(1-EXP(-LN(2)/25))/(LN(2)/25)*Calculateur!CG173*Calculateur!CI173*VLOOKUP('Données projet'!$B$12,Paramètres!$A$1:$I$89,3,0)*0.475*44/12</f>
        <v>4.2326306231827164</v>
      </c>
      <c r="CM173" s="21">
        <f>EXP(-LN(2)/2)*CM172+(1-EXP(-LN(2)/2))/(LN(2)/2)*CG173*CJ173*VLOOKUP('Données projet'!$B$12,Paramètres!$A$1:$I$89,3,0)*0.475*44/12</f>
        <v>1.7741206535334115E-12</v>
      </c>
      <c r="CN173" s="22">
        <f t="shared" si="172"/>
        <v>12.977968421266878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-7.3896444519050419E-13</v>
      </c>
      <c r="CU173" s="17">
        <f>CT173*VLOOKUP('Données projet'!$B$13,Paramètres!$A$1:$I$89,3,0)*VLOOKUP('Données projet'!$B$13,Paramètres!$A$1:$I$89,5,0)</f>
        <v>-3.5544189813663252E-13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314.18760071409162</v>
      </c>
      <c r="CZ173" s="59">
        <f t="shared" si="150"/>
        <v>267.72650645201787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31.0829500171589</v>
      </c>
      <c r="DG173" s="21">
        <f>EXP(-LN(2)/25)*DG172+(1-EXP(-LN(2)/25))/(LN(2)/25)*Calculateur!DB173*Calculateur!DD173*VLOOKUP('Données projet'!$B$13,Paramètres!$A$1:$I$89,3,0)*0.475*44/12</f>
        <v>5.0916755071728721</v>
      </c>
      <c r="DH173" s="21">
        <f>EXP(-LN(2)/2)*DH172+(1-EXP(-LN(2)/2))/(LN(2)/2)*DB173*DE173*VLOOKUP('Données projet'!$B$13,Paramètres!$A$1:$I$89,3,0)*0.475*44/12</f>
        <v>3.052298749582649E-7</v>
      </c>
      <c r="DI173" s="22">
        <f t="shared" si="175"/>
        <v>36.174625829561649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-1.7053025658242404E-13</v>
      </c>
      <c r="DP173" s="17">
        <f>DO173*VLOOKUP('Données projet'!$B$14,Paramètres!$A$1:$I$89,3,0)*VLOOKUP('Données projet'!$B$14,Paramètres!$A$1:$I$89,5,0)</f>
        <v>-1.4897523215040567E-13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324.86930206492627</v>
      </c>
      <c r="DU173" s="59">
        <f t="shared" si="152"/>
        <v>317.03005098025352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7.7516321437429188</v>
      </c>
      <c r="EB173" s="21">
        <f>EXP(-LN(2)/25)*EB172+(1-EXP(-LN(2)/25))/(LN(2)/25)*Calculateur!DW173*Calculateur!DY173*VLOOKUP('Données projet'!$B$14,Paramètres!$A$1:$I$89,3,0)*0.475*44/12</f>
        <v>3.8360748703063026</v>
      </c>
      <c r="EC173" s="21">
        <f>EXP(-LN(2)/2)*EC172+(1-EXP(-LN(2)/2))/(LN(2)/2)*DW173*DZ173*VLOOKUP('Données projet'!$B$14,Paramètres!$A$1:$I$89,3,0)*0.475*44/12</f>
        <v>1.622197743794632E-12</v>
      </c>
      <c r="ED173" s="22">
        <f t="shared" si="178"/>
        <v>11.587707014050844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302.00825291248458</v>
      </c>
      <c r="T174" s="59">
        <f t="shared" si="142"/>
        <v>307.35115839449355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15.413828397654813</v>
      </c>
      <c r="AA174" s="21">
        <f>EXP(-LN(2)/25)*AA173+(1-EXP(-LN(2)/25))/(LN(2)/25)*Calculateur!V174*Calculateur!X174*VLOOKUP('Données projet'!$B$9,Paramètres!$A$1:$I$89,3,0)*0.475*44/12</f>
        <v>2.2316988815278176</v>
      </c>
      <c r="AB174" s="21">
        <f>EXP(-LN(2)/2)*AB173+(1-EXP(-LN(2)/2))/(LN(2)/2)*V174*Y174*VLOOKUP('Données projet'!$B$9,Paramètres!$A$1:$I$89,3,0)*0.475*44/12</f>
        <v>1.1768126148593211E-15</v>
      </c>
      <c r="AC174" s="22">
        <f t="shared" si="163"/>
        <v>17.64552727918263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5.0249582272954292E-14</v>
      </c>
      <c r="AK174" s="13">
        <f t="shared" si="164"/>
        <v>8.1784820119191593E-13</v>
      </c>
      <c r="AL174" s="20">
        <f t="shared" si="165"/>
        <v>1.5119369728679821E-12</v>
      </c>
      <c r="AM174" s="59">
        <f t="shared" si="113"/>
        <v>293.33333333333485</v>
      </c>
      <c r="AN174" s="59">
        <f ca="1">AVERAGE(OFFSET($AM$3,0,0,'Données projet'!$E$10+1,1))-AVERAGE(OFFSET($H$3,0,0,'Données projet'!$E$10+1,1))</f>
        <v>394.37446333077651</v>
      </c>
      <c r="AO174" s="59">
        <f t="shared" si="144"/>
        <v>335.44327961212963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34.081838641733064</v>
      </c>
      <c r="AV174" s="21">
        <f>EXP(-LN(2)/25)*AV173+(1-EXP(-LN(2)/25))/(LN(2)/25)*Calculateur!AQ174*Calculateur!AS174*VLOOKUP('Données projet'!$B$10,Paramètres!$A$1:$I$89,3,0)*0.475*44/12</f>
        <v>5.7670680564056553</v>
      </c>
      <c r="AW174" s="21">
        <f>EXP(-LN(2)/2)*AW173+(1-EXP(-LN(2)/2))/(LN(2)/2)*AQ174*AT174*VLOOKUP('Données projet'!$B$10,Paramètres!$A$1:$I$89,3,0)*0.475*44/12</f>
        <v>1.5797168223563264E-12</v>
      </c>
      <c r="AX174" s="21">
        <f t="shared" si="166"/>
        <v>39.848906698140297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5.4001247917767614E-13</v>
      </c>
      <c r="BE174" s="13">
        <f>BD174*VLOOKUP('Données projet'!$B$11,Paramètres!$A$1:$I$89,3,0)*VLOOKUP('Données projet'!$B$11,Paramètres!$A$1:$I$89,5,0)</f>
        <v>4.8860329115996133E-13</v>
      </c>
      <c r="BF174" s="13">
        <f t="shared" si="167"/>
        <v>6.1025862939685007E-12</v>
      </c>
      <c r="BG174" s="20">
        <f t="shared" si="168"/>
        <v>1.1479655194098737E-11</v>
      </c>
      <c r="BH174" s="59">
        <f t="shared" si="116"/>
        <v>293.3333333333448</v>
      </c>
      <c r="BI174" s="59">
        <f ca="1">AVERAGE(OFFSET($BH$3,0,0,'Données projet'!$E$11+1,1))-AVERAGE(OFFSET($H$3,0,0,'Données projet'!$E$11+1,1))</f>
        <v>490.06222615476065</v>
      </c>
      <c r="BJ174" s="59">
        <f t="shared" si="146"/>
        <v>310.43914804089906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92.200820000117744</v>
      </c>
      <c r="BQ174" s="21">
        <f>EXP(-LN(2)/25)*BQ173+(1-EXP(-LN(2)/25))/(LN(2)/25)*Calculateur!BL174*Calculateur!BN174*VLOOKUP('Données projet'!$B$11,Paramètres!$A$1:$I$89,3,0)*0.475*44/12</f>
        <v>15.093399327375646</v>
      </c>
      <c r="BR174" s="21">
        <f>EXP(-LN(2)/2)*BR173+(1-EXP(-LN(2)/2))/(LN(2)/2)*BL174*BO174*VLOOKUP('Données projet'!$B$11,Paramètres!$A$1:$I$89,3,0)*0.475*44/12</f>
        <v>0.2137373816866158</v>
      </c>
      <c r="BS174" s="22">
        <f t="shared" si="169"/>
        <v>107.50795670918001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353.37479213497227</v>
      </c>
      <c r="CE174" s="59">
        <f t="shared" si="148"/>
        <v>345.4750813433123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8.5738470579913475</v>
      </c>
      <c r="CL174" s="21">
        <f>EXP(-LN(2)/25)*CL173+(1-EXP(-LN(2)/25))/(LN(2)/25)*Calculateur!CG174*Calculateur!CI174*VLOOKUP('Données projet'!$B$12,Paramètres!$A$1:$I$89,3,0)*0.475*44/12</f>
        <v>4.1168891162074148</v>
      </c>
      <c r="CM174" s="21">
        <f>EXP(-LN(2)/2)*CM173+(1-EXP(-LN(2)/2))/(LN(2)/2)*CG174*CJ174*VLOOKUP('Données projet'!$B$12,Paramètres!$A$1:$I$89,3,0)*0.475*44/12</f>
        <v>1.2544927447565847E-12</v>
      </c>
      <c r="CN174" s="22">
        <f t="shared" si="172"/>
        <v>12.690736174200016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-7.3896444519050419E-13</v>
      </c>
      <c r="CU174" s="17">
        <f>CT174*VLOOKUP('Données projet'!$B$13,Paramètres!$A$1:$I$89,3,0)*VLOOKUP('Données projet'!$B$13,Paramètres!$A$1:$I$89,5,0)</f>
        <v>-3.5544189813663252E-13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314.18760071409162</v>
      </c>
      <c r="CZ174" s="59">
        <f t="shared" si="150"/>
        <v>267.72650645201787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30.473432326049906</v>
      </c>
      <c r="DG174" s="21">
        <f>EXP(-LN(2)/25)*DG173+(1-EXP(-LN(2)/25))/(LN(2)/25)*Calculateur!DB174*Calculateur!DD174*VLOOKUP('Données projet'!$B$13,Paramètres!$A$1:$I$89,3,0)*0.475*44/12</f>
        <v>4.9524433726696522</v>
      </c>
      <c r="DH174" s="21">
        <f>EXP(-LN(2)/2)*DH173+(1-EXP(-LN(2)/2))/(LN(2)/2)*DB174*DE174*VLOOKUP('Données projet'!$B$13,Paramètres!$A$1:$I$89,3,0)*0.475*44/12</f>
        <v>2.1583011440371108E-7</v>
      </c>
      <c r="DI174" s="22">
        <f t="shared" si="175"/>
        <v>35.425875914549671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-1.7053025658242404E-13</v>
      </c>
      <c r="DP174" s="17">
        <f>DO174*VLOOKUP('Données projet'!$B$14,Paramètres!$A$1:$I$89,3,0)*VLOOKUP('Données projet'!$B$14,Paramètres!$A$1:$I$89,5,0)</f>
        <v>-1.4897523215040567E-13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324.86930206492627</v>
      </c>
      <c r="DU174" s="59">
        <f t="shared" si="152"/>
        <v>317.03005098025352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7.5996273654328741</v>
      </c>
      <c r="EB174" s="21">
        <f>EXP(-LN(2)/25)*EB173+(1-EXP(-LN(2)/25))/(LN(2)/25)*Calculateur!DW174*Calculateur!DY174*VLOOKUP('Données projet'!$B$14,Paramètres!$A$1:$I$89,3,0)*0.475*44/12</f>
        <v>3.731177201247367</v>
      </c>
      <c r="EC174" s="21">
        <f>EXP(-LN(2)/2)*EC173+(1-EXP(-LN(2)/2))/(LN(2)/2)*DW174*DZ174*VLOOKUP('Données projet'!$B$14,Paramètres!$A$1:$I$89,3,0)*0.475*44/12</f>
        <v>1.1470670250627019E-12</v>
      </c>
      <c r="ED174" s="22">
        <f t="shared" si="178"/>
        <v>11.330804566681389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302.00825291248458</v>
      </c>
      <c r="T175" s="59">
        <f t="shared" si="142"/>
        <v>307.35115839449355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15.111572624283802</v>
      </c>
      <c r="AA175" s="21">
        <f>EXP(-LN(2)/25)*AA174+(1-EXP(-LN(2)/25))/(LN(2)/25)*Calculateur!V175*Calculateur!X175*VLOOKUP('Données projet'!$B$9,Paramètres!$A$1:$I$89,3,0)*0.475*44/12</f>
        <v>2.1706729582524957</v>
      </c>
      <c r="AB175" s="21">
        <f>EXP(-LN(2)/2)*AB174+(1-EXP(-LN(2)/2))/(LN(2)/2)*V175*Y175*VLOOKUP('Données projet'!$B$9,Paramètres!$A$1:$I$89,3,0)*0.475*44/12</f>
        <v>8.3213218015289877E-16</v>
      </c>
      <c r="AC175" s="22">
        <f t="shared" si="163"/>
        <v>17.282245582536298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5.0249582272954292E-14</v>
      </c>
      <c r="AK175" s="13">
        <f t="shared" si="164"/>
        <v>8.1784820119191593E-13</v>
      </c>
      <c r="AL175" s="20">
        <f t="shared" si="165"/>
        <v>1.5119369728679821E-12</v>
      </c>
      <c r="AM175" s="59">
        <f t="shared" si="113"/>
        <v>293.33333333333485</v>
      </c>
      <c r="AN175" s="59">
        <f ca="1">AVERAGE(OFFSET($AM$3,0,0,'Données projet'!$E$10+1,1))-AVERAGE(OFFSET($H$3,0,0,'Données projet'!$E$10+1,1))</f>
        <v>394.37446333077651</v>
      </c>
      <c r="AO175" s="59">
        <f t="shared" si="144"/>
        <v>335.44327961212963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33.413514573837617</v>
      </c>
      <c r="AV175" s="21">
        <f>EXP(-LN(2)/25)*AV174+(1-EXP(-LN(2)/25))/(LN(2)/25)*Calculateur!AQ175*Calculateur!AS175*VLOOKUP('Données projet'!$B$10,Paramètres!$A$1:$I$89,3,0)*0.475*44/12</f>
        <v>5.6093672771263146</v>
      </c>
      <c r="AW175" s="21">
        <f>EXP(-LN(2)/2)*AW174+(1-EXP(-LN(2)/2))/(LN(2)/2)*AQ175*AT175*VLOOKUP('Données projet'!$B$10,Paramètres!$A$1:$I$89,3,0)*0.475*44/12</f>
        <v>1.117028477442623E-12</v>
      </c>
      <c r="AX175" s="21">
        <f t="shared" si="166"/>
        <v>39.022881850965049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5.4001247917767614E-13</v>
      </c>
      <c r="BE175" s="13">
        <f>BD175*VLOOKUP('Données projet'!$B$11,Paramètres!$A$1:$I$89,3,0)*VLOOKUP('Données projet'!$B$11,Paramètres!$A$1:$I$89,5,0)</f>
        <v>4.8860329115996133E-13</v>
      </c>
      <c r="BF175" s="13">
        <f t="shared" si="167"/>
        <v>6.1025862939685007E-12</v>
      </c>
      <c r="BG175" s="20">
        <f t="shared" si="168"/>
        <v>1.1479655194098737E-11</v>
      </c>
      <c r="BH175" s="59">
        <f t="shared" si="116"/>
        <v>293.3333333333448</v>
      </c>
      <c r="BI175" s="59">
        <f ca="1">AVERAGE(OFFSET($BH$3,0,0,'Données projet'!$E$11+1,1))-AVERAGE(OFFSET($H$3,0,0,'Données projet'!$E$11+1,1))</f>
        <v>490.06222615476065</v>
      </c>
      <c r="BJ175" s="59">
        <f t="shared" si="146"/>
        <v>310.43914804089906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90.392818156862702</v>
      </c>
      <c r="BQ175" s="21">
        <f>EXP(-LN(2)/25)*BQ174+(1-EXP(-LN(2)/25))/(LN(2)/25)*Calculateur!BL175*Calculateur!BN175*VLOOKUP('Données projet'!$B$11,Paramètres!$A$1:$I$89,3,0)*0.475*44/12</f>
        <v>14.680669529041186</v>
      </c>
      <c r="BR175" s="21">
        <f>EXP(-LN(2)/2)*BR174+(1-EXP(-LN(2)/2))/(LN(2)/2)*BL175*BO175*VLOOKUP('Données projet'!$B$11,Paramètres!$A$1:$I$89,3,0)*0.475*44/12</f>
        <v>0.15113515198366342</v>
      </c>
      <c r="BS175" s="22">
        <f t="shared" si="169"/>
        <v>105.22462283788755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353.37479213497227</v>
      </c>
      <c r="CE175" s="59">
        <f t="shared" si="148"/>
        <v>345.4750813433123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8.4057191467144694</v>
      </c>
      <c r="CL175" s="21">
        <f>EXP(-LN(2)/25)*CL174+(1-EXP(-LN(2)/25))/(LN(2)/25)*Calculateur!CG175*Calculateur!CI175*VLOOKUP('Données projet'!$B$12,Paramètres!$A$1:$I$89,3,0)*0.475*44/12</f>
        <v>4.0043125668269335</v>
      </c>
      <c r="CM175" s="21">
        <f>EXP(-LN(2)/2)*CM174+(1-EXP(-LN(2)/2))/(LN(2)/2)*CG175*CJ175*VLOOKUP('Données projet'!$B$12,Paramètres!$A$1:$I$89,3,0)*0.475*44/12</f>
        <v>8.8706032676670577E-13</v>
      </c>
      <c r="CN175" s="22">
        <f t="shared" si="172"/>
        <v>12.41003171354229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-7.3896444519050419E-13</v>
      </c>
      <c r="CU175" s="17">
        <f>CT175*VLOOKUP('Données projet'!$B$13,Paramètres!$A$1:$I$89,3,0)*VLOOKUP('Données projet'!$B$13,Paramètres!$A$1:$I$89,5,0)</f>
        <v>-3.5544189813663252E-13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314.18760071409162</v>
      </c>
      <c r="CZ175" s="59">
        <f t="shared" si="150"/>
        <v>267.72650645201787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29.875866905094476</v>
      </c>
      <c r="DG175" s="21">
        <f>EXP(-LN(2)/25)*DG174+(1-EXP(-LN(2)/25))/(LN(2)/25)*Calculateur!DB175*Calculateur!DD175*VLOOKUP('Données projet'!$B$13,Paramètres!$A$1:$I$89,3,0)*0.475*44/12</f>
        <v>4.8170185482063221</v>
      </c>
      <c r="DH175" s="21">
        <f>EXP(-LN(2)/2)*DH174+(1-EXP(-LN(2)/2))/(LN(2)/2)*DB175*DE175*VLOOKUP('Données projet'!$B$13,Paramètres!$A$1:$I$89,3,0)*0.475*44/12</f>
        <v>1.5261493747913245E-7</v>
      </c>
      <c r="DI175" s="22">
        <f t="shared" si="175"/>
        <v>34.692885605915734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-1.7053025658242404E-13</v>
      </c>
      <c r="DP175" s="17">
        <f>DO175*VLOOKUP('Données projet'!$B$14,Paramètres!$A$1:$I$89,3,0)*VLOOKUP('Données projet'!$B$14,Paramètres!$A$1:$I$89,5,0)</f>
        <v>-1.4897523215040567E-13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324.86930206492627</v>
      </c>
      <c r="DU175" s="59">
        <f t="shared" si="152"/>
        <v>317.03005098025352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7.4506033081117291</v>
      </c>
      <c r="EB175" s="21">
        <f>EXP(-LN(2)/25)*EB174+(1-EXP(-LN(2)/25))/(LN(2)/25)*Calculateur!DW175*Calculateur!DY175*VLOOKUP('Données projet'!$B$14,Paramètres!$A$1:$I$89,3,0)*0.475*44/12</f>
        <v>3.6291479644651763</v>
      </c>
      <c r="EC175" s="21">
        <f>EXP(-LN(2)/2)*EC174+(1-EXP(-LN(2)/2))/(LN(2)/2)*DW175*DZ175*VLOOKUP('Données projet'!$B$14,Paramètres!$A$1:$I$89,3,0)*0.475*44/12</f>
        <v>8.1109887189731601E-13</v>
      </c>
      <c r="ED175" s="22">
        <f t="shared" si="178"/>
        <v>11.079751272577717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302.00825291248458</v>
      </c>
      <c r="T176" s="59">
        <f t="shared" si="142"/>
        <v>307.35115839449355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14.81524390227078</v>
      </c>
      <c r="AA176" s="21">
        <f>EXP(-LN(2)/25)*AA175+(1-EXP(-LN(2)/25))/(LN(2)/25)*Calculateur!V176*Calculateur!X176*VLOOKUP('Données projet'!$B$9,Paramètres!$A$1:$I$89,3,0)*0.475*44/12</f>
        <v>2.1113157920583516</v>
      </c>
      <c r="AB176" s="21">
        <f>EXP(-LN(2)/2)*AB175+(1-EXP(-LN(2)/2))/(LN(2)/2)*V176*Y176*VLOOKUP('Données projet'!$B$9,Paramètres!$A$1:$I$89,3,0)*0.475*44/12</f>
        <v>5.8840630742966053E-16</v>
      </c>
      <c r="AC176" s="22">
        <f t="shared" si="163"/>
        <v>16.926559694329132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5.0249582272954292E-14</v>
      </c>
      <c r="AK176" s="13">
        <f t="shared" si="164"/>
        <v>8.1784820119191593E-13</v>
      </c>
      <c r="AL176" s="20">
        <f t="shared" si="165"/>
        <v>1.5119369728679821E-12</v>
      </c>
      <c r="AM176" s="59">
        <f t="shared" si="113"/>
        <v>293.33333333333485</v>
      </c>
      <c r="AN176" s="59">
        <f ca="1">AVERAGE(OFFSET($AM$3,0,0,'Données projet'!$E$10+1,1))-AVERAGE(OFFSET($H$3,0,0,'Données projet'!$E$10+1,1))</f>
        <v>394.37446333077651</v>
      </c>
      <c r="AO176" s="59">
        <f t="shared" si="144"/>
        <v>335.44327961212963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32.758295933276173</v>
      </c>
      <c r="AV176" s="21">
        <f>EXP(-LN(2)/25)*AV175+(1-EXP(-LN(2)/25))/(LN(2)/25)*Calculateur!AQ176*Calculateur!AS176*VLOOKUP('Données projet'!$B$10,Paramètres!$A$1:$I$89,3,0)*0.475*44/12</f>
        <v>5.4559788339494908</v>
      </c>
      <c r="AW176" s="21">
        <f>EXP(-LN(2)/2)*AW175+(1-EXP(-LN(2)/2))/(LN(2)/2)*AQ176*AT176*VLOOKUP('Données projet'!$B$10,Paramètres!$A$1:$I$89,3,0)*0.475*44/12</f>
        <v>7.8985841117816318E-13</v>
      </c>
      <c r="AX176" s="21">
        <f t="shared" si="166"/>
        <v>38.214274767226449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5.4001247917767614E-13</v>
      </c>
      <c r="BE176" s="13">
        <f>BD176*VLOOKUP('Données projet'!$B$11,Paramètres!$A$1:$I$89,3,0)*VLOOKUP('Données projet'!$B$11,Paramètres!$A$1:$I$89,5,0)</f>
        <v>4.8860329115996133E-13</v>
      </c>
      <c r="BF176" s="13">
        <f t="shared" si="167"/>
        <v>6.1025862939685007E-12</v>
      </c>
      <c r="BG176" s="20">
        <f t="shared" si="168"/>
        <v>1.1479655194098737E-11</v>
      </c>
      <c r="BH176" s="59">
        <f t="shared" si="116"/>
        <v>293.3333333333448</v>
      </c>
      <c r="BI176" s="59">
        <f ca="1">AVERAGE(OFFSET($BH$3,0,0,'Données projet'!$E$11+1,1))-AVERAGE(OFFSET($H$3,0,0,'Données projet'!$E$11+1,1))</f>
        <v>490.06222615476065</v>
      </c>
      <c r="BJ176" s="59">
        <f t="shared" si="146"/>
        <v>310.43914804089906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88.620270126981652</v>
      </c>
      <c r="BQ176" s="21">
        <f>EXP(-LN(2)/25)*BQ175+(1-EXP(-LN(2)/25))/(LN(2)/25)*Calculateur!BL176*Calculateur!BN176*VLOOKUP('Données projet'!$B$11,Paramètres!$A$1:$I$89,3,0)*0.475*44/12</f>
        <v>14.279225848746698</v>
      </c>
      <c r="BR176" s="21">
        <f>EXP(-LN(2)/2)*BR175+(1-EXP(-LN(2)/2))/(LN(2)/2)*BL176*BO176*VLOOKUP('Données projet'!$B$11,Paramètres!$A$1:$I$89,3,0)*0.475*44/12</f>
        <v>0.1068686908433079</v>
      </c>
      <c r="BS176" s="22">
        <f t="shared" si="169"/>
        <v>103.00636466657166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353.37479213497227</v>
      </c>
      <c r="CE176" s="59">
        <f t="shared" si="148"/>
        <v>345.4750813433123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8.2408881212298315</v>
      </c>
      <c r="CL176" s="21">
        <f>EXP(-LN(2)/25)*CL175+(1-EXP(-LN(2)/25))/(LN(2)/25)*Calculateur!CG176*Calculateur!CI176*VLOOKUP('Données projet'!$B$12,Paramètres!$A$1:$I$89,3,0)*0.475*44/12</f>
        <v>3.8948144291094051</v>
      </c>
      <c r="CM176" s="21">
        <f>EXP(-LN(2)/2)*CM175+(1-EXP(-LN(2)/2))/(LN(2)/2)*CG176*CJ176*VLOOKUP('Données projet'!$B$12,Paramètres!$A$1:$I$89,3,0)*0.475*44/12</f>
        <v>6.2724637237829235E-13</v>
      </c>
      <c r="CN176" s="22">
        <f t="shared" si="172"/>
        <v>12.135702550339863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-7.3896444519050419E-13</v>
      </c>
      <c r="CU176" s="17">
        <f>CT176*VLOOKUP('Données projet'!$B$13,Paramètres!$A$1:$I$89,3,0)*VLOOKUP('Données projet'!$B$13,Paramètres!$A$1:$I$89,5,0)</f>
        <v>-3.5544189813663252E-13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314.18760071409162</v>
      </c>
      <c r="CZ176" s="59">
        <f t="shared" si="150"/>
        <v>267.72650645201787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29.290019377565066</v>
      </c>
      <c r="DG176" s="21">
        <f>EXP(-LN(2)/25)*DG175+(1-EXP(-LN(2)/25))/(LN(2)/25)*Calculateur!DB176*Calculateur!DD176*VLOOKUP('Données projet'!$B$13,Paramètres!$A$1:$I$89,3,0)*0.475*44/12</f>
        <v>4.6852969226896244</v>
      </c>
      <c r="DH176" s="21">
        <f>EXP(-LN(2)/2)*DH175+(1-EXP(-LN(2)/2))/(LN(2)/2)*DB176*DE176*VLOOKUP('Données projet'!$B$13,Paramètres!$A$1:$I$89,3,0)*0.475*44/12</f>
        <v>1.0791505720185554E-7</v>
      </c>
      <c r="DI176" s="22">
        <f t="shared" si="175"/>
        <v>33.975316408169746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-1.7053025658242404E-13</v>
      </c>
      <c r="DP176" s="17">
        <f>DO176*VLOOKUP('Données projet'!$B$14,Paramètres!$A$1:$I$89,3,0)*VLOOKUP('Données projet'!$B$14,Paramètres!$A$1:$I$89,5,0)</f>
        <v>-1.4897523215040567E-13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324.86930206492627</v>
      </c>
      <c r="DU176" s="59">
        <f t="shared" si="152"/>
        <v>317.03005098025352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7.3045015216589517</v>
      </c>
      <c r="EB176" s="21">
        <f>EXP(-LN(2)/25)*EB175+(1-EXP(-LN(2)/25))/(LN(2)/25)*Calculateur!DW176*Calculateur!DY176*VLOOKUP('Données projet'!$B$14,Paramètres!$A$1:$I$89,3,0)*0.475*44/12</f>
        <v>3.5299087225282793</v>
      </c>
      <c r="EC176" s="21">
        <f>EXP(-LN(2)/2)*EC175+(1-EXP(-LN(2)/2))/(LN(2)/2)*DW176*DZ176*VLOOKUP('Données projet'!$B$14,Paramètres!$A$1:$I$89,3,0)*0.475*44/12</f>
        <v>5.7353351253135096E-13</v>
      </c>
      <c r="ED176" s="22">
        <f t="shared" si="178"/>
        <v>10.834410244187804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302.00825291248458</v>
      </c>
      <c r="T177" s="59">
        <f t="shared" si="142"/>
        <v>307.35115839449355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14.524726005753759</v>
      </c>
      <c r="AA177" s="21">
        <f>EXP(-LN(2)/25)*AA176+(1-EXP(-LN(2)/25))/(LN(2)/25)*Calculateur!V177*Calculateur!X177*VLOOKUP('Données projet'!$B$9,Paramètres!$A$1:$I$89,3,0)*0.475*44/12</f>
        <v>2.0535817506952441</v>
      </c>
      <c r="AB177" s="21">
        <f>EXP(-LN(2)/2)*AB176+(1-EXP(-LN(2)/2))/(LN(2)/2)*V177*Y177*VLOOKUP('Données projet'!$B$9,Paramètres!$A$1:$I$89,3,0)*0.475*44/12</f>
        <v>4.1606609007644939E-16</v>
      </c>
      <c r="AC177" s="22">
        <f t="shared" si="163"/>
        <v>16.578307756449004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5.0249582272954292E-14</v>
      </c>
      <c r="AK177" s="13">
        <f t="shared" si="164"/>
        <v>8.1784820119191593E-13</v>
      </c>
      <c r="AL177" s="20">
        <f t="shared" si="165"/>
        <v>1.5119369728679821E-12</v>
      </c>
      <c r="AM177" s="59">
        <f t="shared" si="113"/>
        <v>293.33333333333485</v>
      </c>
      <c r="AN177" s="59">
        <f ca="1">AVERAGE(OFFSET($AM$3,0,0,'Données projet'!$E$10+1,1))-AVERAGE(OFFSET($H$3,0,0,'Données projet'!$E$10+1,1))</f>
        <v>394.37446333077651</v>
      </c>
      <c r="AO177" s="59">
        <f t="shared" si="144"/>
        <v>335.44327961212963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32.115925730612226</v>
      </c>
      <c r="AV177" s="21">
        <f>EXP(-LN(2)/25)*AV176+(1-EXP(-LN(2)/25))/(LN(2)/25)*Calculateur!AQ177*Calculateur!AS177*VLOOKUP('Données projet'!$B$10,Paramètres!$A$1:$I$89,3,0)*0.475*44/12</f>
        <v>5.306784805817685</v>
      </c>
      <c r="AW177" s="21">
        <f>EXP(-LN(2)/2)*AW176+(1-EXP(-LN(2)/2))/(LN(2)/2)*AQ177*AT177*VLOOKUP('Données projet'!$B$10,Paramètres!$A$1:$I$89,3,0)*0.475*44/12</f>
        <v>5.5851423872131151E-13</v>
      </c>
      <c r="AX177" s="21">
        <f t="shared" si="166"/>
        <v>37.422710536430472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5.4001247917767614E-13</v>
      </c>
      <c r="BE177" s="13">
        <f>BD177*VLOOKUP('Données projet'!$B$11,Paramètres!$A$1:$I$89,3,0)*VLOOKUP('Données projet'!$B$11,Paramètres!$A$1:$I$89,5,0)</f>
        <v>4.8860329115996133E-13</v>
      </c>
      <c r="BF177" s="13">
        <f t="shared" si="167"/>
        <v>6.1025862939685007E-12</v>
      </c>
      <c r="BG177" s="20">
        <f t="shared" si="168"/>
        <v>1.1479655194098737E-11</v>
      </c>
      <c r="BH177" s="59">
        <f t="shared" si="116"/>
        <v>293.3333333333448</v>
      </c>
      <c r="BI177" s="59">
        <f ca="1">AVERAGE(OFFSET($BH$3,0,0,'Données projet'!$E$11+1,1))-AVERAGE(OFFSET($H$3,0,0,'Données projet'!$E$11+1,1))</f>
        <v>490.06222615476065</v>
      </c>
      <c r="BJ177" s="59">
        <f t="shared" si="146"/>
        <v>310.43914804089906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86.882480682819022</v>
      </c>
      <c r="BQ177" s="21">
        <f>EXP(-LN(2)/25)*BQ176+(1-EXP(-LN(2)/25))/(LN(2)/25)*Calculateur!BL177*Calculateur!BN177*VLOOKUP('Données projet'!$B$11,Paramètres!$A$1:$I$89,3,0)*0.475*44/12</f>
        <v>13.888759667000867</v>
      </c>
      <c r="BR177" s="21">
        <f>EXP(-LN(2)/2)*BR176+(1-EXP(-LN(2)/2))/(LN(2)/2)*BL177*BO177*VLOOKUP('Données projet'!$B$11,Paramètres!$A$1:$I$89,3,0)*0.475*44/12</f>
        <v>7.5567575991831712E-2</v>
      </c>
      <c r="BS177" s="22">
        <f t="shared" si="169"/>
        <v>100.84680792581172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353.37479213497227</v>
      </c>
      <c r="CE177" s="59">
        <f t="shared" si="148"/>
        <v>345.4750813433123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8.0792893316179484</v>
      </c>
      <c r="CL177" s="21">
        <f>EXP(-LN(2)/25)*CL176+(1-EXP(-LN(2)/25))/(LN(2)/25)*Calculateur!CG177*Calculateur!CI177*VLOOKUP('Données projet'!$B$12,Paramètres!$A$1:$I$89,3,0)*0.475*44/12</f>
        <v>3.7883105237260195</v>
      </c>
      <c r="CM177" s="21">
        <f>EXP(-LN(2)/2)*CM176+(1-EXP(-LN(2)/2))/(LN(2)/2)*CG177*CJ177*VLOOKUP('Données projet'!$B$12,Paramètres!$A$1:$I$89,3,0)*0.475*44/12</f>
        <v>4.4353016338335288E-13</v>
      </c>
      <c r="CN177" s="22">
        <f t="shared" si="172"/>
        <v>11.867599855344412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-7.3896444519050419E-13</v>
      </c>
      <c r="CU177" s="17">
        <f>CT177*VLOOKUP('Données projet'!$B$13,Paramètres!$A$1:$I$89,3,0)*VLOOKUP('Données projet'!$B$13,Paramètres!$A$1:$I$89,5,0)</f>
        <v>-3.5544189813663252E-13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314.18760071409162</v>
      </c>
      <c r="CZ177" s="59">
        <f t="shared" si="150"/>
        <v>267.72650645201787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28.715659962718799</v>
      </c>
      <c r="DG177" s="21">
        <f>EXP(-LN(2)/25)*DG176+(1-EXP(-LN(2)/25))/(LN(2)/25)*Calculateur!DB177*Calculateur!DD177*VLOOKUP('Données projet'!$B$13,Paramètres!$A$1:$I$89,3,0)*0.475*44/12</f>
        <v>4.5571772319496198</v>
      </c>
      <c r="DH177" s="21">
        <f>EXP(-LN(2)/2)*DH176+(1-EXP(-LN(2)/2))/(LN(2)/2)*DB177*DE177*VLOOKUP('Données projet'!$B$13,Paramètres!$A$1:$I$89,3,0)*0.475*44/12</f>
        <v>7.6307468739566224E-8</v>
      </c>
      <c r="DI177" s="22">
        <f t="shared" si="175"/>
        <v>33.272837270975884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-1.7053025658242404E-13</v>
      </c>
      <c r="DP177" s="17">
        <f>DO177*VLOOKUP('Données projet'!$B$14,Paramètres!$A$1:$I$89,3,0)*VLOOKUP('Données projet'!$B$14,Paramètres!$A$1:$I$89,5,0)</f>
        <v>-1.4897523215040567E-13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324.86930206492627</v>
      </c>
      <c r="DU177" s="59">
        <f t="shared" si="152"/>
        <v>317.03005098025352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7.1612647021252229</v>
      </c>
      <c r="EB177" s="21">
        <f>EXP(-LN(2)/25)*EB176+(1-EXP(-LN(2)/25))/(LN(2)/25)*Calculateur!DW177*Calculateur!DY177*VLOOKUP('Données projet'!$B$14,Paramètres!$A$1:$I$89,3,0)*0.475*44/12</f>
        <v>3.4333831828809114</v>
      </c>
      <c r="EC177" s="21">
        <f>EXP(-LN(2)/2)*EC176+(1-EXP(-LN(2)/2))/(LN(2)/2)*DW177*DZ177*VLOOKUP('Données projet'!$B$14,Paramètres!$A$1:$I$89,3,0)*0.475*44/12</f>
        <v>4.05549435948658E-13</v>
      </c>
      <c r="ED177" s="22">
        <f t="shared" si="178"/>
        <v>10.594647885006539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302.00825291248458</v>
      </c>
      <c r="T178" s="59">
        <f t="shared" si="142"/>
        <v>307.35115839449355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14.239904987989018</v>
      </c>
      <c r="AA178" s="21">
        <f>EXP(-LN(2)/25)*AA177+(1-EXP(-LN(2)/25))/(LN(2)/25)*Calculateur!V178*Calculateur!X178*VLOOKUP('Données projet'!$B$9,Paramètres!$A$1:$I$89,3,0)*0.475*44/12</f>
        <v>1.9974264497293119</v>
      </c>
      <c r="AB178" s="21">
        <f>EXP(-LN(2)/2)*AB177+(1-EXP(-LN(2)/2))/(LN(2)/2)*V178*Y178*VLOOKUP('Données projet'!$B$9,Paramètres!$A$1:$I$89,3,0)*0.475*44/12</f>
        <v>2.9420315371483027E-16</v>
      </c>
      <c r="AC178" s="22">
        <f t="shared" si="163"/>
        <v>16.237331437718328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5.0249582272954292E-14</v>
      </c>
      <c r="AK178" s="13">
        <f t="shared" si="164"/>
        <v>8.1784820119191593E-13</v>
      </c>
      <c r="AL178" s="20">
        <f t="shared" si="165"/>
        <v>1.5119369728679821E-12</v>
      </c>
      <c r="AM178" s="59">
        <f t="shared" si="113"/>
        <v>293.33333333333485</v>
      </c>
      <c r="AN178" s="59">
        <f ca="1">AVERAGE(OFFSET($AM$3,0,0,'Données projet'!$E$10+1,1))-AVERAGE(OFFSET($H$3,0,0,'Données projet'!$E$10+1,1))</f>
        <v>394.37446333077651</v>
      </c>
      <c r="AO178" s="59">
        <f t="shared" si="144"/>
        <v>335.44327961212963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31.486152015815385</v>
      </c>
      <c r="AV178" s="21">
        <f>EXP(-LN(2)/25)*AV177+(1-EXP(-LN(2)/25))/(LN(2)/25)*Calculateur!AQ178*Calculateur!AS178*VLOOKUP('Données projet'!$B$10,Paramètres!$A$1:$I$89,3,0)*0.475*44/12</f>
        <v>5.1616704962309159</v>
      </c>
      <c r="AW178" s="21">
        <f>EXP(-LN(2)/2)*AW177+(1-EXP(-LN(2)/2))/(LN(2)/2)*AQ178*AT178*VLOOKUP('Données projet'!$B$10,Paramètres!$A$1:$I$89,3,0)*0.475*44/12</f>
        <v>3.9492920558908159E-13</v>
      </c>
      <c r="AX178" s="21">
        <f t="shared" si="166"/>
        <v>36.647822512046702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5.4001247917767614E-13</v>
      </c>
      <c r="BE178" s="13">
        <f>BD178*VLOOKUP('Données projet'!$B$11,Paramètres!$A$1:$I$89,3,0)*VLOOKUP('Données projet'!$B$11,Paramètres!$A$1:$I$89,5,0)</f>
        <v>4.8860329115996133E-13</v>
      </c>
      <c r="BF178" s="13">
        <f t="shared" si="167"/>
        <v>6.1025862939685007E-12</v>
      </c>
      <c r="BG178" s="20">
        <f t="shared" si="168"/>
        <v>1.1479655194098737E-11</v>
      </c>
      <c r="BH178" s="59">
        <f t="shared" si="116"/>
        <v>293.3333333333448</v>
      </c>
      <c r="BI178" s="59">
        <f ca="1">AVERAGE(OFFSET($BH$3,0,0,'Données projet'!$E$11+1,1))-AVERAGE(OFFSET($H$3,0,0,'Données projet'!$E$11+1,1))</f>
        <v>490.06222615476065</v>
      </c>
      <c r="BJ178" s="59">
        <f t="shared" si="146"/>
        <v>310.43914804089906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85.178768229709519</v>
      </c>
      <c r="BQ178" s="21">
        <f>EXP(-LN(2)/25)*BQ177+(1-EXP(-LN(2)/25))/(LN(2)/25)*Calculateur!BL178*Calculateur!BN178*VLOOKUP('Données projet'!$B$11,Paramètres!$A$1:$I$89,3,0)*0.475*44/12</f>
        <v>13.508970803528602</v>
      </c>
      <c r="BR178" s="21">
        <f>EXP(-LN(2)/2)*BR177+(1-EXP(-LN(2)/2))/(LN(2)/2)*BL178*BO178*VLOOKUP('Données projet'!$B$11,Paramètres!$A$1:$I$89,3,0)*0.475*44/12</f>
        <v>5.3434345421653949E-2</v>
      </c>
      <c r="BS178" s="22">
        <f t="shared" si="169"/>
        <v>98.741173378659767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353.37479213497227</v>
      </c>
      <c r="CE178" s="59">
        <f t="shared" si="148"/>
        <v>345.4750813433123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7.9208593957048246</v>
      </c>
      <c r="CL178" s="21">
        <f>EXP(-LN(2)/25)*CL177+(1-EXP(-LN(2)/25))/(LN(2)/25)*Calculateur!CG178*Calculateur!CI178*VLOOKUP('Données projet'!$B$12,Paramètres!$A$1:$I$89,3,0)*0.475*44/12</f>
        <v>3.6847189732361394</v>
      </c>
      <c r="CM178" s="21">
        <f>EXP(-LN(2)/2)*CM177+(1-EXP(-LN(2)/2))/(LN(2)/2)*CG178*CJ178*VLOOKUP('Données projet'!$B$12,Paramètres!$A$1:$I$89,3,0)*0.475*44/12</f>
        <v>3.1362318618914618E-13</v>
      </c>
      <c r="CN178" s="22">
        <f t="shared" si="172"/>
        <v>11.605578368941279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-7.3896444519050419E-13</v>
      </c>
      <c r="CU178" s="17">
        <f>CT178*VLOOKUP('Données projet'!$B$13,Paramètres!$A$1:$I$89,3,0)*VLOOKUP('Données projet'!$B$13,Paramètres!$A$1:$I$89,5,0)</f>
        <v>-3.5544189813663252E-13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314.18760071409162</v>
      </c>
      <c r="CZ178" s="59">
        <f t="shared" si="150"/>
        <v>267.72650645201787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28.152563385673016</v>
      </c>
      <c r="DG178" s="21">
        <f>EXP(-LN(2)/25)*DG177+(1-EXP(-LN(2)/25))/(LN(2)/25)*Calculateur!DB178*Calculateur!DD178*VLOOKUP('Données projet'!$B$13,Paramètres!$A$1:$I$89,3,0)*0.475*44/12</f>
        <v>4.4325609808904227</v>
      </c>
      <c r="DH178" s="21">
        <f>EXP(-LN(2)/2)*DH177+(1-EXP(-LN(2)/2))/(LN(2)/2)*DB178*DE178*VLOOKUP('Données projet'!$B$13,Paramètres!$A$1:$I$89,3,0)*0.475*44/12</f>
        <v>5.395752860092777E-8</v>
      </c>
      <c r="DI178" s="22">
        <f t="shared" si="175"/>
        <v>32.58512442052097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-1.7053025658242404E-13</v>
      </c>
      <c r="DP178" s="17">
        <f>DO178*VLOOKUP('Données projet'!$B$14,Paramètres!$A$1:$I$89,3,0)*VLOOKUP('Données projet'!$B$14,Paramètres!$A$1:$I$89,5,0)</f>
        <v>-1.4897523215040567E-13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324.86930206492627</v>
      </c>
      <c r="DU178" s="59">
        <f t="shared" si="152"/>
        <v>317.03005098025352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7.0208366692567177</v>
      </c>
      <c r="EB178" s="21">
        <f>EXP(-LN(2)/25)*EB177+(1-EXP(-LN(2)/25))/(LN(2)/25)*Calculateur!DW178*Calculateur!DY178*VLOOKUP('Données projet'!$B$14,Paramètres!$A$1:$I$89,3,0)*0.475*44/12</f>
        <v>3.3394971391912582</v>
      </c>
      <c r="EC178" s="21">
        <f>EXP(-LN(2)/2)*EC177+(1-EXP(-LN(2)/2))/(LN(2)/2)*DW178*DZ178*VLOOKUP('Données projet'!$B$14,Paramètres!$A$1:$I$89,3,0)*0.475*44/12</f>
        <v>2.8676675626567548E-13</v>
      </c>
      <c r="ED178" s="22">
        <f t="shared" si="178"/>
        <v>10.360333808448262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302.00825291248458</v>
      </c>
      <c r="T179" s="59">
        <f t="shared" si="142"/>
        <v>307.35115839449355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13.960669136658975</v>
      </c>
      <c r="AA179" s="21">
        <f>EXP(-LN(2)/25)*AA178+(1-EXP(-LN(2)/25))/(LN(2)/25)*Calculateur!V179*Calculateur!X179*VLOOKUP('Données projet'!$B$9,Paramètres!$A$1:$I$89,3,0)*0.475*44/12</f>
        <v>1.942806718421372</v>
      </c>
      <c r="AB179" s="21">
        <f>EXP(-LN(2)/2)*AB178+(1-EXP(-LN(2)/2))/(LN(2)/2)*V179*Y179*VLOOKUP('Données projet'!$B$9,Paramètres!$A$1:$I$89,3,0)*0.475*44/12</f>
        <v>2.0803304503822469E-16</v>
      </c>
      <c r="AC179" s="22">
        <f t="shared" si="163"/>
        <v>15.903475855080346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5.0249582272954292E-14</v>
      </c>
      <c r="AK179" s="13">
        <f t="shared" si="164"/>
        <v>8.1784820119191593E-13</v>
      </c>
      <c r="AL179" s="20">
        <f t="shared" si="165"/>
        <v>1.5119369728679821E-12</v>
      </c>
      <c r="AM179" s="59">
        <f t="shared" si="113"/>
        <v>293.33333333333485</v>
      </c>
      <c r="AN179" s="59">
        <f ca="1">AVERAGE(OFFSET($AM$3,0,0,'Données projet'!$E$10+1,1))-AVERAGE(OFFSET($H$3,0,0,'Données projet'!$E$10+1,1))</f>
        <v>394.37446333077651</v>
      </c>
      <c r="AO179" s="59">
        <f t="shared" si="144"/>
        <v>335.44327961212963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30.868727779441674</v>
      </c>
      <c r="AV179" s="21">
        <f>EXP(-LN(2)/25)*AV178+(1-EXP(-LN(2)/25))/(LN(2)/25)*Calculateur!AQ179*Calculateur!AS179*VLOOKUP('Données projet'!$B$10,Paramètres!$A$1:$I$89,3,0)*0.475*44/12</f>
        <v>5.0205243450710269</v>
      </c>
      <c r="AW179" s="21">
        <f>EXP(-LN(2)/2)*AW178+(1-EXP(-LN(2)/2))/(LN(2)/2)*AQ179*AT179*VLOOKUP('Données projet'!$B$10,Paramètres!$A$1:$I$89,3,0)*0.475*44/12</f>
        <v>2.7925711936065575E-13</v>
      </c>
      <c r="AX179" s="21">
        <f t="shared" si="166"/>
        <v>35.889252124512979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5.4001247917767614E-13</v>
      </c>
      <c r="BE179" s="13">
        <f>BD179*VLOOKUP('Données projet'!$B$11,Paramètres!$A$1:$I$89,3,0)*VLOOKUP('Données projet'!$B$11,Paramètres!$A$1:$I$89,5,0)</f>
        <v>4.8860329115996133E-13</v>
      </c>
      <c r="BF179" s="13">
        <f t="shared" si="167"/>
        <v>6.1025862939685007E-12</v>
      </c>
      <c r="BG179" s="20">
        <f t="shared" si="168"/>
        <v>1.1479655194098737E-11</v>
      </c>
      <c r="BH179" s="59">
        <f t="shared" si="116"/>
        <v>293.3333333333448</v>
      </c>
      <c r="BI179" s="59">
        <f ca="1">AVERAGE(OFFSET($BH$3,0,0,'Données projet'!$E$11+1,1))-AVERAGE(OFFSET($H$3,0,0,'Données projet'!$E$11+1,1))</f>
        <v>490.06222615476065</v>
      </c>
      <c r="BJ179" s="59">
        <f t="shared" si="146"/>
        <v>310.43914804089906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83.508464538643508</v>
      </c>
      <c r="BQ179" s="21">
        <f>EXP(-LN(2)/25)*BQ178+(1-EXP(-LN(2)/25))/(LN(2)/25)*Calculateur!BL179*Calculateur!BN179*VLOOKUP('Données projet'!$B$11,Paramètres!$A$1:$I$89,3,0)*0.475*44/12</f>
        <v>13.139567286500213</v>
      </c>
      <c r="BR179" s="21">
        <f>EXP(-LN(2)/2)*BR178+(1-EXP(-LN(2)/2))/(LN(2)/2)*BL179*BO179*VLOOKUP('Données projet'!$B$11,Paramètres!$A$1:$I$89,3,0)*0.475*44/12</f>
        <v>3.7783787995915856E-2</v>
      </c>
      <c r="BS179" s="22">
        <f t="shared" si="169"/>
        <v>96.685815613139638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353.37479213497227</v>
      </c>
      <c r="CE179" s="59">
        <f t="shared" si="148"/>
        <v>345.4750813433123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7.7655361742022384</v>
      </c>
      <c r="CL179" s="21">
        <f>EXP(-LN(2)/25)*CL178+(1-EXP(-LN(2)/25))/(LN(2)/25)*Calculateur!CG179*Calculateur!CI179*VLOOKUP('Données projet'!$B$12,Paramètres!$A$1:$I$89,3,0)*0.475*44/12</f>
        <v>3.5839601391420479</v>
      </c>
      <c r="CM179" s="21">
        <f>EXP(-LN(2)/2)*CM178+(1-EXP(-LN(2)/2))/(LN(2)/2)*CG179*CJ179*VLOOKUP('Données projet'!$B$12,Paramètres!$A$1:$I$89,3,0)*0.475*44/12</f>
        <v>2.2176508169167644E-13</v>
      </c>
      <c r="CN179" s="22">
        <f t="shared" si="172"/>
        <v>11.349496313344508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-7.3896444519050419E-13</v>
      </c>
      <c r="CU179" s="17">
        <f>CT179*VLOOKUP('Données projet'!$B$13,Paramètres!$A$1:$I$89,3,0)*VLOOKUP('Données projet'!$B$13,Paramètres!$A$1:$I$89,5,0)</f>
        <v>-3.5544189813663252E-13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314.18760071409162</v>
      </c>
      <c r="CZ179" s="59">
        <f t="shared" si="150"/>
        <v>267.72650645201787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27.600508789048103</v>
      </c>
      <c r="DG179" s="21">
        <f>EXP(-LN(2)/25)*DG178+(1-EXP(-LN(2)/25))/(LN(2)/25)*Calculateur!DB179*Calculateur!DD179*VLOOKUP('Données projet'!$B$13,Paramètres!$A$1:$I$89,3,0)*0.475*44/12</f>
        <v>4.3113523677697225</v>
      </c>
      <c r="DH179" s="21">
        <f>EXP(-LN(2)/2)*DH178+(1-EXP(-LN(2)/2))/(LN(2)/2)*DB179*DE179*VLOOKUP('Données projet'!$B$13,Paramètres!$A$1:$I$89,3,0)*0.475*44/12</f>
        <v>3.8153734369783112E-8</v>
      </c>
      <c r="DI179" s="22">
        <f t="shared" si="175"/>
        <v>31.911861194971557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-1.7053025658242404E-13</v>
      </c>
      <c r="DP179" s="17">
        <f>DO179*VLOOKUP('Données projet'!$B$14,Paramètres!$A$1:$I$89,3,0)*VLOOKUP('Données projet'!$B$14,Paramètres!$A$1:$I$89,5,0)</f>
        <v>-1.4897523215040567E-13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324.86930206492627</v>
      </c>
      <c r="DU179" s="59">
        <f t="shared" si="152"/>
        <v>317.03005098025352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6.8831623444601213</v>
      </c>
      <c r="EB179" s="21">
        <f>EXP(-LN(2)/25)*EB178+(1-EXP(-LN(2)/25))/(LN(2)/25)*Calculateur!DW179*Calculateur!DY179*VLOOKUP('Données projet'!$B$14,Paramètres!$A$1:$I$89,3,0)*0.475*44/12</f>
        <v>3.2481784143035513</v>
      </c>
      <c r="EC179" s="21">
        <f>EXP(-LN(2)/2)*EC178+(1-EXP(-LN(2)/2))/(LN(2)/2)*DW179*DZ179*VLOOKUP('Données projet'!$B$14,Paramètres!$A$1:$I$89,3,0)*0.475*44/12</f>
        <v>2.02774717974329E-13</v>
      </c>
      <c r="ED179" s="22">
        <f t="shared" si="178"/>
        <v>10.131340758763875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302.00825291248458</v>
      </c>
      <c r="T180" s="59">
        <f t="shared" si="142"/>
        <v>307.35115839449355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13.686908930056463</v>
      </c>
      <c r="AA180" s="21">
        <f>EXP(-LN(2)/25)*AA179+(1-EXP(-LN(2)/25))/(LN(2)/25)*Calculateur!V180*Calculateur!X180*VLOOKUP('Données projet'!$B$9,Paramètres!$A$1:$I$89,3,0)*0.475*44/12</f>
        <v>1.8896805665383747</v>
      </c>
      <c r="AB180" s="21">
        <f>EXP(-LN(2)/2)*AB179+(1-EXP(-LN(2)/2))/(LN(2)/2)*V180*Y180*VLOOKUP('Données projet'!$B$9,Paramètres!$A$1:$I$89,3,0)*0.475*44/12</f>
        <v>1.4710157685741513E-16</v>
      </c>
      <c r="AC180" s="22">
        <f t="shared" si="163"/>
        <v>15.576589496594838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5.0249582272954292E-14</v>
      </c>
      <c r="AK180" s="13">
        <f t="shared" si="164"/>
        <v>8.1784820119191593E-13</v>
      </c>
      <c r="AL180" s="20">
        <f t="shared" si="165"/>
        <v>1.5119369728679821E-12</v>
      </c>
      <c r="AM180" s="59">
        <f t="shared" si="113"/>
        <v>293.33333333333485</v>
      </c>
      <c r="AN180" s="59">
        <f ca="1">AVERAGE(OFFSET($AM$3,0,0,'Données projet'!$E$10+1,1))-AVERAGE(OFFSET($H$3,0,0,'Données projet'!$E$10+1,1))</f>
        <v>394.37446333077651</v>
      </c>
      <c r="AO180" s="59">
        <f t="shared" si="144"/>
        <v>335.44327961212963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30.263410855751651</v>
      </c>
      <c r="AV180" s="21">
        <f>EXP(-LN(2)/25)*AV179+(1-EXP(-LN(2)/25))/(LN(2)/25)*Calculateur!AQ180*Calculateur!AS180*VLOOKUP('Données projet'!$B$10,Paramètres!$A$1:$I$89,3,0)*0.475*44/12</f>
        <v>4.8832378428371586</v>
      </c>
      <c r="AW180" s="21">
        <f>EXP(-LN(2)/2)*AW179+(1-EXP(-LN(2)/2))/(LN(2)/2)*AQ180*AT180*VLOOKUP('Données projet'!$B$10,Paramètres!$A$1:$I$89,3,0)*0.475*44/12</f>
        <v>1.974646027945408E-13</v>
      </c>
      <c r="AX180" s="21">
        <f t="shared" si="166"/>
        <v>35.146648698589011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5.4001247917767614E-13</v>
      </c>
      <c r="BE180" s="13">
        <f>BD180*VLOOKUP('Données projet'!$B$11,Paramètres!$A$1:$I$89,3,0)*VLOOKUP('Données projet'!$B$11,Paramètres!$A$1:$I$89,5,0)</f>
        <v>4.8860329115996133E-13</v>
      </c>
      <c r="BF180" s="13">
        <f t="shared" si="167"/>
        <v>6.1025862939685007E-12</v>
      </c>
      <c r="BG180" s="20">
        <f t="shared" si="168"/>
        <v>1.1479655194098737E-11</v>
      </c>
      <c r="BH180" s="59">
        <f t="shared" si="116"/>
        <v>293.3333333333448</v>
      </c>
      <c r="BI180" s="59">
        <f ca="1">AVERAGE(OFFSET($BH$3,0,0,'Données projet'!$E$11+1,1))-AVERAGE(OFFSET($H$3,0,0,'Données projet'!$E$11+1,1))</f>
        <v>490.06222615476065</v>
      </c>
      <c r="BJ180" s="59">
        <f t="shared" si="146"/>
        <v>310.43914804089906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81.870914484174648</v>
      </c>
      <c r="BQ180" s="21">
        <f>EXP(-LN(2)/25)*BQ179+(1-EXP(-LN(2)/25))/(LN(2)/25)*Calculateur!BL180*Calculateur!BN180*VLOOKUP('Données projet'!$B$11,Paramètres!$A$1:$I$89,3,0)*0.475*44/12</f>
        <v>12.780265128071052</v>
      </c>
      <c r="BR180" s="21">
        <f>EXP(-LN(2)/2)*BR179+(1-EXP(-LN(2)/2))/(LN(2)/2)*BL180*BO180*VLOOKUP('Données projet'!$B$11,Paramètres!$A$1:$I$89,3,0)*0.475*44/12</f>
        <v>2.6717172710826975E-2</v>
      </c>
      <c r="BS180" s="22">
        <f t="shared" si="169"/>
        <v>94.67789678495653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353.37479213497227</v>
      </c>
      <c r="CE180" s="59">
        <f t="shared" si="148"/>
        <v>345.4750813433123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7.6132587463355073</v>
      </c>
      <c r="CL180" s="21">
        <f>EXP(-LN(2)/25)*CL179+(1-EXP(-LN(2)/25))/(LN(2)/25)*Calculateur!CG180*Calculateur!CI180*VLOOKUP('Données projet'!$B$12,Paramètres!$A$1:$I$89,3,0)*0.475*44/12</f>
        <v>3.4859565606649361</v>
      </c>
      <c r="CM180" s="21">
        <f>EXP(-LN(2)/2)*CM179+(1-EXP(-LN(2)/2))/(LN(2)/2)*CG180*CJ180*VLOOKUP('Données projet'!$B$12,Paramètres!$A$1:$I$89,3,0)*0.475*44/12</f>
        <v>1.5681159309457309E-13</v>
      </c>
      <c r="CN180" s="22">
        <f t="shared" si="172"/>
        <v>11.0992153070006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-7.3896444519050419E-13</v>
      </c>
      <c r="CU180" s="17">
        <f>CT180*VLOOKUP('Données projet'!$B$13,Paramètres!$A$1:$I$89,3,0)*VLOOKUP('Données projet'!$B$13,Paramètres!$A$1:$I$89,5,0)</f>
        <v>-3.5544189813663252E-13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314.18760071409162</v>
      </c>
      <c r="CZ180" s="59">
        <f t="shared" si="150"/>
        <v>267.72650645201787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27.059279646342947</v>
      </c>
      <c r="DG180" s="21">
        <f>EXP(-LN(2)/25)*DG179+(1-EXP(-LN(2)/25))/(LN(2)/25)*Calculateur!DB180*Calculateur!DD180*VLOOKUP('Données projet'!$B$13,Paramètres!$A$1:$I$89,3,0)*0.475*44/12</f>
        <v>4.1934582105488918</v>
      </c>
      <c r="DH180" s="21">
        <f>EXP(-LN(2)/2)*DH179+(1-EXP(-LN(2)/2))/(LN(2)/2)*DB180*DE180*VLOOKUP('Données projet'!$B$13,Paramètres!$A$1:$I$89,3,0)*0.475*44/12</f>
        <v>2.6978764300463885E-8</v>
      </c>
      <c r="DI180" s="22">
        <f t="shared" si="175"/>
        <v>31.252737883870605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-1.7053025658242404E-13</v>
      </c>
      <c r="DP180" s="17">
        <f>DO180*VLOOKUP('Données projet'!$B$14,Paramètres!$A$1:$I$89,3,0)*VLOOKUP('Données projet'!$B$14,Paramètres!$A$1:$I$89,5,0)</f>
        <v>-1.4897523215040567E-13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324.86930206492627</v>
      </c>
      <c r="DU180" s="59">
        <f t="shared" si="152"/>
        <v>317.03005098025352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6.7481877291997394</v>
      </c>
      <c r="EB180" s="21">
        <f>EXP(-LN(2)/25)*EB179+(1-EXP(-LN(2)/25))/(LN(2)/25)*Calculateur!DW180*Calculateur!DY180*VLOOKUP('Données projet'!$B$14,Paramètres!$A$1:$I$89,3,0)*0.475*44/12</f>
        <v>3.1593568047501415</v>
      </c>
      <c r="EC180" s="21">
        <f>EXP(-LN(2)/2)*EC179+(1-EXP(-LN(2)/2))/(LN(2)/2)*DW180*DZ180*VLOOKUP('Données projet'!$B$14,Paramètres!$A$1:$I$89,3,0)*0.475*44/12</f>
        <v>1.4338337813283774E-13</v>
      </c>
      <c r="ED180" s="22">
        <f t="shared" si="178"/>
        <v>9.9075445339500252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302.00825291248458</v>
      </c>
      <c r="T181" s="59">
        <f t="shared" si="142"/>
        <v>307.35115839449355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13.418516994128188</v>
      </c>
      <c r="AA181" s="21">
        <f>EXP(-LN(2)/25)*AA180+(1-EXP(-LN(2)/25))/(LN(2)/25)*Calculateur!V181*Calculateur!X181*VLOOKUP('Données projet'!$B$9,Paramètres!$A$1:$I$89,3,0)*0.475*44/12</f>
        <v>1.8380071520724008</v>
      </c>
      <c r="AB181" s="21">
        <f>EXP(-LN(2)/2)*AB180+(1-EXP(-LN(2)/2))/(LN(2)/2)*V181*Y181*VLOOKUP('Données projet'!$B$9,Paramètres!$A$1:$I$89,3,0)*0.475*44/12</f>
        <v>1.0401652251911235E-16</v>
      </c>
      <c r="AC181" s="22">
        <f t="shared" si="163"/>
        <v>15.256524146200588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5.0249582272954292E-14</v>
      </c>
      <c r="AK181" s="13">
        <f t="shared" si="164"/>
        <v>8.1784820119191593E-13</v>
      </c>
      <c r="AL181" s="20">
        <f t="shared" si="165"/>
        <v>1.5119369728679821E-12</v>
      </c>
      <c r="AM181" s="59">
        <f t="shared" si="113"/>
        <v>293.33333333333485</v>
      </c>
      <c r="AN181" s="59">
        <f ca="1">AVERAGE(OFFSET($AM$3,0,0,'Données projet'!$E$10+1,1))-AVERAGE(OFFSET($H$3,0,0,'Données projet'!$E$10+1,1))</f>
        <v>394.37446333077651</v>
      </c>
      <c r="AO181" s="59">
        <f t="shared" si="144"/>
        <v>335.44327961212963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29.669963827728324</v>
      </c>
      <c r="AV181" s="21">
        <f>EXP(-LN(2)/25)*AV180+(1-EXP(-LN(2)/25))/(LN(2)/25)*Calculateur!AQ181*Calculateur!AS181*VLOOKUP('Données projet'!$B$10,Paramètres!$A$1:$I$89,3,0)*0.475*44/12</f>
        <v>4.749705447226459</v>
      </c>
      <c r="AW181" s="21">
        <f>EXP(-LN(2)/2)*AW180+(1-EXP(-LN(2)/2))/(LN(2)/2)*AQ181*AT181*VLOOKUP('Données projet'!$B$10,Paramètres!$A$1:$I$89,3,0)*0.475*44/12</f>
        <v>1.3962855968032788E-13</v>
      </c>
      <c r="AX181" s="21">
        <f t="shared" si="166"/>
        <v>34.419669274954927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5.4001247917767614E-13</v>
      </c>
      <c r="BE181" s="13">
        <f>BD181*VLOOKUP('Données projet'!$B$11,Paramètres!$A$1:$I$89,3,0)*VLOOKUP('Données projet'!$B$11,Paramètres!$A$1:$I$89,5,0)</f>
        <v>4.8860329115996133E-13</v>
      </c>
      <c r="BF181" s="13">
        <f t="shared" si="167"/>
        <v>6.1025862939685007E-12</v>
      </c>
      <c r="BG181" s="20">
        <f t="shared" si="168"/>
        <v>1.1479655194098737E-11</v>
      </c>
      <c r="BH181" s="59">
        <f t="shared" si="116"/>
        <v>293.3333333333448</v>
      </c>
      <c r="BI181" s="59">
        <f ca="1">AVERAGE(OFFSET($BH$3,0,0,'Données projet'!$E$11+1,1))-AVERAGE(OFFSET($H$3,0,0,'Données projet'!$E$11+1,1))</f>
        <v>490.06222615476065</v>
      </c>
      <c r="BJ181" s="59">
        <f t="shared" si="146"/>
        <v>310.43914804089906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80.265475787467011</v>
      </c>
      <c r="BQ181" s="21">
        <f>EXP(-LN(2)/25)*BQ180+(1-EXP(-LN(2)/25))/(LN(2)/25)*Calculateur!BL181*Calculateur!BN181*VLOOKUP('Données projet'!$B$11,Paramètres!$A$1:$I$89,3,0)*0.475*44/12</f>
        <v>12.430788106059016</v>
      </c>
      <c r="BR181" s="21">
        <f>EXP(-LN(2)/2)*BR180+(1-EXP(-LN(2)/2))/(LN(2)/2)*BL181*BO181*VLOOKUP('Données projet'!$B$11,Paramètres!$A$1:$I$89,3,0)*0.475*44/12</f>
        <v>1.8891893997957928E-2</v>
      </c>
      <c r="BS181" s="22">
        <f t="shared" si="169"/>
        <v>92.715155787523983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353.37479213497227</v>
      </c>
      <c r="CE181" s="59">
        <f t="shared" si="148"/>
        <v>345.4750813433123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7.4639673859491831</v>
      </c>
      <c r="CL181" s="21">
        <f>EXP(-LN(2)/25)*CL180+(1-EXP(-LN(2)/25))/(LN(2)/25)*Calculateur!CG181*Calculateur!CI181*VLOOKUP('Données projet'!$B$12,Paramètres!$A$1:$I$89,3,0)*0.475*44/12</f>
        <v>3.3906328951950653</v>
      </c>
      <c r="CM181" s="21">
        <f>EXP(-LN(2)/2)*CM180+(1-EXP(-LN(2)/2))/(LN(2)/2)*CG181*CJ181*VLOOKUP('Données projet'!$B$12,Paramètres!$A$1:$I$89,3,0)*0.475*44/12</f>
        <v>1.1088254084583822E-13</v>
      </c>
      <c r="CN181" s="22">
        <f t="shared" si="172"/>
        <v>10.854600281144359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-7.3896444519050419E-13</v>
      </c>
      <c r="CU181" s="17">
        <f>CT181*VLOOKUP('Données projet'!$B$13,Paramètres!$A$1:$I$89,3,0)*VLOOKUP('Données projet'!$B$13,Paramètres!$A$1:$I$89,5,0)</f>
        <v>-3.5544189813663252E-13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314.18760071409162</v>
      </c>
      <c r="CZ181" s="59">
        <f t="shared" si="150"/>
        <v>267.72650645201787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26.52866367700906</v>
      </c>
      <c r="DG181" s="21">
        <f>EXP(-LN(2)/25)*DG180+(1-EXP(-LN(2)/25))/(LN(2)/25)*Calculateur!DB181*Calculateur!DD181*VLOOKUP('Données projet'!$B$13,Paramètres!$A$1:$I$89,3,0)*0.475*44/12</f>
        <v>4.0787878752570492</v>
      </c>
      <c r="DH181" s="21">
        <f>EXP(-LN(2)/2)*DH180+(1-EXP(-LN(2)/2))/(LN(2)/2)*DB181*DE181*VLOOKUP('Données projet'!$B$13,Paramètres!$A$1:$I$89,3,0)*0.475*44/12</f>
        <v>1.9076867184891556E-8</v>
      </c>
      <c r="DI181" s="22">
        <f t="shared" si="175"/>
        <v>30.607451571342978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-1.7053025658242404E-13</v>
      </c>
      <c r="DP181" s="17">
        <f>DO181*VLOOKUP('Données projet'!$B$14,Paramètres!$A$1:$I$89,3,0)*VLOOKUP('Données projet'!$B$14,Paramètres!$A$1:$I$89,5,0)</f>
        <v>-1.4897523215040567E-13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324.86930206492627</v>
      </c>
      <c r="DU181" s="59">
        <f t="shared" si="152"/>
        <v>317.03005098025352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6.615859883818227</v>
      </c>
      <c r="EB181" s="21">
        <f>EXP(-LN(2)/25)*EB180+(1-EXP(-LN(2)/25))/(LN(2)/25)*Calculateur!DW181*Calculateur!DY181*VLOOKUP('Données projet'!$B$14,Paramètres!$A$1:$I$89,3,0)*0.475*44/12</f>
        <v>3.0729640267808951</v>
      </c>
      <c r="EC181" s="21">
        <f>EXP(-LN(2)/2)*EC180+(1-EXP(-LN(2)/2))/(LN(2)/2)*DW181*DZ181*VLOOKUP('Données projet'!$B$14,Paramètres!$A$1:$I$89,3,0)*0.475*44/12</f>
        <v>1.013873589871645E-13</v>
      </c>
      <c r="ED181" s="22">
        <f t="shared" si="178"/>
        <v>9.6888239105992238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302.00825291248458</v>
      </c>
      <c r="T182" s="59">
        <f t="shared" si="142"/>
        <v>307.35115839449355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13.155388060360551</v>
      </c>
      <c r="AA182" s="21">
        <f>EXP(-LN(2)/25)*AA181+(1-EXP(-LN(2)/25))/(LN(2)/25)*Calculateur!V182*Calculateur!X182*VLOOKUP('Données projet'!$B$9,Paramètres!$A$1:$I$89,3,0)*0.475*44/12</f>
        <v>1.7877467498423858</v>
      </c>
      <c r="AB182" s="21">
        <f>EXP(-LN(2)/2)*AB181+(1-EXP(-LN(2)/2))/(LN(2)/2)*V182*Y182*VLOOKUP('Données projet'!$B$9,Paramètres!$A$1:$I$89,3,0)*0.475*44/12</f>
        <v>7.3550788428707566E-17</v>
      </c>
      <c r="AC182" s="22">
        <f t="shared" si="163"/>
        <v>14.943134810202936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5.0249582272954292E-14</v>
      </c>
      <c r="AK182" s="13">
        <f t="shared" si="164"/>
        <v>8.1784820119191593E-13</v>
      </c>
      <c r="AL182" s="20">
        <f t="shared" si="165"/>
        <v>1.5119369728679821E-12</v>
      </c>
      <c r="AM182" s="59">
        <f t="shared" si="113"/>
        <v>293.33333333333485</v>
      </c>
      <c r="AN182" s="59">
        <f ca="1">AVERAGE(OFFSET($AM$3,0,0,'Données projet'!$E$10+1,1))-AVERAGE(OFFSET($H$3,0,0,'Données projet'!$E$10+1,1))</f>
        <v>394.37446333077651</v>
      </c>
      <c r="AO182" s="59">
        <f t="shared" si="144"/>
        <v>335.44327961212963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29.088153933957589</v>
      </c>
      <c r="AV182" s="21">
        <f>EXP(-LN(2)/25)*AV181+(1-EXP(-LN(2)/25))/(LN(2)/25)*Calculateur!AQ182*Calculateur!AS182*VLOOKUP('Données projet'!$B$10,Paramètres!$A$1:$I$89,3,0)*0.475*44/12</f>
        <v>4.6198245019958977</v>
      </c>
      <c r="AW182" s="21">
        <f>EXP(-LN(2)/2)*AW181+(1-EXP(-LN(2)/2))/(LN(2)/2)*AQ182*AT182*VLOOKUP('Données projet'!$B$10,Paramètres!$A$1:$I$89,3,0)*0.475*44/12</f>
        <v>9.8732301397270398E-14</v>
      </c>
      <c r="AX182" s="21">
        <f t="shared" si="166"/>
        <v>33.707978435953585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5.4001247917767614E-13</v>
      </c>
      <c r="BE182" s="13">
        <f>BD182*VLOOKUP('Données projet'!$B$11,Paramètres!$A$1:$I$89,3,0)*VLOOKUP('Données projet'!$B$11,Paramètres!$A$1:$I$89,5,0)</f>
        <v>4.8860329115996133E-13</v>
      </c>
      <c r="BF182" s="13">
        <f t="shared" si="167"/>
        <v>6.1025862939685007E-12</v>
      </c>
      <c r="BG182" s="20">
        <f t="shared" si="168"/>
        <v>1.1479655194098737E-11</v>
      </c>
      <c r="BH182" s="59">
        <f t="shared" si="116"/>
        <v>293.3333333333448</v>
      </c>
      <c r="BI182" s="59">
        <f ca="1">AVERAGE(OFFSET($BH$3,0,0,'Données projet'!$E$11+1,1))-AVERAGE(OFFSET($H$3,0,0,'Données projet'!$E$11+1,1))</f>
        <v>490.06222615476065</v>
      </c>
      <c r="BJ182" s="59">
        <f t="shared" si="146"/>
        <v>310.43914804089906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78.691518764380902</v>
      </c>
      <c r="BQ182" s="21">
        <f>EXP(-LN(2)/25)*BQ181+(1-EXP(-LN(2)/25))/(LN(2)/25)*Calculateur!BL182*Calculateur!BN182*VLOOKUP('Données projet'!$B$11,Paramètres!$A$1:$I$89,3,0)*0.475*44/12</f>
        <v>12.090867551592096</v>
      </c>
      <c r="BR182" s="21">
        <f>EXP(-LN(2)/2)*BR181+(1-EXP(-LN(2)/2))/(LN(2)/2)*BL182*BO182*VLOOKUP('Données projet'!$B$11,Paramètres!$A$1:$I$89,3,0)*0.475*44/12</f>
        <v>1.3358586355413487E-2</v>
      </c>
      <c r="BS182" s="22">
        <f t="shared" si="169"/>
        <v>90.795744902328408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353.37479213497227</v>
      </c>
      <c r="CE182" s="59">
        <f t="shared" si="148"/>
        <v>345.4750813433123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7.317603538081296</v>
      </c>
      <c r="CL182" s="21">
        <f>EXP(-LN(2)/25)*CL181+(1-EXP(-LN(2)/25))/(LN(2)/25)*Calculateur!CG182*Calculateur!CI182*VLOOKUP('Données projet'!$B$12,Paramètres!$A$1:$I$89,3,0)*0.475*44/12</f>
        <v>3.2979158603703218</v>
      </c>
      <c r="CM182" s="21">
        <f>EXP(-LN(2)/2)*CM181+(1-EXP(-LN(2)/2))/(LN(2)/2)*CG182*CJ182*VLOOKUP('Données projet'!$B$12,Paramètres!$A$1:$I$89,3,0)*0.475*44/12</f>
        <v>7.8405796547286544E-14</v>
      </c>
      <c r="CN182" s="22">
        <f t="shared" si="172"/>
        <v>10.615519398451696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-7.3896444519050419E-13</v>
      </c>
      <c r="CU182" s="17">
        <f>CT182*VLOOKUP('Données projet'!$B$13,Paramètres!$A$1:$I$89,3,0)*VLOOKUP('Données projet'!$B$13,Paramètres!$A$1:$I$89,5,0)</f>
        <v>-3.5544189813663252E-13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314.18760071409162</v>
      </c>
      <c r="CZ182" s="59">
        <f t="shared" si="150"/>
        <v>267.72650645201787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26.008452763190025</v>
      </c>
      <c r="DG182" s="21">
        <f>EXP(-LN(2)/25)*DG181+(1-EXP(-LN(2)/25))/(LN(2)/25)*Calculateur!DB182*Calculateur!DD182*VLOOKUP('Données projet'!$B$13,Paramètres!$A$1:$I$89,3,0)*0.475*44/12</f>
        <v>3.9672532063140129</v>
      </c>
      <c r="DH182" s="21">
        <f>EXP(-LN(2)/2)*DH181+(1-EXP(-LN(2)/2))/(LN(2)/2)*DB182*DE182*VLOOKUP('Données projet'!$B$13,Paramètres!$A$1:$I$89,3,0)*0.475*44/12</f>
        <v>1.3489382150231943E-8</v>
      </c>
      <c r="DI182" s="22">
        <f t="shared" si="175"/>
        <v>29.975705982993421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-1.7053025658242404E-13</v>
      </c>
      <c r="DP182" s="17">
        <f>DO182*VLOOKUP('Données projet'!$B$14,Paramètres!$A$1:$I$89,3,0)*VLOOKUP('Données projet'!$B$14,Paramètres!$A$1:$I$89,5,0)</f>
        <v>-1.4897523215040567E-13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324.86930206492627</v>
      </c>
      <c r="DU182" s="59">
        <f t="shared" si="152"/>
        <v>317.03005098025352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6.4861269067726299</v>
      </c>
      <c r="EB182" s="21">
        <f>EXP(-LN(2)/25)*EB181+(1-EXP(-LN(2)/25))/(LN(2)/25)*Calculateur!DW182*Calculateur!DY182*VLOOKUP('Données projet'!$B$14,Paramètres!$A$1:$I$89,3,0)*0.475*44/12</f>
        <v>2.9889336638684165</v>
      </c>
      <c r="EC182" s="21">
        <f>EXP(-LN(2)/2)*EC181+(1-EXP(-LN(2)/2))/(LN(2)/2)*DW182*DZ182*VLOOKUP('Données projet'!$B$14,Paramètres!$A$1:$I$89,3,0)*0.475*44/12</f>
        <v>7.169168906641887E-14</v>
      </c>
      <c r="ED182" s="22">
        <f t="shared" si="178"/>
        <v>9.4750605706411175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302.00825291248458</v>
      </c>
      <c r="T183" s="59">
        <f t="shared" si="142"/>
        <v>307.35115839449355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12.897418924491294</v>
      </c>
      <c r="AA183" s="21">
        <f>EXP(-LN(2)/25)*AA182+(1-EXP(-LN(2)/25))/(LN(2)/25)*Calculateur!V183*Calculateur!X183*VLOOKUP('Données projet'!$B$9,Paramètres!$A$1:$I$89,3,0)*0.475*44/12</f>
        <v>1.7388607209544302</v>
      </c>
      <c r="AB183" s="21">
        <f>EXP(-LN(2)/2)*AB182+(1-EXP(-LN(2)/2))/(LN(2)/2)*V183*Y183*VLOOKUP('Données projet'!$B$9,Paramètres!$A$1:$I$89,3,0)*0.475*44/12</f>
        <v>5.2008261259556173E-17</v>
      </c>
      <c r="AC183" s="22">
        <f t="shared" si="163"/>
        <v>14.636279645445725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5.0249582272954292E-14</v>
      </c>
      <c r="AK183" s="13">
        <f t="shared" si="164"/>
        <v>8.1784820119191593E-13</v>
      </c>
      <c r="AL183" s="20">
        <f t="shared" si="165"/>
        <v>1.5119369728679821E-12</v>
      </c>
      <c r="AM183" s="59">
        <f t="shared" si="113"/>
        <v>293.33333333333485</v>
      </c>
      <c r="AN183" s="59">
        <f ca="1">AVERAGE(OFFSET($AM$3,0,0,'Données projet'!$E$10+1,1))-AVERAGE(OFFSET($H$3,0,0,'Données projet'!$E$10+1,1))</f>
        <v>394.37446333077651</v>
      </c>
      <c r="AO183" s="59">
        <f t="shared" si="144"/>
        <v>335.44327961212963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28.517752977334702</v>
      </c>
      <c r="AV183" s="21">
        <f>EXP(-LN(2)/25)*AV182+(1-EXP(-LN(2)/25))/(LN(2)/25)*Calculateur!AQ183*Calculateur!AS183*VLOOKUP('Données projet'!$B$10,Paramètres!$A$1:$I$89,3,0)*0.475*44/12</f>
        <v>4.4934951580428084</v>
      </c>
      <c r="AW183" s="21">
        <f>EXP(-LN(2)/2)*AW182+(1-EXP(-LN(2)/2))/(LN(2)/2)*AQ183*AT183*VLOOKUP('Données projet'!$B$10,Paramètres!$A$1:$I$89,3,0)*0.475*44/12</f>
        <v>6.9814279840163938E-14</v>
      </c>
      <c r="AX183" s="21">
        <f t="shared" si="166"/>
        <v>33.011248135377585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5.4001247917767614E-13</v>
      </c>
      <c r="BE183" s="13">
        <f>BD183*VLOOKUP('Données projet'!$B$11,Paramètres!$A$1:$I$89,3,0)*VLOOKUP('Données projet'!$B$11,Paramètres!$A$1:$I$89,5,0)</f>
        <v>4.8860329115996133E-13</v>
      </c>
      <c r="BF183" s="13">
        <f t="shared" si="167"/>
        <v>6.1025862939685007E-12</v>
      </c>
      <c r="BG183" s="20">
        <f t="shared" si="168"/>
        <v>1.1479655194098737E-11</v>
      </c>
      <c r="BH183" s="59">
        <f t="shared" si="116"/>
        <v>293.3333333333448</v>
      </c>
      <c r="BI183" s="59">
        <f ca="1">AVERAGE(OFFSET($BH$3,0,0,'Données projet'!$E$11+1,1))-AVERAGE(OFFSET($H$3,0,0,'Données projet'!$E$11+1,1))</f>
        <v>490.06222615476065</v>
      </c>
      <c r="BJ183" s="59">
        <f t="shared" si="146"/>
        <v>310.43914804089906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77.148426078498517</v>
      </c>
      <c r="BQ183" s="21">
        <f>EXP(-LN(2)/25)*BQ182+(1-EXP(-LN(2)/25))/(LN(2)/25)*Calculateur!BL183*Calculateur!BN183*VLOOKUP('Données projet'!$B$11,Paramètres!$A$1:$I$89,3,0)*0.475*44/12</f>
        <v>11.760242142562719</v>
      </c>
      <c r="BR183" s="21">
        <f>EXP(-LN(2)/2)*BR182+(1-EXP(-LN(2)/2))/(LN(2)/2)*BL183*BO183*VLOOKUP('Données projet'!$B$11,Paramètres!$A$1:$I$89,3,0)*0.475*44/12</f>
        <v>9.445946998978964E-3</v>
      </c>
      <c r="BS183" s="22">
        <f t="shared" si="169"/>
        <v>88.918114168060214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353.37479213497227</v>
      </c>
      <c r="CE183" s="59">
        <f t="shared" si="148"/>
        <v>345.4750813433123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7.1741097959969657</v>
      </c>
      <c r="CL183" s="21">
        <f>EXP(-LN(2)/25)*CL182+(1-EXP(-LN(2)/25))/(LN(2)/25)*Calculateur!CG183*Calculateur!CI183*VLOOKUP('Données projet'!$B$12,Paramètres!$A$1:$I$89,3,0)*0.475*44/12</f>
        <v>3.2077341777386379</v>
      </c>
      <c r="CM183" s="21">
        <f>EXP(-LN(2)/2)*CM182+(1-EXP(-LN(2)/2))/(LN(2)/2)*CG183*CJ183*VLOOKUP('Données projet'!$B$12,Paramètres!$A$1:$I$89,3,0)*0.475*44/12</f>
        <v>5.544127042291911E-14</v>
      </c>
      <c r="CN183" s="22">
        <f t="shared" si="172"/>
        <v>10.381843973735659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-7.3896444519050419E-13</v>
      </c>
      <c r="CU183" s="17">
        <f>CT183*VLOOKUP('Données projet'!$B$13,Paramètres!$A$1:$I$89,3,0)*VLOOKUP('Données projet'!$B$13,Paramètres!$A$1:$I$89,5,0)</f>
        <v>-3.5544189813663252E-13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314.18760071409162</v>
      </c>
      <c r="CZ183" s="59">
        <f t="shared" si="150"/>
        <v>267.72650645201787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25.498442868093655</v>
      </c>
      <c r="DG183" s="21">
        <f>EXP(-LN(2)/25)*DG182+(1-EXP(-LN(2)/25))/(LN(2)/25)*Calculateur!DB183*Calculateur!DD183*VLOOKUP('Données projet'!$B$13,Paramètres!$A$1:$I$89,3,0)*0.475*44/12</f>
        <v>3.8587684587585773</v>
      </c>
      <c r="DH183" s="21">
        <f>EXP(-LN(2)/2)*DH182+(1-EXP(-LN(2)/2))/(LN(2)/2)*DB183*DE183*VLOOKUP('Données projet'!$B$13,Paramètres!$A$1:$I$89,3,0)*0.475*44/12</f>
        <v>9.538433592445778E-9</v>
      </c>
      <c r="DI183" s="22">
        <f t="shared" si="175"/>
        <v>29.357211336390662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-1.7053025658242404E-13</v>
      </c>
      <c r="DP183" s="17">
        <f>DO183*VLOOKUP('Données projet'!$B$14,Paramètres!$A$1:$I$89,3,0)*VLOOKUP('Données projet'!$B$14,Paramètres!$A$1:$I$89,5,0)</f>
        <v>-1.4897523215040567E-13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324.86930206492627</v>
      </c>
      <c r="DU183" s="59">
        <f t="shared" si="152"/>
        <v>317.03005098025352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6.358937914277595</v>
      </c>
      <c r="EB183" s="21">
        <f>EXP(-LN(2)/25)*EB182+(1-EXP(-LN(2)/25))/(LN(2)/25)*Calculateur!DW183*Calculateur!DY183*VLOOKUP('Données projet'!$B$14,Paramètres!$A$1:$I$89,3,0)*0.475*44/12</f>
        <v>2.9072011156487445</v>
      </c>
      <c r="EC183" s="21">
        <f>EXP(-LN(2)/2)*EC182+(1-EXP(-LN(2)/2))/(LN(2)/2)*DW183*DZ183*VLOOKUP('Données projet'!$B$14,Paramètres!$A$1:$I$89,3,0)*0.475*44/12</f>
        <v>5.069367949358225E-14</v>
      </c>
      <c r="ED183" s="22">
        <f t="shared" si="178"/>
        <v>9.266139029926391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302.00825291248458</v>
      </c>
      <c r="T184" s="59">
        <f t="shared" si="142"/>
        <v>307.35115839449355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12.644508406030797</v>
      </c>
      <c r="AA184" s="21">
        <f>EXP(-LN(2)/25)*AA183+(1-EXP(-LN(2)/25))/(LN(2)/25)*Calculateur!V184*Calculateur!X184*VLOOKUP('Données projet'!$B$9,Paramètres!$A$1:$I$89,3,0)*0.475*44/12</f>
        <v>1.6913114830972202</v>
      </c>
      <c r="AB184" s="21">
        <f>EXP(-LN(2)/2)*AB183+(1-EXP(-LN(2)/2))/(LN(2)/2)*V184*Y184*VLOOKUP('Données projet'!$B$9,Paramètres!$A$1:$I$89,3,0)*0.475*44/12</f>
        <v>3.6775394214353783E-17</v>
      </c>
      <c r="AC184" s="22">
        <f t="shared" si="163"/>
        <v>14.335819889128016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5.0249582272954292E-14</v>
      </c>
      <c r="AK184" s="13">
        <f t="shared" si="164"/>
        <v>8.1784820119191593E-13</v>
      </c>
      <c r="AL184" s="20">
        <f t="shared" si="165"/>
        <v>1.5119369728679821E-12</v>
      </c>
      <c r="AM184" s="59">
        <f t="shared" si="113"/>
        <v>293.33333333333485</v>
      </c>
      <c r="AN184" s="59">
        <f ca="1">AVERAGE(OFFSET($AM$3,0,0,'Données projet'!$E$10+1,1))-AVERAGE(OFFSET($H$3,0,0,'Données projet'!$E$10+1,1))</f>
        <v>394.37446333077651</v>
      </c>
      <c r="AO184" s="59">
        <f t="shared" si="144"/>
        <v>335.44327961212963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27.958537235560957</v>
      </c>
      <c r="AV184" s="21">
        <f>EXP(-LN(2)/25)*AV183+(1-EXP(-LN(2)/25))/(LN(2)/25)*Calculateur!AQ184*Calculateur!AS184*VLOOKUP('Données projet'!$B$10,Paramètres!$A$1:$I$89,3,0)*0.475*44/12</f>
        <v>4.3706202966434873</v>
      </c>
      <c r="AW184" s="21">
        <f>EXP(-LN(2)/2)*AW183+(1-EXP(-LN(2)/2))/(LN(2)/2)*AQ184*AT184*VLOOKUP('Données projet'!$B$10,Paramètres!$A$1:$I$89,3,0)*0.475*44/12</f>
        <v>4.9366150698635199E-14</v>
      </c>
      <c r="AX184" s="21">
        <f t="shared" si="166"/>
        <v>32.329157532204498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5.4001247917767614E-13</v>
      </c>
      <c r="BE184" s="13">
        <f>BD184*VLOOKUP('Données projet'!$B$11,Paramètres!$A$1:$I$89,3,0)*VLOOKUP('Données projet'!$B$11,Paramètres!$A$1:$I$89,5,0)</f>
        <v>4.8860329115996133E-13</v>
      </c>
      <c r="BF184" s="13">
        <f t="shared" si="167"/>
        <v>6.1025862939685007E-12</v>
      </c>
      <c r="BG184" s="20">
        <f t="shared" si="168"/>
        <v>1.1479655194098737E-11</v>
      </c>
      <c r="BH184" s="59">
        <f t="shared" si="116"/>
        <v>293.3333333333448</v>
      </c>
      <c r="BI184" s="59">
        <f ca="1">AVERAGE(OFFSET($BH$3,0,0,'Données projet'!$E$11+1,1))-AVERAGE(OFFSET($H$3,0,0,'Données projet'!$E$11+1,1))</f>
        <v>490.06222615476065</v>
      </c>
      <c r="BJ184" s="59">
        <f t="shared" si="146"/>
        <v>310.43914804089906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75.635592498992679</v>
      </c>
      <c r="BQ184" s="21">
        <f>EXP(-LN(2)/25)*BQ183+(1-EXP(-LN(2)/25))/(LN(2)/25)*Calculateur!BL184*Calculateur!BN184*VLOOKUP('Données projet'!$B$11,Paramètres!$A$1:$I$89,3,0)*0.475*44/12</f>
        <v>11.438657702730085</v>
      </c>
      <c r="BR184" s="21">
        <f>EXP(-LN(2)/2)*BR183+(1-EXP(-LN(2)/2))/(LN(2)/2)*BL184*BO184*VLOOKUP('Données projet'!$B$11,Paramètres!$A$1:$I$89,3,0)*0.475*44/12</f>
        <v>6.6792931777067436E-3</v>
      </c>
      <c r="BS184" s="22">
        <f t="shared" si="169"/>
        <v>87.080929494900474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353.37479213497227</v>
      </c>
      <c r="CE184" s="59">
        <f t="shared" si="148"/>
        <v>345.4750813433123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7.0334298786723686</v>
      </c>
      <c r="CL184" s="21">
        <f>EXP(-LN(2)/25)*CL183+(1-EXP(-LN(2)/25))/(LN(2)/25)*Calculateur!CG184*Calculateur!CI184*VLOOKUP('Données projet'!$B$12,Paramètres!$A$1:$I$89,3,0)*0.475*44/12</f>
        <v>3.1200185179609656</v>
      </c>
      <c r="CM184" s="21">
        <f>EXP(-LN(2)/2)*CM183+(1-EXP(-LN(2)/2))/(LN(2)/2)*CG184*CJ184*VLOOKUP('Données projet'!$B$12,Paramètres!$A$1:$I$89,3,0)*0.475*44/12</f>
        <v>3.9202898273643272E-14</v>
      </c>
      <c r="CN184" s="22">
        <f t="shared" si="172"/>
        <v>10.153448396633372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-7.3896444519050419E-13</v>
      </c>
      <c r="CU184" s="17">
        <f>CT184*VLOOKUP('Données projet'!$B$13,Paramètres!$A$1:$I$89,3,0)*VLOOKUP('Données projet'!$B$13,Paramètres!$A$1:$I$89,5,0)</f>
        <v>-3.5544189813663252E-13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314.18760071409162</v>
      </c>
      <c r="CZ184" s="59">
        <f t="shared" si="150"/>
        <v>267.72650645201787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24.998433955964803</v>
      </c>
      <c r="DG184" s="21">
        <f>EXP(-LN(2)/25)*DG183+(1-EXP(-LN(2)/25))/(LN(2)/25)*Calculateur!DB184*Calculateur!DD184*VLOOKUP('Données projet'!$B$13,Paramètres!$A$1:$I$89,3,0)*0.475*44/12</f>
        <v>3.7532502323300103</v>
      </c>
      <c r="DH184" s="21">
        <f>EXP(-LN(2)/2)*DH183+(1-EXP(-LN(2)/2))/(LN(2)/2)*DB184*DE184*VLOOKUP('Données projet'!$B$13,Paramètres!$A$1:$I$89,3,0)*0.475*44/12</f>
        <v>6.7446910751159713E-9</v>
      </c>
      <c r="DI184" s="22">
        <f t="shared" si="175"/>
        <v>28.751684195039505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-1.7053025658242404E-13</v>
      </c>
      <c r="DP184" s="17">
        <f>DO184*VLOOKUP('Données projet'!$B$14,Paramètres!$A$1:$I$89,3,0)*VLOOKUP('Données projet'!$B$14,Paramètres!$A$1:$I$89,5,0)</f>
        <v>-1.4897523215040567E-13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324.86930206492627</v>
      </c>
      <c r="DU184" s="59">
        <f t="shared" si="152"/>
        <v>317.03005098025352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6.2342430203477619</v>
      </c>
      <c r="EB184" s="21">
        <f>EXP(-LN(2)/25)*EB183+(1-EXP(-LN(2)/25))/(LN(2)/25)*Calculateur!DW184*Calculateur!DY184*VLOOKUP('Données projet'!$B$14,Paramètres!$A$1:$I$89,3,0)*0.475*44/12</f>
        <v>2.8277035482582673</v>
      </c>
      <c r="EC184" s="21">
        <f>EXP(-LN(2)/2)*EC183+(1-EXP(-LN(2)/2))/(LN(2)/2)*DW184*DZ184*VLOOKUP('Données projet'!$B$14,Paramètres!$A$1:$I$89,3,0)*0.475*44/12</f>
        <v>3.5845844533209435E-14</v>
      </c>
      <c r="ED184" s="22">
        <f t="shared" si="178"/>
        <v>9.0619465686060643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302.00825291248458</v>
      </c>
      <c r="T185" s="59">
        <f t="shared" si="142"/>
        <v>307.35115839449355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12.396557308577126</v>
      </c>
      <c r="AA185" s="21">
        <f>EXP(-LN(2)/25)*AA184+(1-EXP(-LN(2)/25))/(LN(2)/25)*Calculateur!V185*Calculateur!X185*VLOOKUP('Données projet'!$B$9,Paramètres!$A$1:$I$89,3,0)*0.475*44/12</f>
        <v>1.6450624816497215</v>
      </c>
      <c r="AB185" s="21">
        <f>EXP(-LN(2)/2)*AB184+(1-EXP(-LN(2)/2))/(LN(2)/2)*V185*Y185*VLOOKUP('Données projet'!$B$9,Paramètres!$A$1:$I$89,3,0)*0.475*44/12</f>
        <v>2.6004130629778087E-17</v>
      </c>
      <c r="AC185" s="22">
        <f t="shared" si="163"/>
        <v>14.041619790226848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5.0249582272954292E-14</v>
      </c>
      <c r="AK185" s="13">
        <f t="shared" si="164"/>
        <v>8.1784820119191593E-13</v>
      </c>
      <c r="AL185" s="20">
        <f t="shared" si="165"/>
        <v>1.5119369728679821E-12</v>
      </c>
      <c r="AM185" s="59">
        <f t="shared" si="113"/>
        <v>293.33333333333485</v>
      </c>
      <c r="AN185" s="59">
        <f ca="1">AVERAGE(OFFSET($AM$3,0,0,'Données projet'!$E$10+1,1))-AVERAGE(OFFSET($H$3,0,0,'Données projet'!$E$10+1,1))</f>
        <v>394.37446333077651</v>
      </c>
      <c r="AO185" s="59">
        <f t="shared" si="144"/>
        <v>335.44327961212963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27.410287373395473</v>
      </c>
      <c r="AV185" s="21">
        <f>EXP(-LN(2)/25)*AV184+(1-EXP(-LN(2)/25))/(LN(2)/25)*Calculateur!AQ185*Calculateur!AS185*VLOOKUP('Données projet'!$B$10,Paramètres!$A$1:$I$89,3,0)*0.475*44/12</f>
        <v>4.2511054547908387</v>
      </c>
      <c r="AW185" s="21">
        <f>EXP(-LN(2)/2)*AW184+(1-EXP(-LN(2)/2))/(LN(2)/2)*AQ185*AT185*VLOOKUP('Données projet'!$B$10,Paramètres!$A$1:$I$89,3,0)*0.475*44/12</f>
        <v>3.4907139920081969E-14</v>
      </c>
      <c r="AX185" s="21">
        <f t="shared" si="166"/>
        <v>31.661392828186347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5.4001247917767614E-13</v>
      </c>
      <c r="BE185" s="13">
        <f>BD185*VLOOKUP('Données projet'!$B$11,Paramètres!$A$1:$I$89,3,0)*VLOOKUP('Données projet'!$B$11,Paramètres!$A$1:$I$89,5,0)</f>
        <v>4.8860329115996133E-13</v>
      </c>
      <c r="BF185" s="13">
        <f t="shared" si="167"/>
        <v>6.1025862939685007E-12</v>
      </c>
      <c r="BG185" s="20">
        <f t="shared" si="168"/>
        <v>1.1479655194098737E-11</v>
      </c>
      <c r="BH185" s="59">
        <f t="shared" si="116"/>
        <v>293.3333333333448</v>
      </c>
      <c r="BI185" s="59">
        <f ca="1">AVERAGE(OFFSET($BH$3,0,0,'Données projet'!$E$11+1,1))-AVERAGE(OFFSET($H$3,0,0,'Données projet'!$E$11+1,1))</f>
        <v>490.06222615476065</v>
      </c>
      <c r="BJ185" s="59">
        <f t="shared" si="146"/>
        <v>310.43914804089906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74.152424663243593</v>
      </c>
      <c r="BQ185" s="21">
        <f>EXP(-LN(2)/25)*BQ184+(1-EXP(-LN(2)/25))/(LN(2)/25)*Calculateur!BL185*Calculateur!BN185*VLOOKUP('Données projet'!$B$11,Paramètres!$A$1:$I$89,3,0)*0.475*44/12</f>
        <v>11.125867006316065</v>
      </c>
      <c r="BR185" s="21">
        <f>EXP(-LN(2)/2)*BR184+(1-EXP(-LN(2)/2))/(LN(2)/2)*BL185*BO185*VLOOKUP('Données projet'!$B$11,Paramètres!$A$1:$I$89,3,0)*0.475*44/12</f>
        <v>4.722973499489482E-3</v>
      </c>
      <c r="BS185" s="22">
        <f t="shared" si="169"/>
        <v>85.283014643059147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353.37479213497227</v>
      </c>
      <c r="CE185" s="59">
        <f t="shared" si="148"/>
        <v>345.4750813433123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6.8955086087202302</v>
      </c>
      <c r="CL185" s="21">
        <f>EXP(-LN(2)/25)*CL184+(1-EXP(-LN(2)/25))/(LN(2)/25)*Calculateur!CG185*Calculateur!CI185*VLOOKUP('Données projet'!$B$12,Paramètres!$A$1:$I$89,3,0)*0.475*44/12</f>
        <v>3.0347014475126799</v>
      </c>
      <c r="CM185" s="21">
        <f>EXP(-LN(2)/2)*CM184+(1-EXP(-LN(2)/2))/(LN(2)/2)*CG185*CJ185*VLOOKUP('Données projet'!$B$12,Paramètres!$A$1:$I$89,3,0)*0.475*44/12</f>
        <v>2.7720635211459555E-14</v>
      </c>
      <c r="CN185" s="22">
        <f t="shared" si="172"/>
        <v>9.930210056232939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-7.3896444519050419E-13</v>
      </c>
      <c r="CU185" s="17">
        <f>CT185*VLOOKUP('Données projet'!$B$13,Paramètres!$A$1:$I$89,3,0)*VLOOKUP('Données projet'!$B$13,Paramètres!$A$1:$I$89,5,0)</f>
        <v>-3.5544189813663252E-13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314.18760071409162</v>
      </c>
      <c r="CZ185" s="59">
        <f t="shared" si="150"/>
        <v>267.72650645201787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24.508229913627478</v>
      </c>
      <c r="DG185" s="21">
        <f>EXP(-LN(2)/25)*DG184+(1-EXP(-LN(2)/25))/(LN(2)/25)*Calculateur!DB185*Calculateur!DD185*VLOOKUP('Données projet'!$B$13,Paramètres!$A$1:$I$89,3,0)*0.475*44/12</f>
        <v>3.6506174073520947</v>
      </c>
      <c r="DH185" s="21">
        <f>EXP(-LN(2)/2)*DH184+(1-EXP(-LN(2)/2))/(LN(2)/2)*DB185*DE185*VLOOKUP('Données projet'!$B$13,Paramètres!$A$1:$I$89,3,0)*0.475*44/12</f>
        <v>4.769216796222889E-9</v>
      </c>
      <c r="DI185" s="22">
        <f t="shared" si="175"/>
        <v>28.158847325748788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-1.7053025658242404E-13</v>
      </c>
      <c r="DP185" s="17">
        <f>DO185*VLOOKUP('Données projet'!$B$14,Paramètres!$A$1:$I$89,3,0)*VLOOKUP('Données projet'!$B$14,Paramètres!$A$1:$I$89,5,0)</f>
        <v>-1.4897523215040567E-13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324.86930206492627</v>
      </c>
      <c r="DU185" s="59">
        <f t="shared" si="152"/>
        <v>317.03005098025352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6.1119933172315175</v>
      </c>
      <c r="EB185" s="21">
        <f>EXP(-LN(2)/25)*EB184+(1-EXP(-LN(2)/25))/(LN(2)/25)*Calculateur!DW185*Calculateur!DY185*VLOOKUP('Données projet'!$B$14,Paramètres!$A$1:$I$89,3,0)*0.475*44/12</f>
        <v>2.7503798460286784</v>
      </c>
      <c r="EC185" s="21">
        <f>EXP(-LN(2)/2)*EC184+(1-EXP(-LN(2)/2))/(LN(2)/2)*DW185*DZ185*VLOOKUP('Données projet'!$B$14,Paramètres!$A$1:$I$89,3,0)*0.475*44/12</f>
        <v>2.5346839746791125E-14</v>
      </c>
      <c r="ED185" s="22">
        <f t="shared" si="178"/>
        <v>8.8623731632602212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302.00825291248458</v>
      </c>
      <c r="T186" s="59">
        <f t="shared" si="142"/>
        <v>307.35115839449355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12.153468380909285</v>
      </c>
      <c r="AA186" s="21">
        <f>EXP(-LN(2)/25)*AA185+(1-EXP(-LN(2)/25))/(LN(2)/25)*Calculateur!V186*Calculateur!X186*VLOOKUP('Données projet'!$B$9,Paramètres!$A$1:$I$89,3,0)*0.475*44/12</f>
        <v>1.6000781615789337</v>
      </c>
      <c r="AB186" s="21">
        <f>EXP(-LN(2)/2)*AB185+(1-EXP(-LN(2)/2))/(LN(2)/2)*V186*Y186*VLOOKUP('Données projet'!$B$9,Paramètres!$A$1:$I$89,3,0)*0.475*44/12</f>
        <v>1.8387697107176892E-17</v>
      </c>
      <c r="AC186" s="22">
        <f t="shared" si="163"/>
        <v>13.753546542488218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5.0249582272954292E-14</v>
      </c>
      <c r="AK186" s="13">
        <f t="shared" si="164"/>
        <v>8.1784820119191593E-13</v>
      </c>
      <c r="AL186" s="20">
        <f t="shared" si="165"/>
        <v>1.5119369728679821E-12</v>
      </c>
      <c r="AM186" s="59">
        <f t="shared" si="113"/>
        <v>293.33333333333485</v>
      </c>
      <c r="AN186" s="59">
        <f ca="1">AVERAGE(OFFSET($AM$3,0,0,'Données projet'!$E$10+1,1))-AVERAGE(OFFSET($H$3,0,0,'Données projet'!$E$10+1,1))</f>
        <v>394.37446333077651</v>
      </c>
      <c r="AO186" s="59">
        <f t="shared" si="144"/>
        <v>335.44327961212963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26.872788356627659</v>
      </c>
      <c r="AV186" s="21">
        <f>EXP(-LN(2)/25)*AV185+(1-EXP(-LN(2)/25))/(LN(2)/25)*Calculateur!AQ186*Calculateur!AS186*VLOOKUP('Données projet'!$B$10,Paramètres!$A$1:$I$89,3,0)*0.475*44/12</f>
        <v>4.1348587525736633</v>
      </c>
      <c r="AW186" s="21">
        <f>EXP(-LN(2)/2)*AW185+(1-EXP(-LN(2)/2))/(LN(2)/2)*AQ186*AT186*VLOOKUP('Données projet'!$B$10,Paramètres!$A$1:$I$89,3,0)*0.475*44/12</f>
        <v>2.4683075349317599E-14</v>
      </c>
      <c r="AX186" s="21">
        <f t="shared" si="166"/>
        <v>31.007647109201347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5.4001247917767614E-13</v>
      </c>
      <c r="BE186" s="13">
        <f>BD186*VLOOKUP('Données projet'!$B$11,Paramètres!$A$1:$I$89,3,0)*VLOOKUP('Données projet'!$B$11,Paramètres!$A$1:$I$89,5,0)</f>
        <v>4.8860329115996133E-13</v>
      </c>
      <c r="BF186" s="13">
        <f t="shared" si="167"/>
        <v>6.1025862939685007E-12</v>
      </c>
      <c r="BG186" s="20">
        <f t="shared" si="168"/>
        <v>1.1479655194098737E-11</v>
      </c>
      <c r="BH186" s="59">
        <f t="shared" si="116"/>
        <v>293.3333333333448</v>
      </c>
      <c r="BI186" s="59">
        <f ca="1">AVERAGE(OFFSET($BH$3,0,0,'Données projet'!$E$11+1,1))-AVERAGE(OFFSET($H$3,0,0,'Données projet'!$E$11+1,1))</f>
        <v>490.06222615476065</v>
      </c>
      <c r="BJ186" s="59">
        <f t="shared" si="146"/>
        <v>310.43914804089906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72.69834084411049</v>
      </c>
      <c r="BQ186" s="21">
        <f>EXP(-LN(2)/25)*BQ185+(1-EXP(-LN(2)/25))/(LN(2)/25)*Calculateur!BL186*Calculateur!BN186*VLOOKUP('Données projet'!$B$11,Paramètres!$A$1:$I$89,3,0)*0.475*44/12</f>
        <v>10.821629587944436</v>
      </c>
      <c r="BR186" s="21">
        <f>EXP(-LN(2)/2)*BR185+(1-EXP(-LN(2)/2))/(LN(2)/2)*BL186*BO186*VLOOKUP('Données projet'!$B$11,Paramètres!$A$1:$I$89,3,0)*0.475*44/12</f>
        <v>3.3396465888533718E-3</v>
      </c>
      <c r="BS186" s="22">
        <f t="shared" si="169"/>
        <v>83.523310078643775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353.37479213497227</v>
      </c>
      <c r="CE186" s="59">
        <f t="shared" si="148"/>
        <v>345.4750813433123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6.760291890748185</v>
      </c>
      <c r="CL186" s="21">
        <f>EXP(-LN(2)/25)*CL185+(1-EXP(-LN(2)/25))/(LN(2)/25)*Calculateur!CG186*Calculateur!CI186*VLOOKUP('Données projet'!$B$12,Paramètres!$A$1:$I$89,3,0)*0.475*44/12</f>
        <v>2.9517173768424323</v>
      </c>
      <c r="CM186" s="21">
        <f>EXP(-LN(2)/2)*CM185+(1-EXP(-LN(2)/2))/(LN(2)/2)*CG186*CJ186*VLOOKUP('Données projet'!$B$12,Paramètres!$A$1:$I$89,3,0)*0.475*44/12</f>
        <v>1.9601449136821636E-14</v>
      </c>
      <c r="CN186" s="22">
        <f t="shared" si="172"/>
        <v>9.712009267590636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-7.3896444519050419E-13</v>
      </c>
      <c r="CU186" s="17">
        <f>CT186*VLOOKUP('Données projet'!$B$13,Paramètres!$A$1:$I$89,3,0)*VLOOKUP('Données projet'!$B$13,Paramètres!$A$1:$I$89,5,0)</f>
        <v>-3.5544189813663252E-13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314.18760071409162</v>
      </c>
      <c r="CZ186" s="59">
        <f t="shared" si="150"/>
        <v>267.72650645201787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24.027638473565442</v>
      </c>
      <c r="DG186" s="21">
        <f>EXP(-LN(2)/25)*DG185+(1-EXP(-LN(2)/25))/(LN(2)/25)*Calculateur!DB186*Calculateur!DD186*VLOOKUP('Données projet'!$B$13,Paramètres!$A$1:$I$89,3,0)*0.475*44/12</f>
        <v>3.5507910823704258</v>
      </c>
      <c r="DH186" s="21">
        <f>EXP(-LN(2)/2)*DH185+(1-EXP(-LN(2)/2))/(LN(2)/2)*DB186*DE186*VLOOKUP('Données projet'!$B$13,Paramètres!$A$1:$I$89,3,0)*0.475*44/12</f>
        <v>3.3723455375579856E-9</v>
      </c>
      <c r="DI186" s="22">
        <f t="shared" si="175"/>
        <v>27.578429559308216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-1.7053025658242404E-13</v>
      </c>
      <c r="DP186" s="17">
        <f>DO186*VLOOKUP('Données projet'!$B$14,Paramètres!$A$1:$I$89,3,0)*VLOOKUP('Données projet'!$B$14,Paramètres!$A$1:$I$89,5,0)</f>
        <v>-1.4897523215040567E-13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324.86930206492627</v>
      </c>
      <c r="DU186" s="59">
        <f t="shared" si="152"/>
        <v>317.03005098025352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5.9921408562284268</v>
      </c>
      <c r="EB186" s="21">
        <f>EXP(-LN(2)/25)*EB185+(1-EXP(-LN(2)/25))/(LN(2)/25)*Calculateur!DW186*Calculateur!DY186*VLOOKUP('Données projet'!$B$14,Paramètres!$A$1:$I$89,3,0)*0.475*44/12</f>
        <v>2.6751705645028343</v>
      </c>
      <c r="EC186" s="21">
        <f>EXP(-LN(2)/2)*EC185+(1-EXP(-LN(2)/2))/(LN(2)/2)*DW186*DZ186*VLOOKUP('Données projet'!$B$14,Paramètres!$A$1:$I$89,3,0)*0.475*44/12</f>
        <v>1.7922922266604718E-14</v>
      </c>
      <c r="ED186" s="22">
        <f t="shared" si="178"/>
        <v>8.6673114207312789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302.00825291248458</v>
      </c>
      <c r="T187" s="59">
        <f t="shared" si="142"/>
        <v>307.35115839449355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11.915146278843405</v>
      </c>
      <c r="AA187" s="21">
        <f>EXP(-LN(2)/25)*AA186+(1-EXP(-LN(2)/25))/(LN(2)/25)*Calculateur!V187*Calculateur!X187*VLOOKUP('Données projet'!$B$9,Paramètres!$A$1:$I$89,3,0)*0.475*44/12</f>
        <v>1.5563239401061042</v>
      </c>
      <c r="AB187" s="21">
        <f>EXP(-LN(2)/2)*AB186+(1-EXP(-LN(2)/2))/(LN(2)/2)*V187*Y187*VLOOKUP('Données projet'!$B$9,Paramètres!$A$1:$I$89,3,0)*0.475*44/12</f>
        <v>1.3002065314889043E-17</v>
      </c>
      <c r="AC187" s="22">
        <f t="shared" si="163"/>
        <v>13.471470218949509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5.0249582272954292E-14</v>
      </c>
      <c r="AK187" s="13">
        <f t="shared" si="164"/>
        <v>8.1784820119191593E-13</v>
      </c>
      <c r="AL187" s="20">
        <f t="shared" si="165"/>
        <v>1.5119369728679821E-12</v>
      </c>
      <c r="AM187" s="59">
        <f t="shared" si="113"/>
        <v>293.33333333333485</v>
      </c>
      <c r="AN187" s="59">
        <f ca="1">AVERAGE(OFFSET($AM$3,0,0,'Données projet'!$E$10+1,1))-AVERAGE(OFFSET($H$3,0,0,'Données projet'!$E$10+1,1))</f>
        <v>394.37446333077651</v>
      </c>
      <c r="AO187" s="59">
        <f t="shared" si="144"/>
        <v>335.44327961212963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26.345829367736634</v>
      </c>
      <c r="AV187" s="21">
        <f>EXP(-LN(2)/25)*AV186+(1-EXP(-LN(2)/25))/(LN(2)/25)*Calculateur!AQ187*Calculateur!AS187*VLOOKUP('Données projet'!$B$10,Paramètres!$A$1:$I$89,3,0)*0.475*44/12</f>
        <v>4.0217908225417647</v>
      </c>
      <c r="AW187" s="21">
        <f>EXP(-LN(2)/2)*AW186+(1-EXP(-LN(2)/2))/(LN(2)/2)*AQ187*AT187*VLOOKUP('Données projet'!$B$10,Paramètres!$A$1:$I$89,3,0)*0.475*44/12</f>
        <v>1.7453569960040985E-14</v>
      </c>
      <c r="AX187" s="21">
        <f t="shared" si="166"/>
        <v>30.367620190278416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5.4001247917767614E-13</v>
      </c>
      <c r="BE187" s="13">
        <f>BD187*VLOOKUP('Données projet'!$B$11,Paramètres!$A$1:$I$89,3,0)*VLOOKUP('Données projet'!$B$11,Paramètres!$A$1:$I$89,5,0)</f>
        <v>4.8860329115996133E-13</v>
      </c>
      <c r="BF187" s="13">
        <f t="shared" si="167"/>
        <v>6.1025862939685007E-12</v>
      </c>
      <c r="BG187" s="20">
        <f t="shared" si="168"/>
        <v>1.1479655194098737E-11</v>
      </c>
      <c r="BH187" s="59">
        <f t="shared" si="116"/>
        <v>293.3333333333448</v>
      </c>
      <c r="BI187" s="59">
        <f ca="1">AVERAGE(OFFSET($BH$3,0,0,'Données projet'!$E$11+1,1))-AVERAGE(OFFSET($H$3,0,0,'Données projet'!$E$11+1,1))</f>
        <v>490.06222615476065</v>
      </c>
      <c r="BJ187" s="59">
        <f t="shared" si="146"/>
        <v>310.43914804089906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71.272770721767031</v>
      </c>
      <c r="BQ187" s="21">
        <f>EXP(-LN(2)/25)*BQ186+(1-EXP(-LN(2)/25))/(LN(2)/25)*Calculateur!BL187*Calculateur!BN187*VLOOKUP('Données projet'!$B$11,Paramètres!$A$1:$I$89,3,0)*0.475*44/12</f>
        <v>10.525711557777328</v>
      </c>
      <c r="BR187" s="21">
        <f>EXP(-LN(2)/2)*BR186+(1-EXP(-LN(2)/2))/(LN(2)/2)*BL187*BO187*VLOOKUP('Données projet'!$B$11,Paramètres!$A$1:$I$89,3,0)*0.475*44/12</f>
        <v>2.361486749744741E-3</v>
      </c>
      <c r="BS187" s="22">
        <f t="shared" si="169"/>
        <v>81.800843766294108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353.37479213497227</v>
      </c>
      <c r="CE187" s="59">
        <f t="shared" si="148"/>
        <v>345.4750813433123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6.6277266901415173</v>
      </c>
      <c r="CL187" s="21">
        <f>EXP(-LN(2)/25)*CL186+(1-EXP(-LN(2)/25))/(LN(2)/25)*Calculateur!CG187*Calculateur!CI187*VLOOKUP('Données projet'!$B$12,Paramètres!$A$1:$I$89,3,0)*0.475*44/12</f>
        <v>2.8710025099486054</v>
      </c>
      <c r="CM187" s="21">
        <f>EXP(-LN(2)/2)*CM186+(1-EXP(-LN(2)/2))/(LN(2)/2)*CG187*CJ187*VLOOKUP('Données projet'!$B$12,Paramètres!$A$1:$I$89,3,0)*0.475*44/12</f>
        <v>1.3860317605729778E-14</v>
      </c>
      <c r="CN187" s="22">
        <f t="shared" si="172"/>
        <v>9.4987292000901373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-7.3896444519050419E-13</v>
      </c>
      <c r="CU187" s="17">
        <f>CT187*VLOOKUP('Données projet'!$B$13,Paramètres!$A$1:$I$89,3,0)*VLOOKUP('Données projet'!$B$13,Paramètres!$A$1:$I$89,5,0)</f>
        <v>-3.5544189813663252E-13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314.18760071409162</v>
      </c>
      <c r="CZ187" s="59">
        <f t="shared" si="150"/>
        <v>267.72650645201787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23.556471138511192</v>
      </c>
      <c r="DG187" s="21">
        <f>EXP(-LN(2)/25)*DG186+(1-EXP(-LN(2)/25))/(LN(2)/25)*Calculateur!DB187*Calculateur!DD187*VLOOKUP('Données projet'!$B$13,Paramètres!$A$1:$I$89,3,0)*0.475*44/12</f>
        <v>3.453694513495019</v>
      </c>
      <c r="DH187" s="21">
        <f>EXP(-LN(2)/2)*DH186+(1-EXP(-LN(2)/2))/(LN(2)/2)*DB187*DE187*VLOOKUP('Données projet'!$B$13,Paramètres!$A$1:$I$89,3,0)*0.475*44/12</f>
        <v>2.3846083981114445E-9</v>
      </c>
      <c r="DI187" s="22">
        <f t="shared" si="175"/>
        <v>27.010165654390821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-1.7053025658242404E-13</v>
      </c>
      <c r="DP187" s="17">
        <f>DO187*VLOOKUP('Données projet'!$B$14,Paramètres!$A$1:$I$89,3,0)*VLOOKUP('Données projet'!$B$14,Paramètres!$A$1:$I$89,5,0)</f>
        <v>-1.4897523215040567E-13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324.86930206492627</v>
      </c>
      <c r="DU187" s="59">
        <f t="shared" si="152"/>
        <v>317.03005098025352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5.8746386288828241</v>
      </c>
      <c r="EB187" s="21">
        <f>EXP(-LN(2)/25)*EB186+(1-EXP(-LN(2)/25))/(LN(2)/25)*Calculateur!DW187*Calculateur!DY187*VLOOKUP('Données projet'!$B$14,Paramètres!$A$1:$I$89,3,0)*0.475*44/12</f>
        <v>2.6020178847353983</v>
      </c>
      <c r="EC187" s="21">
        <f>EXP(-LN(2)/2)*EC186+(1-EXP(-LN(2)/2))/(LN(2)/2)*DW187*DZ187*VLOOKUP('Données projet'!$B$14,Paramètres!$A$1:$I$89,3,0)*0.475*44/12</f>
        <v>1.2673419873395563E-14</v>
      </c>
      <c r="ED187" s="22">
        <f t="shared" si="178"/>
        <v>8.4766565136182344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302.00825291248458</v>
      </c>
      <c r="T188" s="59">
        <f t="shared" si="142"/>
        <v>307.35115839449355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11.681497527836909</v>
      </c>
      <c r="AA188" s="21">
        <f>EXP(-LN(2)/25)*AA187+(1-EXP(-LN(2)/25))/(LN(2)/25)*Calculateur!V188*Calculateur!X188*VLOOKUP('Données projet'!$B$9,Paramètres!$A$1:$I$89,3,0)*0.475*44/12</f>
        <v>1.5137661801203839</v>
      </c>
      <c r="AB188" s="21">
        <f>EXP(-LN(2)/2)*AB187+(1-EXP(-LN(2)/2))/(LN(2)/2)*V188*Y188*VLOOKUP('Données projet'!$B$9,Paramètres!$A$1:$I$89,3,0)*0.475*44/12</f>
        <v>9.1938485535884458E-18</v>
      </c>
      <c r="AC188" s="22">
        <f t="shared" si="163"/>
        <v>13.195263707957292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5.0249582272954292E-14</v>
      </c>
      <c r="AK188" s="13">
        <f t="shared" si="164"/>
        <v>8.1784820119191593E-13</v>
      </c>
      <c r="AL188" s="20">
        <f t="shared" si="165"/>
        <v>1.5119369728679821E-12</v>
      </c>
      <c r="AM188" s="59">
        <f t="shared" si="113"/>
        <v>293.33333333333485</v>
      </c>
      <c r="AN188" s="59">
        <f ca="1">AVERAGE(OFFSET($AM$3,0,0,'Données projet'!$E$10+1,1))-AVERAGE(OFFSET($H$3,0,0,'Données projet'!$E$10+1,1))</f>
        <v>394.37446333077651</v>
      </c>
      <c r="AO188" s="59">
        <f t="shared" si="144"/>
        <v>335.44327961212963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25.829203723204515</v>
      </c>
      <c r="AV188" s="21">
        <f>EXP(-LN(2)/25)*AV187+(1-EXP(-LN(2)/25))/(LN(2)/25)*Calculateur!AQ188*Calculateur!AS188*VLOOKUP('Données projet'!$B$10,Paramètres!$A$1:$I$89,3,0)*0.475*44/12</f>
        <v>3.9118147410025728</v>
      </c>
      <c r="AW188" s="21">
        <f>EXP(-LN(2)/2)*AW187+(1-EXP(-LN(2)/2))/(LN(2)/2)*AQ188*AT188*VLOOKUP('Données projet'!$B$10,Paramètres!$A$1:$I$89,3,0)*0.475*44/12</f>
        <v>1.23415376746588E-14</v>
      </c>
      <c r="AX188" s="21">
        <f t="shared" si="166"/>
        <v>29.741018464207098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5.4001247917767614E-13</v>
      </c>
      <c r="BE188" s="13">
        <f>BD188*VLOOKUP('Données projet'!$B$11,Paramètres!$A$1:$I$89,3,0)*VLOOKUP('Données projet'!$B$11,Paramètres!$A$1:$I$89,5,0)</f>
        <v>4.8860329115996133E-13</v>
      </c>
      <c r="BF188" s="13">
        <f t="shared" si="167"/>
        <v>6.1025862939685007E-12</v>
      </c>
      <c r="BG188" s="20">
        <f t="shared" si="168"/>
        <v>1.1479655194098737E-11</v>
      </c>
      <c r="BH188" s="59">
        <f t="shared" si="116"/>
        <v>293.3333333333448</v>
      </c>
      <c r="BI188" s="59">
        <f ca="1">AVERAGE(OFFSET($BH$3,0,0,'Données projet'!$E$11+1,1))-AVERAGE(OFFSET($H$3,0,0,'Données projet'!$E$11+1,1))</f>
        <v>490.06222615476065</v>
      </c>
      <c r="BJ188" s="59">
        <f t="shared" si="146"/>
        <v>310.43914804089906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69.875155160010806</v>
      </c>
      <c r="BQ188" s="21">
        <f>EXP(-LN(2)/25)*BQ187+(1-EXP(-LN(2)/25))/(LN(2)/25)*Calculateur!BL188*Calculateur!BN188*VLOOKUP('Données projet'!$B$11,Paramètres!$A$1:$I$89,3,0)*0.475*44/12</f>
        <v>10.237885421706792</v>
      </c>
      <c r="BR188" s="21">
        <f>EXP(-LN(2)/2)*BR187+(1-EXP(-LN(2)/2))/(LN(2)/2)*BL188*BO188*VLOOKUP('Données projet'!$B$11,Paramètres!$A$1:$I$89,3,0)*0.475*44/12</f>
        <v>1.6698232944266859E-3</v>
      </c>
      <c r="BS188" s="22">
        <f t="shared" si="169"/>
        <v>80.114710405012019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353.37479213497227</v>
      </c>
      <c r="CE188" s="59">
        <f t="shared" si="148"/>
        <v>345.4750813433123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6.4977610122619582</v>
      </c>
      <c r="CL188" s="21">
        <f>EXP(-LN(2)/25)*CL187+(1-EXP(-LN(2)/25))/(LN(2)/25)*Calculateur!CG188*Calculateur!CI188*VLOOKUP('Données projet'!$B$12,Paramètres!$A$1:$I$89,3,0)*0.475*44/12</f>
        <v>2.7924947953346004</v>
      </c>
      <c r="CM188" s="21">
        <f>EXP(-LN(2)/2)*CM187+(1-EXP(-LN(2)/2))/(LN(2)/2)*CG188*CJ188*VLOOKUP('Données projet'!$B$12,Paramètres!$A$1:$I$89,3,0)*0.475*44/12</f>
        <v>9.800724568410818E-15</v>
      </c>
      <c r="CN188" s="22">
        <f t="shared" si="172"/>
        <v>9.2902558075965693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-7.3896444519050419E-13</v>
      </c>
      <c r="CU188" s="17">
        <f>CT188*VLOOKUP('Données projet'!$B$13,Paramètres!$A$1:$I$89,3,0)*VLOOKUP('Données projet'!$B$13,Paramètres!$A$1:$I$89,5,0)</f>
        <v>-3.5544189813663252E-13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314.18760071409162</v>
      </c>
      <c r="CZ188" s="59">
        <f t="shared" si="150"/>
        <v>267.72650645201787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23.094543107513658</v>
      </c>
      <c r="DG188" s="21">
        <f>EXP(-LN(2)/25)*DG187+(1-EXP(-LN(2)/25))/(LN(2)/25)*Calculateur!DB188*Calculateur!DD188*VLOOKUP('Données projet'!$B$13,Paramètres!$A$1:$I$89,3,0)*0.475*44/12</f>
        <v>3.3592530554015969</v>
      </c>
      <c r="DH188" s="21">
        <f>EXP(-LN(2)/2)*DH187+(1-EXP(-LN(2)/2))/(LN(2)/2)*DB188*DE188*VLOOKUP('Données projet'!$B$13,Paramètres!$A$1:$I$89,3,0)*0.475*44/12</f>
        <v>1.6861727687789928E-9</v>
      </c>
      <c r="DI188" s="22">
        <f t="shared" si="175"/>
        <v>26.453796164601425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-1.7053025658242404E-13</v>
      </c>
      <c r="DP188" s="17">
        <f>DO188*VLOOKUP('Données projet'!$B$14,Paramètres!$A$1:$I$89,3,0)*VLOOKUP('Données projet'!$B$14,Paramètres!$A$1:$I$89,5,0)</f>
        <v>-1.4897523215040567E-13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324.86930206492627</v>
      </c>
      <c r="DU188" s="59">
        <f t="shared" si="152"/>
        <v>317.03005098025352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5.7594405485461859</v>
      </c>
      <c r="EB188" s="21">
        <f>EXP(-LN(2)/25)*EB187+(1-EXP(-LN(2)/25))/(LN(2)/25)*Calculateur!DW188*Calculateur!DY188*VLOOKUP('Données projet'!$B$14,Paramètres!$A$1:$I$89,3,0)*0.475*44/12</f>
        <v>2.5308655688431352</v>
      </c>
      <c r="EC188" s="21">
        <f>EXP(-LN(2)/2)*EC187+(1-EXP(-LN(2)/2))/(LN(2)/2)*DW188*DZ188*VLOOKUP('Données projet'!$B$14,Paramètres!$A$1:$I$89,3,0)*0.475*44/12</f>
        <v>8.9614611333023588E-15</v>
      </c>
      <c r="ED188" s="22">
        <f t="shared" si="178"/>
        <v>8.2903061173893295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302.00825291248458</v>
      </c>
      <c r="T189" s="59">
        <f t="shared" si="142"/>
        <v>307.35115839449355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11.452430486325982</v>
      </c>
      <c r="AA189" s="21">
        <f>EXP(-LN(2)/25)*AA188+(1-EXP(-LN(2)/25))/(LN(2)/25)*Calculateur!V189*Calculateur!X189*VLOOKUP('Données projet'!$B$9,Paramètres!$A$1:$I$89,3,0)*0.475*44/12</f>
        <v>1.4723721643194883</v>
      </c>
      <c r="AB189" s="21">
        <f>EXP(-LN(2)/2)*AB188+(1-EXP(-LN(2)/2))/(LN(2)/2)*V189*Y189*VLOOKUP('Données projet'!$B$9,Paramètres!$A$1:$I$89,3,0)*0.475*44/12</f>
        <v>6.5010326574445217E-18</v>
      </c>
      <c r="AC189" s="22">
        <f t="shared" si="163"/>
        <v>12.92480265064547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5.0249582272954292E-14</v>
      </c>
      <c r="AK189" s="13">
        <f t="shared" si="164"/>
        <v>8.1784820119191593E-13</v>
      </c>
      <c r="AL189" s="20">
        <f t="shared" si="165"/>
        <v>1.5119369728679821E-12</v>
      </c>
      <c r="AM189" s="59">
        <f t="shared" si="113"/>
        <v>293.33333333333485</v>
      </c>
      <c r="AN189" s="59">
        <f ca="1">AVERAGE(OFFSET($AM$3,0,0,'Données projet'!$E$10+1,1))-AVERAGE(OFFSET($H$3,0,0,'Données projet'!$E$10+1,1))</f>
        <v>394.37446333077651</v>
      </c>
      <c r="AO189" s="59">
        <f t="shared" si="144"/>
        <v>335.44327961212963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25.322708792451142</v>
      </c>
      <c r="AV189" s="21">
        <f>EXP(-LN(2)/25)*AV188+(1-EXP(-LN(2)/25))/(LN(2)/25)*Calculateur!AQ189*Calculateur!AS189*VLOOKUP('Données projet'!$B$10,Paramètres!$A$1:$I$89,3,0)*0.475*44/12</f>
        <v>3.8048459611964609</v>
      </c>
      <c r="AW189" s="21">
        <f>EXP(-LN(2)/2)*AW188+(1-EXP(-LN(2)/2))/(LN(2)/2)*AQ189*AT189*VLOOKUP('Données projet'!$B$10,Paramètres!$A$1:$I$89,3,0)*0.475*44/12</f>
        <v>8.7267849800204923E-15</v>
      </c>
      <c r="AX189" s="21">
        <f t="shared" si="166"/>
        <v>29.127554753647608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5.4001247917767614E-13</v>
      </c>
      <c r="BE189" s="13">
        <f>BD189*VLOOKUP('Données projet'!$B$11,Paramètres!$A$1:$I$89,3,0)*VLOOKUP('Données projet'!$B$11,Paramètres!$A$1:$I$89,5,0)</f>
        <v>4.8860329115996133E-13</v>
      </c>
      <c r="BF189" s="13">
        <f t="shared" si="167"/>
        <v>6.1025862939685007E-12</v>
      </c>
      <c r="BG189" s="20">
        <f t="shared" si="168"/>
        <v>1.1479655194098737E-11</v>
      </c>
      <c r="BH189" s="59">
        <f t="shared" si="116"/>
        <v>293.3333333333448</v>
      </c>
      <c r="BI189" s="59">
        <f ca="1">AVERAGE(OFFSET($BH$3,0,0,'Données projet'!$E$11+1,1))-AVERAGE(OFFSET($H$3,0,0,'Données projet'!$E$11+1,1))</f>
        <v>490.06222615476065</v>
      </c>
      <c r="BJ189" s="59">
        <f t="shared" si="146"/>
        <v>310.43914804089906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68.504945986959299</v>
      </c>
      <c r="BQ189" s="21">
        <f>EXP(-LN(2)/25)*BQ188+(1-EXP(-LN(2)/25))/(LN(2)/25)*Calculateur!BL189*Calculateur!BN189*VLOOKUP('Données projet'!$B$11,Paramètres!$A$1:$I$89,3,0)*0.475*44/12</f>
        <v>9.9579299064632245</v>
      </c>
      <c r="BR189" s="21">
        <f>EXP(-LN(2)/2)*BR188+(1-EXP(-LN(2)/2))/(LN(2)/2)*BL189*BO189*VLOOKUP('Données projet'!$B$11,Paramètres!$A$1:$I$89,3,0)*0.475*44/12</f>
        <v>1.1807433748723705E-3</v>
      </c>
      <c r="BS189" s="22">
        <f t="shared" si="169"/>
        <v>78.464056636797395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353.37479213497227</v>
      </c>
      <c r="CE189" s="59">
        <f t="shared" si="148"/>
        <v>345.4750813433123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6.3703438820543807</v>
      </c>
      <c r="CL189" s="21">
        <f>EXP(-LN(2)/25)*CL188+(1-EXP(-LN(2)/25))/(LN(2)/25)*Calculateur!CG189*Calculateur!CI189*VLOOKUP('Données projet'!$B$12,Paramètres!$A$1:$I$89,3,0)*0.475*44/12</f>
        <v>2.7161338783052567</v>
      </c>
      <c r="CM189" s="21">
        <f>EXP(-LN(2)/2)*CM188+(1-EXP(-LN(2)/2))/(LN(2)/2)*CG189*CJ189*VLOOKUP('Données projet'!$B$12,Paramètres!$A$1:$I$89,3,0)*0.475*44/12</f>
        <v>6.9301588028648888E-15</v>
      </c>
      <c r="CN189" s="22">
        <f t="shared" si="172"/>
        <v>9.0864777603596441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-7.3896444519050419E-13</v>
      </c>
      <c r="CU189" s="17">
        <f>CT189*VLOOKUP('Données projet'!$B$13,Paramètres!$A$1:$I$89,3,0)*VLOOKUP('Données projet'!$B$13,Paramètres!$A$1:$I$89,5,0)</f>
        <v>-3.5544189813663252E-13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314.18760071409162</v>
      </c>
      <c r="CZ189" s="59">
        <f t="shared" si="150"/>
        <v>267.72650645201787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22.641673203455706</v>
      </c>
      <c r="DG189" s="21">
        <f>EXP(-LN(2)/25)*DG188+(1-EXP(-LN(2)/25))/(LN(2)/25)*Calculateur!DB189*Calculateur!DD189*VLOOKUP('Données projet'!$B$13,Paramètres!$A$1:$I$89,3,0)*0.475*44/12</f>
        <v>3.2673941039461996</v>
      </c>
      <c r="DH189" s="21">
        <f>EXP(-LN(2)/2)*DH188+(1-EXP(-LN(2)/2))/(LN(2)/2)*DB189*DE189*VLOOKUP('Données projet'!$B$13,Paramètres!$A$1:$I$89,3,0)*0.475*44/12</f>
        <v>1.1923041990557223E-9</v>
      </c>
      <c r="DI189" s="22">
        <f t="shared" si="175"/>
        <v>25.90906730859421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-1.7053025658242404E-13</v>
      </c>
      <c r="DP189" s="17">
        <f>DO189*VLOOKUP('Données projet'!$B$14,Paramètres!$A$1:$I$89,3,0)*VLOOKUP('Données projet'!$B$14,Paramètres!$A$1:$I$89,5,0)</f>
        <v>-1.4897523215040567E-13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324.86930206492627</v>
      </c>
      <c r="DU189" s="59">
        <f t="shared" si="152"/>
        <v>317.03005098025352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5.6465014323010587</v>
      </c>
      <c r="EB189" s="21">
        <f>EXP(-LN(2)/25)*EB188+(1-EXP(-LN(2)/25))/(LN(2)/25)*Calculateur!DW189*Calculateur!DY189*VLOOKUP('Données projet'!$B$14,Paramètres!$A$1:$I$89,3,0)*0.475*44/12</f>
        <v>2.4616589167706837</v>
      </c>
      <c r="EC189" s="21">
        <f>EXP(-LN(2)/2)*EC188+(1-EXP(-LN(2)/2))/(LN(2)/2)*DW189*DZ189*VLOOKUP('Données projet'!$B$14,Paramètres!$A$1:$I$89,3,0)*0.475*44/12</f>
        <v>6.3367099366977813E-15</v>
      </c>
      <c r="ED189" s="22">
        <f t="shared" si="178"/>
        <v>8.1081603490717491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302.00825291248458</v>
      </c>
      <c r="T190" s="59">
        <f t="shared" si="142"/>
        <v>307.35115839449355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11.227855309781985</v>
      </c>
      <c r="AA190" s="21">
        <f>EXP(-LN(2)/25)*AA189+(1-EXP(-LN(2)/25))/(LN(2)/25)*Calculateur!V190*Calculateur!X190*VLOOKUP('Données projet'!$B$9,Paramètres!$A$1:$I$89,3,0)*0.475*44/12</f>
        <v>1.4321100700574849</v>
      </c>
      <c r="AB190" s="21">
        <f>EXP(-LN(2)/2)*AB189+(1-EXP(-LN(2)/2))/(LN(2)/2)*V190*Y190*VLOOKUP('Données projet'!$B$9,Paramètres!$A$1:$I$89,3,0)*0.475*44/12</f>
        <v>4.5969242767942229E-18</v>
      </c>
      <c r="AC190" s="22">
        <f t="shared" si="163"/>
        <v>12.65996537983947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5.0249582272954292E-14</v>
      </c>
      <c r="AK190" s="13">
        <f t="shared" si="164"/>
        <v>8.1784820119191593E-13</v>
      </c>
      <c r="AL190" s="20">
        <f t="shared" si="165"/>
        <v>1.5119369728679821E-12</v>
      </c>
      <c r="AM190" s="59">
        <f t="shared" si="113"/>
        <v>293.33333333333485</v>
      </c>
      <c r="AN190" s="59">
        <f ca="1">AVERAGE(OFFSET($AM$3,0,0,'Données projet'!$E$10+1,1))-AVERAGE(OFFSET($H$3,0,0,'Données projet'!$E$10+1,1))</f>
        <v>394.37446333077651</v>
      </c>
      <c r="AO190" s="59">
        <f t="shared" si="144"/>
        <v>335.44327961212963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24.826145918358439</v>
      </c>
      <c r="AV190" s="21">
        <f>EXP(-LN(2)/25)*AV189+(1-EXP(-LN(2)/25))/(LN(2)/25)*Calculateur!AQ190*Calculateur!AS190*VLOOKUP('Données projet'!$B$10,Paramètres!$A$1:$I$89,3,0)*0.475*44/12</f>
        <v>3.7008022482993908</v>
      </c>
      <c r="AW190" s="21">
        <f>EXP(-LN(2)/2)*AW189+(1-EXP(-LN(2)/2))/(LN(2)/2)*AQ190*AT190*VLOOKUP('Données projet'!$B$10,Paramètres!$A$1:$I$89,3,0)*0.475*44/12</f>
        <v>6.1707688373293999E-15</v>
      </c>
      <c r="AX190" s="21">
        <f t="shared" si="166"/>
        <v>28.526948166657835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5.4001247917767614E-13</v>
      </c>
      <c r="BE190" s="13">
        <f>BD190*VLOOKUP('Données projet'!$B$11,Paramètres!$A$1:$I$89,3,0)*VLOOKUP('Données projet'!$B$11,Paramètres!$A$1:$I$89,5,0)</f>
        <v>4.8860329115996133E-13</v>
      </c>
      <c r="BF190" s="13">
        <f t="shared" si="167"/>
        <v>6.1025862939685007E-12</v>
      </c>
      <c r="BG190" s="20">
        <f t="shared" si="168"/>
        <v>1.1479655194098737E-11</v>
      </c>
      <c r="BH190" s="59">
        <f t="shared" si="116"/>
        <v>293.3333333333448</v>
      </c>
      <c r="BI190" s="59">
        <f ca="1">AVERAGE(OFFSET($BH$3,0,0,'Données projet'!$E$11+1,1))-AVERAGE(OFFSET($H$3,0,0,'Données projet'!$E$11+1,1))</f>
        <v>490.06222615476065</v>
      </c>
      <c r="BJ190" s="59">
        <f t="shared" si="146"/>
        <v>310.43914804089906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67.161605780046258</v>
      </c>
      <c r="BQ190" s="21">
        <f>EXP(-LN(2)/25)*BQ189+(1-EXP(-LN(2)/25))/(LN(2)/25)*Calculateur!BL190*Calculateur!BN190*VLOOKUP('Données projet'!$B$11,Paramètres!$A$1:$I$89,3,0)*0.475*44/12</f>
        <v>9.6856297895062138</v>
      </c>
      <c r="BR190" s="21">
        <f>EXP(-LN(2)/2)*BR189+(1-EXP(-LN(2)/2))/(LN(2)/2)*BL190*BO190*VLOOKUP('Données projet'!$B$11,Paramètres!$A$1:$I$89,3,0)*0.475*44/12</f>
        <v>8.3491164721334295E-4</v>
      </c>
      <c r="BS190" s="22">
        <f t="shared" si="169"/>
        <v>76.848070481199684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353.37479213497227</v>
      </c>
      <c r="CE190" s="59">
        <f t="shared" si="148"/>
        <v>345.4750813433123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6.2454253240533983</v>
      </c>
      <c r="CL190" s="21">
        <f>EXP(-LN(2)/25)*CL189+(1-EXP(-LN(2)/25))/(LN(2)/25)*Calculateur!CG190*Calculateur!CI190*VLOOKUP('Données projet'!$B$12,Paramètres!$A$1:$I$89,3,0)*0.475*44/12</f>
        <v>2.6418610545677264</v>
      </c>
      <c r="CM190" s="21">
        <f>EXP(-LN(2)/2)*CM189+(1-EXP(-LN(2)/2))/(LN(2)/2)*CG190*CJ190*VLOOKUP('Données projet'!$B$12,Paramètres!$A$1:$I$89,3,0)*0.475*44/12</f>
        <v>4.900362284205409E-15</v>
      </c>
      <c r="CN190" s="22">
        <f t="shared" si="172"/>
        <v>8.8872863786211305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-7.3896444519050419E-13</v>
      </c>
      <c r="CU190" s="17">
        <f>CT190*VLOOKUP('Données projet'!$B$13,Paramètres!$A$1:$I$89,3,0)*VLOOKUP('Données projet'!$B$13,Paramètres!$A$1:$I$89,5,0)</f>
        <v>-3.5544189813663252E-13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314.18760071409162</v>
      </c>
      <c r="CZ190" s="59">
        <f t="shared" si="150"/>
        <v>267.72650645201787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22.197683801992966</v>
      </c>
      <c r="DG190" s="21">
        <f>EXP(-LN(2)/25)*DG189+(1-EXP(-LN(2)/25))/(LN(2)/25)*Calculateur!DB190*Calculateur!DD190*VLOOKUP('Données projet'!$B$13,Paramètres!$A$1:$I$89,3,0)*0.475*44/12</f>
        <v>3.1780470403490026</v>
      </c>
      <c r="DH190" s="21">
        <f>EXP(-LN(2)/2)*DH189+(1-EXP(-LN(2)/2))/(LN(2)/2)*DB190*DE190*VLOOKUP('Données projet'!$B$13,Paramètres!$A$1:$I$89,3,0)*0.475*44/12</f>
        <v>8.4308638438949641E-10</v>
      </c>
      <c r="DI190" s="22">
        <f t="shared" si="175"/>
        <v>25.375730843185057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-1.7053025658242404E-13</v>
      </c>
      <c r="DP190" s="17">
        <f>DO190*VLOOKUP('Données projet'!$B$14,Paramètres!$A$1:$I$89,3,0)*VLOOKUP('Données projet'!$B$14,Paramètres!$A$1:$I$89,5,0)</f>
        <v>-1.4897523215040567E-13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324.86930206492627</v>
      </c>
      <c r="DU190" s="59">
        <f t="shared" si="152"/>
        <v>317.03005098025352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5.5357769832394395</v>
      </c>
      <c r="EB190" s="21">
        <f>EXP(-LN(2)/25)*EB189+(1-EXP(-LN(2)/25))/(LN(2)/25)*Calculateur!DW190*Calculateur!DY190*VLOOKUP('Données projet'!$B$14,Paramètres!$A$1:$I$89,3,0)*0.475*44/12</f>
        <v>2.3943447242385729</v>
      </c>
      <c r="EC190" s="21">
        <f>EXP(-LN(2)/2)*EC189+(1-EXP(-LN(2)/2))/(LN(2)/2)*DW190*DZ190*VLOOKUP('Données projet'!$B$14,Paramètres!$A$1:$I$89,3,0)*0.475*44/12</f>
        <v>4.4807305666511794E-15</v>
      </c>
      <c r="ED190" s="22">
        <f t="shared" si="178"/>
        <v>7.9301217074780164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302.00825291248458</v>
      </c>
      <c r="T191" s="59">
        <f t="shared" si="142"/>
        <v>307.35115839449355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11.007683915472684</v>
      </c>
      <c r="AA191" s="21">
        <f>EXP(-LN(2)/25)*AA190+(1-EXP(-LN(2)/25))/(LN(2)/25)*Calculateur!V191*Calculateur!X191*VLOOKUP('Données projet'!$B$9,Paramètres!$A$1:$I$89,3,0)*0.475*44/12</f>
        <v>1.3929489448803676</v>
      </c>
      <c r="AB191" s="21">
        <f>EXP(-LN(2)/2)*AB190+(1-EXP(-LN(2)/2))/(LN(2)/2)*V191*Y191*VLOOKUP('Données projet'!$B$9,Paramètres!$A$1:$I$89,3,0)*0.475*44/12</f>
        <v>3.2505163287222608E-18</v>
      </c>
      <c r="AC191" s="22">
        <f t="shared" si="163"/>
        <v>12.400632860353053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5.0249582272954292E-14</v>
      </c>
      <c r="AK191" s="13">
        <f t="shared" si="164"/>
        <v>8.1784820119191593E-13</v>
      </c>
      <c r="AL191" s="20">
        <f t="shared" si="165"/>
        <v>1.5119369728679821E-12</v>
      </c>
      <c r="AM191" s="59">
        <f t="shared" si="113"/>
        <v>293.33333333333485</v>
      </c>
      <c r="AN191" s="59">
        <f ca="1">AVERAGE(OFFSET($AM$3,0,0,'Données projet'!$E$10+1,1))-AVERAGE(OFFSET($H$3,0,0,'Données projet'!$E$10+1,1))</f>
        <v>394.37446333077651</v>
      </c>
      <c r="AO191" s="59">
        <f t="shared" si="144"/>
        <v>335.44327961212963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24.339320339353247</v>
      </c>
      <c r="AV191" s="21">
        <f>EXP(-LN(2)/25)*AV190+(1-EXP(-LN(2)/25))/(LN(2)/25)*Calculateur!AQ191*Calculateur!AS191*VLOOKUP('Données projet'!$B$10,Paramètres!$A$1:$I$89,3,0)*0.475*44/12</f>
        <v>3.5996036162029119</v>
      </c>
      <c r="AW191" s="21">
        <f>EXP(-LN(2)/2)*AW190+(1-EXP(-LN(2)/2))/(LN(2)/2)*AQ191*AT191*VLOOKUP('Données projet'!$B$10,Paramètres!$A$1:$I$89,3,0)*0.475*44/12</f>
        <v>4.3633924900102462E-15</v>
      </c>
      <c r="AX191" s="21">
        <f t="shared" si="166"/>
        <v>27.938923955556163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5.4001247917767614E-13</v>
      </c>
      <c r="BE191" s="13">
        <f>BD191*VLOOKUP('Données projet'!$B$11,Paramètres!$A$1:$I$89,3,0)*VLOOKUP('Données projet'!$B$11,Paramètres!$A$1:$I$89,5,0)</f>
        <v>4.8860329115996133E-13</v>
      </c>
      <c r="BF191" s="13">
        <f t="shared" si="167"/>
        <v>6.1025862939685007E-12</v>
      </c>
      <c r="BG191" s="20">
        <f t="shared" si="168"/>
        <v>1.1479655194098737E-11</v>
      </c>
      <c r="BH191" s="59">
        <f t="shared" si="116"/>
        <v>293.3333333333448</v>
      </c>
      <c r="BI191" s="59">
        <f ca="1">AVERAGE(OFFSET($BH$3,0,0,'Données projet'!$E$11+1,1))-AVERAGE(OFFSET($H$3,0,0,'Données projet'!$E$11+1,1))</f>
        <v>490.06222615476065</v>
      </c>
      <c r="BJ191" s="59">
        <f t="shared" si="146"/>
        <v>310.43914804089906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65.844607655234171</v>
      </c>
      <c r="BQ191" s="21">
        <f>EXP(-LN(2)/25)*BQ190+(1-EXP(-LN(2)/25))/(LN(2)/25)*Calculateur!BL191*Calculateur!BN191*VLOOKUP('Données projet'!$B$11,Paramètres!$A$1:$I$89,3,0)*0.475*44/12</f>
        <v>9.4207757335670319</v>
      </c>
      <c r="BR191" s="21">
        <f>EXP(-LN(2)/2)*BR190+(1-EXP(-LN(2)/2))/(LN(2)/2)*BL191*BO191*VLOOKUP('Données projet'!$B$11,Paramètres!$A$1:$I$89,3,0)*0.475*44/12</f>
        <v>5.9037168743618525E-4</v>
      </c>
      <c r="BS191" s="22">
        <f t="shared" si="169"/>
        <v>75.265973760488635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353.37479213497227</v>
      </c>
      <c r="CE191" s="59">
        <f t="shared" si="148"/>
        <v>345.4750813433123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6.1229563427820182</v>
      </c>
      <c r="CL191" s="21">
        <f>EXP(-LN(2)/25)*CL190+(1-EXP(-LN(2)/25))/(LN(2)/25)*Calculateur!CG191*Calculateur!CI191*VLOOKUP('Données projet'!$B$12,Paramètres!$A$1:$I$89,3,0)*0.475*44/12</f>
        <v>2.5696192251011372</v>
      </c>
      <c r="CM191" s="21">
        <f>EXP(-LN(2)/2)*CM190+(1-EXP(-LN(2)/2))/(LN(2)/2)*CG191*CJ191*VLOOKUP('Données projet'!$B$12,Paramètres!$A$1:$I$89,3,0)*0.475*44/12</f>
        <v>3.4650794014324444E-15</v>
      </c>
      <c r="CN191" s="22">
        <f t="shared" si="172"/>
        <v>8.6925755678831589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-7.3896444519050419E-13</v>
      </c>
      <c r="CU191" s="17">
        <f>CT191*VLOOKUP('Données projet'!$B$13,Paramètres!$A$1:$I$89,3,0)*VLOOKUP('Données projet'!$B$13,Paramètres!$A$1:$I$89,5,0)</f>
        <v>-3.5544189813663252E-13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314.18760071409162</v>
      </c>
      <c r="CZ191" s="59">
        <f t="shared" si="150"/>
        <v>267.72650645201787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21.762400761886113</v>
      </c>
      <c r="DG191" s="21">
        <f>EXP(-LN(2)/25)*DG190+(1-EXP(-LN(2)/25))/(LN(2)/25)*Calculateur!DB191*Calculateur!DD191*VLOOKUP('Données projet'!$B$13,Paramètres!$A$1:$I$89,3,0)*0.475*44/12</f>
        <v>3.0911431769044286</v>
      </c>
      <c r="DH191" s="21">
        <f>EXP(-LN(2)/2)*DH190+(1-EXP(-LN(2)/2))/(LN(2)/2)*DB191*DE191*VLOOKUP('Données projet'!$B$13,Paramètres!$A$1:$I$89,3,0)*0.475*44/12</f>
        <v>5.9615209952786113E-10</v>
      </c>
      <c r="DI191" s="22">
        <f t="shared" si="175"/>
        <v>24.853543939386693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-1.7053025658242404E-13</v>
      </c>
      <c r="DP191" s="17">
        <f>DO191*VLOOKUP('Données projet'!$B$14,Paramètres!$A$1:$I$89,3,0)*VLOOKUP('Données projet'!$B$14,Paramètres!$A$1:$I$89,5,0)</f>
        <v>-1.4897523215040567E-13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324.86930206492627</v>
      </c>
      <c r="DU191" s="59">
        <f t="shared" si="152"/>
        <v>317.03005098025352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5.4272237730886728</v>
      </c>
      <c r="EB191" s="21">
        <f>EXP(-LN(2)/25)*EB190+(1-EXP(-LN(2)/25))/(LN(2)/25)*Calculateur!DW191*Calculateur!DY191*VLOOKUP('Données projet'!$B$14,Paramètres!$A$1:$I$89,3,0)*0.475*44/12</f>
        <v>2.3288712418411524</v>
      </c>
      <c r="EC191" s="21">
        <f>EXP(-LN(2)/2)*EC190+(1-EXP(-LN(2)/2))/(LN(2)/2)*DW191*DZ191*VLOOKUP('Données projet'!$B$14,Paramètres!$A$1:$I$89,3,0)*0.475*44/12</f>
        <v>3.1683549683488907E-15</v>
      </c>
      <c r="ED191" s="22">
        <f t="shared" si="178"/>
        <v>7.7560950149298282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302.00825291248458</v>
      </c>
      <c r="T192" s="59">
        <f t="shared" si="142"/>
        <v>307.35115839449355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10.791829947914499</v>
      </c>
      <c r="AA192" s="21">
        <f>EXP(-LN(2)/25)*AA191+(1-EXP(-LN(2)/25))/(LN(2)/25)*Calculateur!V192*Calculateur!X192*VLOOKUP('Données projet'!$B$9,Paramètres!$A$1:$I$89,3,0)*0.475*44/12</f>
        <v>1.3548586827306126</v>
      </c>
      <c r="AB192" s="21">
        <f>EXP(-LN(2)/2)*AB191+(1-EXP(-LN(2)/2))/(LN(2)/2)*V192*Y192*VLOOKUP('Données projet'!$B$9,Paramètres!$A$1:$I$89,3,0)*0.475*44/12</f>
        <v>2.2984621383971115E-18</v>
      </c>
      <c r="AC192" s="22">
        <f t="shared" si="163"/>
        <v>12.146688630645112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5.0249582272954292E-14</v>
      </c>
      <c r="AK192" s="13">
        <f t="shared" si="164"/>
        <v>8.1784820119191593E-13</v>
      </c>
      <c r="AL192" s="20">
        <f t="shared" si="165"/>
        <v>1.5119369728679821E-12</v>
      </c>
      <c r="AM192" s="59">
        <f t="shared" si="113"/>
        <v>293.33333333333485</v>
      </c>
      <c r="AN192" s="59">
        <f ca="1">AVERAGE(OFFSET($AM$3,0,0,'Données projet'!$E$10+1,1))-AVERAGE(OFFSET($H$3,0,0,'Données projet'!$E$10+1,1))</f>
        <v>394.37446333077651</v>
      </c>
      <c r="AO192" s="59">
        <f t="shared" si="144"/>
        <v>335.44327961212963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23.862041113018062</v>
      </c>
      <c r="AV192" s="21">
        <f>EXP(-LN(2)/25)*AV191+(1-EXP(-LN(2)/25))/(LN(2)/25)*Calculateur!AQ192*Calculateur!AS192*VLOOKUP('Données projet'!$B$10,Paramètres!$A$1:$I$89,3,0)*0.475*44/12</f>
        <v>3.5011722660229161</v>
      </c>
      <c r="AW192" s="21">
        <f>EXP(-LN(2)/2)*AW191+(1-EXP(-LN(2)/2))/(LN(2)/2)*AQ192*AT192*VLOOKUP('Données projet'!$B$10,Paramètres!$A$1:$I$89,3,0)*0.475*44/12</f>
        <v>3.0853844186646999E-15</v>
      </c>
      <c r="AX192" s="21">
        <f t="shared" si="166"/>
        <v>27.363213379040982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5.4001247917767614E-13</v>
      </c>
      <c r="BE192" s="13">
        <f>BD192*VLOOKUP('Données projet'!$B$11,Paramètres!$A$1:$I$89,3,0)*VLOOKUP('Données projet'!$B$11,Paramètres!$A$1:$I$89,5,0)</f>
        <v>4.8860329115996133E-13</v>
      </c>
      <c r="BF192" s="13">
        <f t="shared" si="167"/>
        <v>6.1025862939685007E-12</v>
      </c>
      <c r="BG192" s="20">
        <f t="shared" si="168"/>
        <v>1.1479655194098737E-11</v>
      </c>
      <c r="BH192" s="59">
        <f t="shared" si="116"/>
        <v>293.3333333333448</v>
      </c>
      <c r="BI192" s="59">
        <f ca="1">AVERAGE(OFFSET($BH$3,0,0,'Données projet'!$E$11+1,1))-AVERAGE(OFFSET($H$3,0,0,'Données projet'!$E$11+1,1))</f>
        <v>490.06222615476065</v>
      </c>
      <c r="BJ192" s="59">
        <f t="shared" si="146"/>
        <v>310.43914804089906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64.553435060360101</v>
      </c>
      <c r="BQ192" s="21">
        <f>EXP(-LN(2)/25)*BQ191+(1-EXP(-LN(2)/25))/(LN(2)/25)*Calculateur!BL192*Calculateur!BN192*VLOOKUP('Données projet'!$B$11,Paramètres!$A$1:$I$89,3,0)*0.475*44/12</f>
        <v>9.1631641257155767</v>
      </c>
      <c r="BR192" s="21">
        <f>EXP(-LN(2)/2)*BR191+(1-EXP(-LN(2)/2))/(LN(2)/2)*BL192*BO192*VLOOKUP('Données projet'!$B$11,Paramètres!$A$1:$I$89,3,0)*0.475*44/12</f>
        <v>4.1745582360667148E-4</v>
      </c>
      <c r="BS192" s="22">
        <f t="shared" si="169"/>
        <v>73.717016641899292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353.37479213497227</v>
      </c>
      <c r="CE192" s="59">
        <f t="shared" si="148"/>
        <v>345.4750813433123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6.0028889035346671</v>
      </c>
      <c r="CL192" s="21">
        <f>EXP(-LN(2)/25)*CL191+(1-EXP(-LN(2)/25))/(LN(2)/25)*Calculateur!CG192*Calculateur!CI192*VLOOKUP('Données projet'!$B$12,Paramètres!$A$1:$I$89,3,0)*0.475*44/12</f>
        <v>2.4993528522603445</v>
      </c>
      <c r="CM192" s="21">
        <f>EXP(-LN(2)/2)*CM191+(1-EXP(-LN(2)/2))/(LN(2)/2)*CG192*CJ192*VLOOKUP('Données projet'!$B$12,Paramètres!$A$1:$I$89,3,0)*0.475*44/12</f>
        <v>2.4501811421027045E-15</v>
      </c>
      <c r="CN192" s="22">
        <f t="shared" si="172"/>
        <v>8.5022417557950138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-7.3896444519050419E-13</v>
      </c>
      <c r="CU192" s="17">
        <f>CT192*VLOOKUP('Données projet'!$B$13,Paramètres!$A$1:$I$89,3,0)*VLOOKUP('Données projet'!$B$13,Paramètres!$A$1:$I$89,5,0)</f>
        <v>-3.5544189813663252E-13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314.18760071409162</v>
      </c>
      <c r="CZ192" s="59">
        <f t="shared" si="150"/>
        <v>267.72650645201787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21.335653356699318</v>
      </c>
      <c r="DG192" s="21">
        <f>EXP(-LN(2)/25)*DG191+(1-EXP(-LN(2)/25))/(LN(2)/25)*Calculateur!DB192*Calculateur!DD192*VLOOKUP('Données projet'!$B$13,Paramètres!$A$1:$I$89,3,0)*0.475*44/12</f>
        <v>3.0066157041758221</v>
      </c>
      <c r="DH192" s="21">
        <f>EXP(-LN(2)/2)*DH191+(1-EXP(-LN(2)/2))/(LN(2)/2)*DB192*DE192*VLOOKUP('Données projet'!$B$13,Paramètres!$A$1:$I$89,3,0)*0.475*44/12</f>
        <v>4.215431921947482E-10</v>
      </c>
      <c r="DI192" s="22">
        <f t="shared" si="175"/>
        <v>24.342269061296683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-1.7053025658242404E-13</v>
      </c>
      <c r="DP192" s="17">
        <f>DO192*VLOOKUP('Données projet'!$B$14,Paramètres!$A$1:$I$89,3,0)*VLOOKUP('Données projet'!$B$14,Paramètres!$A$1:$I$89,5,0)</f>
        <v>-1.4897523215040567E-13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324.86930206492627</v>
      </c>
      <c r="DU192" s="59">
        <f t="shared" si="152"/>
        <v>317.03005098025352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5.3207992251780425</v>
      </c>
      <c r="EB192" s="21">
        <f>EXP(-LN(2)/25)*EB191+(1-EXP(-LN(2)/25))/(LN(2)/25)*Calculateur!DW192*Calculateur!DY192*VLOOKUP('Données projet'!$B$14,Paramètres!$A$1:$I$89,3,0)*0.475*44/12</f>
        <v>2.2651881352629903</v>
      </c>
      <c r="EC192" s="21">
        <f>EXP(-LN(2)/2)*EC191+(1-EXP(-LN(2)/2))/(LN(2)/2)*DW192*DZ192*VLOOKUP('Données projet'!$B$14,Paramètres!$A$1:$I$89,3,0)*0.475*44/12</f>
        <v>2.2403652833255897E-15</v>
      </c>
      <c r="ED192" s="22">
        <f t="shared" si="178"/>
        <v>7.5859873604410355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302.00825291248458</v>
      </c>
      <c r="T193" s="59">
        <f t="shared" si="142"/>
        <v>307.35115839449355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10.580208745002208</v>
      </c>
      <c r="AA193" s="21">
        <f>EXP(-LN(2)/25)*AA192+(1-EXP(-LN(2)/25))/(LN(2)/25)*Calculateur!V193*Calculateur!X193*VLOOKUP('Données projet'!$B$9,Paramètres!$A$1:$I$89,3,0)*0.475*44/12</f>
        <v>1.3178100008024225</v>
      </c>
      <c r="AB193" s="21">
        <f>EXP(-LN(2)/2)*AB192+(1-EXP(-LN(2)/2))/(LN(2)/2)*V193*Y193*VLOOKUP('Données projet'!$B$9,Paramètres!$A$1:$I$89,3,0)*0.475*44/12</f>
        <v>1.6252581643611304E-18</v>
      </c>
      <c r="AC193" s="22">
        <f t="shared" si="163"/>
        <v>11.898018745804631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5.0249582272954292E-14</v>
      </c>
      <c r="AK193" s="13">
        <f t="shared" si="164"/>
        <v>8.1784820119191593E-13</v>
      </c>
      <c r="AL193" s="20">
        <f t="shared" si="165"/>
        <v>1.5119369728679821E-12</v>
      </c>
      <c r="AM193" s="59">
        <f t="shared" si="113"/>
        <v>293.33333333333485</v>
      </c>
      <c r="AN193" s="59">
        <f ca="1">AVERAGE(OFFSET($AM$3,0,0,'Données projet'!$E$10+1,1))-AVERAGE(OFFSET($H$3,0,0,'Données projet'!$E$10+1,1))</f>
        <v>394.37446333077651</v>
      </c>
      <c r="AO193" s="59">
        <f t="shared" si="144"/>
        <v>335.44327961212963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23.394121041199728</v>
      </c>
      <c r="AV193" s="21">
        <f>EXP(-LN(2)/25)*AV192+(1-EXP(-LN(2)/25))/(LN(2)/25)*Calculateur!AQ193*Calculateur!AS193*VLOOKUP('Données projet'!$B$10,Paramètres!$A$1:$I$89,3,0)*0.475*44/12</f>
        <v>3.4054325262898719</v>
      </c>
      <c r="AW193" s="21">
        <f>EXP(-LN(2)/2)*AW192+(1-EXP(-LN(2)/2))/(LN(2)/2)*AQ193*AT193*VLOOKUP('Données projet'!$B$10,Paramètres!$A$1:$I$89,3,0)*0.475*44/12</f>
        <v>2.1816962450051231E-15</v>
      </c>
      <c r="AX193" s="21">
        <f t="shared" si="166"/>
        <v>26.799553567489603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5.4001247917767614E-13</v>
      </c>
      <c r="BE193" s="13">
        <f>BD193*VLOOKUP('Données projet'!$B$11,Paramètres!$A$1:$I$89,3,0)*VLOOKUP('Données projet'!$B$11,Paramètres!$A$1:$I$89,5,0)</f>
        <v>4.8860329115996133E-13</v>
      </c>
      <c r="BF193" s="13">
        <f t="shared" si="167"/>
        <v>6.1025862939685007E-12</v>
      </c>
      <c r="BG193" s="20">
        <f t="shared" si="168"/>
        <v>1.1479655194098737E-11</v>
      </c>
      <c r="BH193" s="59">
        <f t="shared" si="116"/>
        <v>293.3333333333448</v>
      </c>
      <c r="BI193" s="59">
        <f ca="1">AVERAGE(OFFSET($BH$3,0,0,'Données projet'!$E$11+1,1))-AVERAGE(OFFSET($H$3,0,0,'Données projet'!$E$11+1,1))</f>
        <v>490.06222615476065</v>
      </c>
      <c r="BJ193" s="59">
        <f t="shared" si="146"/>
        <v>310.43914804089906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63.287581572533995</v>
      </c>
      <c r="BQ193" s="21">
        <f>EXP(-LN(2)/25)*BQ192+(1-EXP(-LN(2)/25))/(LN(2)/25)*Calculateur!BL193*Calculateur!BN193*VLOOKUP('Données projet'!$B$11,Paramètres!$A$1:$I$89,3,0)*0.475*44/12</f>
        <v>8.912596920828026</v>
      </c>
      <c r="BR193" s="21">
        <f>EXP(-LN(2)/2)*BR192+(1-EXP(-LN(2)/2))/(LN(2)/2)*BL193*BO193*VLOOKUP('Données projet'!$B$11,Paramètres!$A$1:$I$89,3,0)*0.475*44/12</f>
        <v>2.9518584371809262E-4</v>
      </c>
      <c r="BS193" s="22">
        <f t="shared" si="169"/>
        <v>72.200473679205729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353.37479213497227</v>
      </c>
      <c r="CE193" s="59">
        <f t="shared" si="148"/>
        <v>345.4750813433123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5.8851759135370498</v>
      </c>
      <c r="CL193" s="21">
        <f>EXP(-LN(2)/25)*CL192+(1-EXP(-LN(2)/25))/(LN(2)/25)*Calculateur!CG193*Calculateur!CI193*VLOOKUP('Données projet'!$B$12,Paramètres!$A$1:$I$89,3,0)*0.475*44/12</f>
        <v>2.4310079170800312</v>
      </c>
      <c r="CM193" s="21">
        <f>EXP(-LN(2)/2)*CM192+(1-EXP(-LN(2)/2))/(LN(2)/2)*CG193*CJ193*VLOOKUP('Données projet'!$B$12,Paramètres!$A$1:$I$89,3,0)*0.475*44/12</f>
        <v>1.7325397007162222E-15</v>
      </c>
      <c r="CN193" s="22">
        <f t="shared" si="172"/>
        <v>8.3161838306170832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-7.3896444519050419E-13</v>
      </c>
      <c r="CU193" s="17">
        <f>CT193*VLOOKUP('Données projet'!$B$13,Paramètres!$A$1:$I$89,3,0)*VLOOKUP('Données projet'!$B$13,Paramètres!$A$1:$I$89,5,0)</f>
        <v>-3.5544189813663252E-13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314.18760071409162</v>
      </c>
      <c r="CZ193" s="59">
        <f t="shared" si="150"/>
        <v>267.72650645201787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20.91727420783802</v>
      </c>
      <c r="DG193" s="21">
        <f>EXP(-LN(2)/25)*DG192+(1-EXP(-LN(2)/25))/(LN(2)/25)*Calculateur!DB193*Calculateur!DD193*VLOOKUP('Données projet'!$B$13,Paramètres!$A$1:$I$89,3,0)*0.475*44/12</f>
        <v>2.9243996396340859</v>
      </c>
      <c r="DH193" s="21">
        <f>EXP(-LN(2)/2)*DH192+(1-EXP(-LN(2)/2))/(LN(2)/2)*DB193*DE193*VLOOKUP('Données projet'!$B$13,Paramètres!$A$1:$I$89,3,0)*0.475*44/12</f>
        <v>2.9807604976393056E-10</v>
      </c>
      <c r="DI193" s="22">
        <f t="shared" si="175"/>
        <v>23.841673847770181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-1.7053025658242404E-13</v>
      </c>
      <c r="DP193" s="17">
        <f>DO193*VLOOKUP('Données projet'!$B$14,Paramètres!$A$1:$I$89,3,0)*VLOOKUP('Données projet'!$B$14,Paramètres!$A$1:$I$89,5,0)</f>
        <v>-1.4897523215040567E-13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324.86930206492627</v>
      </c>
      <c r="DU193" s="59">
        <f t="shared" si="152"/>
        <v>317.03005098025352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5.2164615977393751</v>
      </c>
      <c r="EB193" s="21">
        <f>EXP(-LN(2)/25)*EB192+(1-EXP(-LN(2)/25))/(LN(2)/25)*Calculateur!DW193*Calculateur!DY193*VLOOKUP('Données projet'!$B$14,Paramètres!$A$1:$I$89,3,0)*0.475*44/12</f>
        <v>2.2032464465831572</v>
      </c>
      <c r="EC193" s="21">
        <f>EXP(-LN(2)/2)*EC192+(1-EXP(-LN(2)/2))/(LN(2)/2)*DW193*DZ193*VLOOKUP('Données projet'!$B$14,Paramètres!$A$1:$I$89,3,0)*0.475*44/12</f>
        <v>1.5841774841744453E-15</v>
      </c>
      <c r="ED193" s="22">
        <f t="shared" si="178"/>
        <v>7.4197080443225341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302.00825291248458</v>
      </c>
      <c r="T194" s="59">
        <f t="shared" si="142"/>
        <v>307.35115839449355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10.37273730480284</v>
      </c>
      <c r="AA194" s="21">
        <f>EXP(-LN(2)/25)*AA193+(1-EXP(-LN(2)/25))/(LN(2)/25)*Calculateur!V194*Calculateur!X194*VLOOKUP('Données projet'!$B$9,Paramètres!$A$1:$I$89,3,0)*0.475*44/12</f>
        <v>1.2817744170298642</v>
      </c>
      <c r="AB194" s="21">
        <f>EXP(-LN(2)/2)*AB193+(1-EXP(-LN(2)/2))/(LN(2)/2)*V194*Y194*VLOOKUP('Données projet'!$B$9,Paramètres!$A$1:$I$89,3,0)*0.475*44/12</f>
        <v>1.1492310691985557E-18</v>
      </c>
      <c r="AC194" s="22">
        <f t="shared" si="163"/>
        <v>11.654511721832703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5.0249582272954292E-14</v>
      </c>
      <c r="AK194" s="13">
        <f t="shared" si="164"/>
        <v>8.1784820119191593E-13</v>
      </c>
      <c r="AL194" s="20">
        <f t="shared" si="165"/>
        <v>1.5119369728679821E-12</v>
      </c>
      <c r="AM194" s="59">
        <f t="shared" si="113"/>
        <v>293.33333333333485</v>
      </c>
      <c r="AN194" s="59">
        <f ca="1">AVERAGE(OFFSET($AM$3,0,0,'Données projet'!$E$10+1,1))-AVERAGE(OFFSET($H$3,0,0,'Données projet'!$E$10+1,1))</f>
        <v>394.37446333077651</v>
      </c>
      <c r="AO194" s="59">
        <f t="shared" si="144"/>
        <v>335.44327961212963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22.935376596586689</v>
      </c>
      <c r="AV194" s="21">
        <f>EXP(-LN(2)/25)*AV193+(1-EXP(-LN(2)/25))/(LN(2)/25)*Calculateur!AQ194*Calculateur!AS194*VLOOKUP('Données projet'!$B$10,Paramètres!$A$1:$I$89,3,0)*0.475*44/12</f>
        <v>3.3123107947745623</v>
      </c>
      <c r="AW194" s="21">
        <f>EXP(-LN(2)/2)*AW193+(1-EXP(-LN(2)/2))/(LN(2)/2)*AQ194*AT194*VLOOKUP('Données projet'!$B$10,Paramètres!$A$1:$I$89,3,0)*0.475*44/12</f>
        <v>1.54269220933235E-15</v>
      </c>
      <c r="AX194" s="21">
        <f t="shared" si="166"/>
        <v>26.24768739136125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5.4001247917767614E-13</v>
      </c>
      <c r="BE194" s="13">
        <f>BD194*VLOOKUP('Données projet'!$B$11,Paramètres!$A$1:$I$89,3,0)*VLOOKUP('Données projet'!$B$11,Paramètres!$A$1:$I$89,5,0)</f>
        <v>4.8860329115996133E-13</v>
      </c>
      <c r="BF194" s="13">
        <f t="shared" si="167"/>
        <v>6.1025862939685007E-12</v>
      </c>
      <c r="BG194" s="20">
        <f t="shared" si="168"/>
        <v>1.1479655194098737E-11</v>
      </c>
      <c r="BH194" s="59">
        <f t="shared" si="116"/>
        <v>293.3333333333448</v>
      </c>
      <c r="BI194" s="59">
        <f ca="1">AVERAGE(OFFSET($BH$3,0,0,'Données projet'!$E$11+1,1))-AVERAGE(OFFSET($H$3,0,0,'Données projet'!$E$11+1,1))</f>
        <v>490.06222615476065</v>
      </c>
      <c r="BJ194" s="59">
        <f t="shared" si="146"/>
        <v>310.43914804089906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62.046550699509773</v>
      </c>
      <c r="BQ194" s="21">
        <f>EXP(-LN(2)/25)*BQ193+(1-EXP(-LN(2)/25))/(LN(2)/25)*Calculateur!BL194*Calculateur!BN194*VLOOKUP('Données projet'!$B$11,Paramètres!$A$1:$I$89,3,0)*0.475*44/12</f>
        <v>8.6688814893348809</v>
      </c>
      <c r="BR194" s="21">
        <f>EXP(-LN(2)/2)*BR193+(1-EXP(-LN(2)/2))/(LN(2)/2)*BL194*BO194*VLOOKUP('Données projet'!$B$11,Paramètres!$A$1:$I$89,3,0)*0.475*44/12</f>
        <v>2.0872791180333574E-4</v>
      </c>
      <c r="BS194" s="22">
        <f t="shared" si="169"/>
        <v>70.715640916756456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353.37479213497227</v>
      </c>
      <c r="CE194" s="59">
        <f t="shared" si="148"/>
        <v>345.4750813433123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5.769771203475452</v>
      </c>
      <c r="CL194" s="21">
        <f>EXP(-LN(2)/25)*CL193+(1-EXP(-LN(2)/25))/(LN(2)/25)*Calculateur!CG194*Calculateur!CI194*VLOOKUP('Données projet'!$B$12,Paramètres!$A$1:$I$89,3,0)*0.475*44/12</f>
        <v>2.3645318777463276</v>
      </c>
      <c r="CM194" s="21">
        <f>EXP(-LN(2)/2)*CM193+(1-EXP(-LN(2)/2))/(LN(2)/2)*CG194*CJ194*VLOOKUP('Données projet'!$B$12,Paramètres!$A$1:$I$89,3,0)*0.475*44/12</f>
        <v>1.2250905710513523E-15</v>
      </c>
      <c r="CN194" s="22">
        <f t="shared" si="172"/>
        <v>8.1343030812217823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-7.3896444519050419E-13</v>
      </c>
      <c r="CU194" s="17">
        <f>CT194*VLOOKUP('Données projet'!$B$13,Paramètres!$A$1:$I$89,3,0)*VLOOKUP('Données projet'!$B$13,Paramètres!$A$1:$I$89,5,0)</f>
        <v>-3.5544189813663252E-13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314.18760071409162</v>
      </c>
      <c r="CZ194" s="59">
        <f t="shared" si="150"/>
        <v>267.72650645201787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20.507099218899807</v>
      </c>
      <c r="DG194" s="21">
        <f>EXP(-LN(2)/25)*DG193+(1-EXP(-LN(2)/25))/(LN(2)/25)*Calculateur!DB194*Calculateur!DD194*VLOOKUP('Données projet'!$B$13,Paramètres!$A$1:$I$89,3,0)*0.475*44/12</f>
        <v>2.8444317777007986</v>
      </c>
      <c r="DH194" s="21">
        <f>EXP(-LN(2)/2)*DH193+(1-EXP(-LN(2)/2))/(LN(2)/2)*DB194*DE194*VLOOKUP('Données projet'!$B$13,Paramètres!$A$1:$I$89,3,0)*0.475*44/12</f>
        <v>2.107715960973741E-10</v>
      </c>
      <c r="DI194" s="22">
        <f t="shared" si="175"/>
        <v>23.351530996811377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-1.7053025658242404E-13</v>
      </c>
      <c r="DP194" s="17">
        <f>DO194*VLOOKUP('Données projet'!$B$14,Paramètres!$A$1:$I$89,3,0)*VLOOKUP('Données projet'!$B$14,Paramètres!$A$1:$I$89,5,0)</f>
        <v>-1.4897523215040567E-13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324.86930206492627</v>
      </c>
      <c r="DU194" s="59">
        <f t="shared" si="152"/>
        <v>317.03005098025352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5.1141699675351111</v>
      </c>
      <c r="EB194" s="21">
        <f>EXP(-LN(2)/25)*EB193+(1-EXP(-LN(2)/25))/(LN(2)/25)*Calculateur!DW194*Calculateur!DY194*VLOOKUP('Données projet'!$B$14,Paramètres!$A$1:$I$89,3,0)*0.475*44/12</f>
        <v>2.1429985566376457</v>
      </c>
      <c r="EC194" s="21">
        <f>EXP(-LN(2)/2)*EC193+(1-EXP(-LN(2)/2))/(LN(2)/2)*DW194*DZ194*VLOOKUP('Données projet'!$B$14,Paramètres!$A$1:$I$89,3,0)*0.475*44/12</f>
        <v>1.1201826416627948E-15</v>
      </c>
      <c r="ED194" s="22">
        <f t="shared" si="178"/>
        <v>7.2571685241727577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302.00825291248458</v>
      </c>
      <c r="T195" s="59">
        <f t="shared" si="142"/>
        <v>307.35115839449355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10.169334253000697</v>
      </c>
      <c r="AA195" s="21">
        <f>EXP(-LN(2)/25)*AA194+(1-EXP(-LN(2)/25))/(LN(2)/25)*Calculateur!V195*Calculateur!X195*VLOOKUP('Données projet'!$B$9,Paramètres!$A$1:$I$89,3,0)*0.475*44/12</f>
        <v>1.2467242281905955</v>
      </c>
      <c r="AB195" s="21">
        <f>EXP(-LN(2)/2)*AB194+(1-EXP(-LN(2)/2))/(LN(2)/2)*V195*Y195*VLOOKUP('Données projet'!$B$9,Paramètres!$A$1:$I$89,3,0)*0.475*44/12</f>
        <v>8.1262908218056521E-19</v>
      </c>
      <c r="AC195" s="22">
        <f t="shared" si="163"/>
        <v>11.416058481191293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5.0249582272954292E-14</v>
      </c>
      <c r="AK195" s="13">
        <f t="shared" si="164"/>
        <v>8.1784820119191593E-13</v>
      </c>
      <c r="AL195" s="20">
        <f t="shared" si="165"/>
        <v>1.5119369728679821E-12</v>
      </c>
      <c r="AM195" s="59">
        <f t="shared" si="113"/>
        <v>293.33333333333485</v>
      </c>
      <c r="AN195" s="59">
        <f ca="1">AVERAGE(OFFSET($AM$3,0,0,'Données projet'!$E$10+1,1))-AVERAGE(OFFSET($H$3,0,0,'Données projet'!$E$10+1,1))</f>
        <v>394.37446333077651</v>
      </c>
      <c r="AO195" s="59">
        <f t="shared" si="144"/>
        <v>335.44327961212963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22.485627850726029</v>
      </c>
      <c r="AV195" s="21">
        <f>EXP(-LN(2)/25)*AV194+(1-EXP(-LN(2)/25))/(LN(2)/25)*Calculateur!AQ195*Calculateur!AS195*VLOOKUP('Données projet'!$B$10,Paramètres!$A$1:$I$89,3,0)*0.475*44/12</f>
        <v>3.2217354819045974</v>
      </c>
      <c r="AW195" s="21">
        <f>EXP(-LN(2)/2)*AW194+(1-EXP(-LN(2)/2))/(LN(2)/2)*AQ195*AT195*VLOOKUP('Données projet'!$B$10,Paramètres!$A$1:$I$89,3,0)*0.475*44/12</f>
        <v>1.0908481225025615E-15</v>
      </c>
      <c r="AX195" s="21">
        <f t="shared" si="166"/>
        <v>25.707363332630628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5.4001247917767614E-13</v>
      </c>
      <c r="BE195" s="13">
        <f>BD195*VLOOKUP('Données projet'!$B$11,Paramètres!$A$1:$I$89,3,0)*VLOOKUP('Données projet'!$B$11,Paramètres!$A$1:$I$89,5,0)</f>
        <v>4.8860329115996133E-13</v>
      </c>
      <c r="BF195" s="13">
        <f t="shared" si="167"/>
        <v>6.1025862939685007E-12</v>
      </c>
      <c r="BG195" s="20">
        <f t="shared" si="168"/>
        <v>1.1479655194098737E-11</v>
      </c>
      <c r="BH195" s="59">
        <f t="shared" si="116"/>
        <v>293.3333333333448</v>
      </c>
      <c r="BI195" s="59">
        <f ca="1">AVERAGE(OFFSET($BH$3,0,0,'Données projet'!$E$11+1,1))-AVERAGE(OFFSET($H$3,0,0,'Données projet'!$E$11+1,1))</f>
        <v>490.06222615476065</v>
      </c>
      <c r="BJ195" s="59">
        <f t="shared" si="146"/>
        <v>310.43914804089906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60.829855684951461</v>
      </c>
      <c r="BQ195" s="21">
        <f>EXP(-LN(2)/25)*BQ194+(1-EXP(-LN(2)/25))/(LN(2)/25)*Calculateur!BL195*Calculateur!BN195*VLOOKUP('Données projet'!$B$11,Paramètres!$A$1:$I$89,3,0)*0.475*44/12</f>
        <v>8.431830469132354</v>
      </c>
      <c r="BR195" s="21">
        <f>EXP(-LN(2)/2)*BR194+(1-EXP(-LN(2)/2))/(LN(2)/2)*BL195*BO195*VLOOKUP('Données projet'!$B$11,Paramètres!$A$1:$I$89,3,0)*0.475*44/12</f>
        <v>1.4759292185904631E-4</v>
      </c>
      <c r="BS195" s="22">
        <f t="shared" si="169"/>
        <v>69.261833747005682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353.37479213497227</v>
      </c>
      <c r="CE195" s="59">
        <f t="shared" si="148"/>
        <v>345.4750813433123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5.6566295093882388</v>
      </c>
      <c r="CL195" s="21">
        <f>EXP(-LN(2)/25)*CL194+(1-EXP(-LN(2)/25))/(LN(2)/25)*Calculateur!CG195*Calculateur!CI195*VLOOKUP('Données projet'!$B$12,Paramètres!$A$1:$I$89,3,0)*0.475*44/12</f>
        <v>2.2998736292040269</v>
      </c>
      <c r="CM195" s="21">
        <f>EXP(-LN(2)/2)*CM194+(1-EXP(-LN(2)/2))/(LN(2)/2)*CG195*CJ195*VLOOKUP('Données projet'!$B$12,Paramètres!$A$1:$I$89,3,0)*0.475*44/12</f>
        <v>8.662698503581111E-16</v>
      </c>
      <c r="CN195" s="22">
        <f t="shared" si="172"/>
        <v>7.9565031385922671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-7.3896444519050419E-13</v>
      </c>
      <c r="CU195" s="17">
        <f>CT195*VLOOKUP('Données projet'!$B$13,Paramètres!$A$1:$I$89,3,0)*VLOOKUP('Données projet'!$B$13,Paramètres!$A$1:$I$89,5,0)</f>
        <v>-3.5544189813663252E-13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314.18760071409162</v>
      </c>
      <c r="CZ195" s="59">
        <f t="shared" si="150"/>
        <v>267.72650645201787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20.104967511312633</v>
      </c>
      <c r="DG195" s="21">
        <f>EXP(-LN(2)/25)*DG194+(1-EXP(-LN(2)/25))/(LN(2)/25)*Calculateur!DB195*Calculateur!DD195*VLOOKUP('Données projet'!$B$13,Paramètres!$A$1:$I$89,3,0)*0.475*44/12</f>
        <v>2.7666506411574039</v>
      </c>
      <c r="DH195" s="21">
        <f>EXP(-LN(2)/2)*DH194+(1-EXP(-LN(2)/2))/(LN(2)/2)*DB195*DE195*VLOOKUP('Données projet'!$B$13,Paramètres!$A$1:$I$89,3,0)*0.475*44/12</f>
        <v>1.4903802488196528E-10</v>
      </c>
      <c r="DI195" s="22">
        <f t="shared" si="175"/>
        <v>22.871618152619074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-1.7053025658242404E-13</v>
      </c>
      <c r="DP195" s="17">
        <f>DO195*VLOOKUP('Données projet'!$B$14,Paramètres!$A$1:$I$89,3,0)*VLOOKUP('Données projet'!$B$14,Paramètres!$A$1:$I$89,5,0)</f>
        <v>-1.4897523215040567E-13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324.86930206492627</v>
      </c>
      <c r="DU195" s="59">
        <f t="shared" si="152"/>
        <v>317.03005098025352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5.0138842138074189</v>
      </c>
      <c r="EB195" s="21">
        <f>EXP(-LN(2)/25)*EB194+(1-EXP(-LN(2)/25))/(LN(2)/25)*Calculateur!DW195*Calculateur!DY195*VLOOKUP('Données projet'!$B$14,Paramètres!$A$1:$I$89,3,0)*0.475*44/12</f>
        <v>2.084398148410993</v>
      </c>
      <c r="EC195" s="21">
        <f>EXP(-LN(2)/2)*EC194+(1-EXP(-LN(2)/2))/(LN(2)/2)*DW195*DZ195*VLOOKUP('Données projet'!$B$14,Paramètres!$A$1:$I$89,3,0)*0.475*44/12</f>
        <v>7.9208874208722266E-16</v>
      </c>
      <c r="ED195" s="22">
        <f t="shared" si="178"/>
        <v>7.0982823622184128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302.00825291248458</v>
      </c>
      <c r="T196" s="59">
        <f t="shared" si="142"/>
        <v>307.35115839449355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9.9699198109807838</v>
      </c>
      <c r="AA196" s="21">
        <f>EXP(-LN(2)/25)*AA195+(1-EXP(-LN(2)/25))/(LN(2)/25)*Calculateur!V196*Calculateur!X196*VLOOKUP('Données projet'!$B$9,Paramètres!$A$1:$I$89,3,0)*0.475*44/12</f>
        <v>1.2126324886083459</v>
      </c>
      <c r="AB196" s="21">
        <f>EXP(-LN(2)/2)*AB195+(1-EXP(-LN(2)/2))/(LN(2)/2)*V196*Y196*VLOOKUP('Données projet'!$B$9,Paramètres!$A$1:$I$89,3,0)*0.475*44/12</f>
        <v>5.7461553459927786E-19</v>
      </c>
      <c r="AC196" s="22">
        <f t="shared" si="163"/>
        <v>11.18255229958913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5.0249582272954292E-14</v>
      </c>
      <c r="AK196" s="13">
        <f t="shared" si="164"/>
        <v>8.1784820119191593E-13</v>
      </c>
      <c r="AL196" s="20">
        <f t="shared" si="165"/>
        <v>1.5119369728679821E-12</v>
      </c>
      <c r="AM196" s="59">
        <f t="shared" ref="AM196:AM203" si="193">AL196+(AD196+AE196)*44/12</f>
        <v>293.33333333333485</v>
      </c>
      <c r="AN196" s="59">
        <f ca="1">AVERAGE(OFFSET($AM$3,0,0,'Données projet'!$E$10+1,1))-AVERAGE(OFFSET($H$3,0,0,'Données projet'!$E$10+1,1))</f>
        <v>394.37446333077651</v>
      </c>
      <c r="AO196" s="59">
        <f t="shared" si="144"/>
        <v>335.44327961212963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22.044698403452049</v>
      </c>
      <c r="AV196" s="21">
        <f>EXP(-LN(2)/25)*AV195+(1-EXP(-LN(2)/25))/(LN(2)/25)*Calculateur!AQ196*Calculateur!AS196*VLOOKUP('Données projet'!$B$10,Paramètres!$A$1:$I$89,3,0)*0.475*44/12</f>
        <v>3.1336369557282104</v>
      </c>
      <c r="AW196" s="21">
        <f>EXP(-LN(2)/2)*AW195+(1-EXP(-LN(2)/2))/(LN(2)/2)*AQ196*AT196*VLOOKUP('Données projet'!$B$10,Paramètres!$A$1:$I$89,3,0)*0.475*44/12</f>
        <v>7.7134610466617498E-16</v>
      </c>
      <c r="AX196" s="21">
        <f t="shared" si="166"/>
        <v>25.178335359180259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5.4001247917767614E-13</v>
      </c>
      <c r="BE196" s="13">
        <f>BD196*VLOOKUP('Données projet'!$B$11,Paramètres!$A$1:$I$89,3,0)*VLOOKUP('Données projet'!$B$11,Paramètres!$A$1:$I$89,5,0)</f>
        <v>4.8860329115996133E-13</v>
      </c>
      <c r="BF196" s="13">
        <f t="shared" si="167"/>
        <v>6.1025862939685007E-12</v>
      </c>
      <c r="BG196" s="20">
        <f t="shared" si="168"/>
        <v>1.1479655194098737E-11</v>
      </c>
      <c r="BH196" s="59">
        <f t="shared" ref="BH196:BH203" si="194">BG196+(AY196+AZ196)*44/12</f>
        <v>293.3333333333448</v>
      </c>
      <c r="BI196" s="59">
        <f ca="1">AVERAGE(OFFSET($BH$3,0,0,'Données projet'!$E$11+1,1))-AVERAGE(OFFSET($H$3,0,0,'Données projet'!$E$11+1,1))</f>
        <v>490.06222615476065</v>
      </c>
      <c r="BJ196" s="59">
        <f t="shared" si="146"/>
        <v>310.43914804089906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59.637019317517961</v>
      </c>
      <c r="BQ196" s="21">
        <f>EXP(-LN(2)/25)*BQ195+(1-EXP(-LN(2)/25))/(LN(2)/25)*Calculateur!BL196*Calculateur!BN196*VLOOKUP('Données projet'!$B$11,Paramètres!$A$1:$I$89,3,0)*0.475*44/12</f>
        <v>8.201261621543237</v>
      </c>
      <c r="BR196" s="21">
        <f>EXP(-LN(2)/2)*BR195+(1-EXP(-LN(2)/2))/(LN(2)/2)*BL196*BO196*VLOOKUP('Données projet'!$B$11,Paramètres!$A$1:$I$89,3,0)*0.475*44/12</f>
        <v>1.0436395590166787E-4</v>
      </c>
      <c r="BS196" s="22">
        <f t="shared" si="169"/>
        <v>67.838385303017091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353.37479213497227</v>
      </c>
      <c r="CE196" s="59">
        <f t="shared" si="148"/>
        <v>345.4750813433123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5.5457064549124571</v>
      </c>
      <c r="CL196" s="21">
        <f>EXP(-LN(2)/25)*CL195+(1-EXP(-LN(2)/25))/(LN(2)/25)*Calculateur!CG196*Calculateur!CI196*VLOOKUP('Données projet'!$B$12,Paramètres!$A$1:$I$89,3,0)*0.475*44/12</f>
        <v>2.236983463868345</v>
      </c>
      <c r="CM196" s="21">
        <f>EXP(-LN(2)/2)*CM195+(1-EXP(-LN(2)/2))/(LN(2)/2)*CG196*CJ196*VLOOKUP('Données projet'!$B$12,Paramètres!$A$1:$I$89,3,0)*0.475*44/12</f>
        <v>6.1254528552567613E-16</v>
      </c>
      <c r="CN196" s="22">
        <f t="shared" si="172"/>
        <v>7.782689918780803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-7.3896444519050419E-13</v>
      </c>
      <c r="CU196" s="17">
        <f>CT196*VLOOKUP('Données projet'!$B$13,Paramètres!$A$1:$I$89,3,0)*VLOOKUP('Données projet'!$B$13,Paramètres!$A$1:$I$89,5,0)</f>
        <v>-3.5544189813663252E-13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314.18760071409162</v>
      </c>
      <c r="CZ196" s="59">
        <f t="shared" si="150"/>
        <v>267.72650645201787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19.710721361235123</v>
      </c>
      <c r="DG196" s="21">
        <f>EXP(-LN(2)/25)*DG195+(1-EXP(-LN(2)/25))/(LN(2)/25)*Calculateur!DB196*Calculateur!DD196*VLOOKUP('Données projet'!$B$13,Paramètres!$A$1:$I$89,3,0)*0.475*44/12</f>
        <v>2.6909964338831207</v>
      </c>
      <c r="DH196" s="21">
        <f>EXP(-LN(2)/2)*DH195+(1-EXP(-LN(2)/2))/(LN(2)/2)*DB196*DE196*VLOOKUP('Données projet'!$B$13,Paramètres!$A$1:$I$89,3,0)*0.475*44/12</f>
        <v>1.0538579804868705E-10</v>
      </c>
      <c r="DI196" s="22">
        <f t="shared" si="175"/>
        <v>22.401717795223629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-1.7053025658242404E-13</v>
      </c>
      <c r="DP196" s="17">
        <f>DO196*VLOOKUP('Données projet'!$B$14,Paramètres!$A$1:$I$89,3,0)*VLOOKUP('Données projet'!$B$14,Paramètres!$A$1:$I$89,5,0)</f>
        <v>-1.4897523215040567E-13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324.86930206492627</v>
      </c>
      <c r="DU196" s="59">
        <f t="shared" si="152"/>
        <v>317.03005098025352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4.9155650025420572</v>
      </c>
      <c r="EB196" s="21">
        <f>EXP(-LN(2)/25)*EB195+(1-EXP(-LN(2)/25))/(LN(2)/25)*Calculateur!DW196*Calculateur!DY196*VLOOKUP('Données projet'!$B$14,Paramètres!$A$1:$I$89,3,0)*0.475*44/12</f>
        <v>2.0274001714289596</v>
      </c>
      <c r="EC196" s="21">
        <f>EXP(-LN(2)/2)*EC195+(1-EXP(-LN(2)/2))/(LN(2)/2)*DW196*DZ196*VLOOKUP('Données projet'!$B$14,Paramètres!$A$1:$I$89,3,0)*0.475*44/12</f>
        <v>5.6009132083139742E-16</v>
      </c>
      <c r="ED196" s="22">
        <f t="shared" si="178"/>
        <v>6.9429651739710172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302.00825291248458</v>
      </c>
      <c r="T197" s="59">
        <f t="shared" ref="T197:T203" si="204">$T$3</f>
        <v>307.35115839449355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9.774415764538082</v>
      </c>
      <c r="AA197" s="21">
        <f>EXP(-LN(2)/25)*AA196+(1-EXP(-LN(2)/25))/(LN(2)/25)*Calculateur!V197*Calculateur!X197*VLOOKUP('Données projet'!$B$9,Paramètres!$A$1:$I$89,3,0)*0.475*44/12</f>
        <v>1.1794729894377796</v>
      </c>
      <c r="AB197" s="21">
        <f>EXP(-LN(2)/2)*AB196+(1-EXP(-LN(2)/2))/(LN(2)/2)*V197*Y197*VLOOKUP('Données projet'!$B$9,Paramètres!$A$1:$I$89,3,0)*0.475*44/12</f>
        <v>4.063145410902826E-19</v>
      </c>
      <c r="AC197" s="22">
        <f t="shared" si="163"/>
        <v>10.953888753975862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5.0249582272954292E-14</v>
      </c>
      <c r="AK197" s="13">
        <f t="shared" si="164"/>
        <v>8.1784820119191593E-13</v>
      </c>
      <c r="AL197" s="20">
        <f t="shared" si="165"/>
        <v>1.5119369728679821E-12</v>
      </c>
      <c r="AM197" s="59">
        <f t="shared" si="193"/>
        <v>293.33333333333485</v>
      </c>
      <c r="AN197" s="59">
        <f ca="1">AVERAGE(OFFSET($AM$3,0,0,'Données projet'!$E$10+1,1))-AVERAGE(OFFSET($H$3,0,0,'Données projet'!$E$10+1,1))</f>
        <v>394.37446333077651</v>
      </c>
      <c r="AO197" s="59">
        <f t="shared" ref="AO197:AO203" si="205">$AO$3</f>
        <v>335.44327961212963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21.612415313698705</v>
      </c>
      <c r="AV197" s="21">
        <f>EXP(-LN(2)/25)*AV196+(1-EXP(-LN(2)/25))/(LN(2)/25)*Calculateur!AQ197*Calculateur!AS197*VLOOKUP('Données projet'!$B$10,Paramètres!$A$1:$I$89,3,0)*0.475*44/12</f>
        <v>3.0479474883830169</v>
      </c>
      <c r="AW197" s="21">
        <f>EXP(-LN(2)/2)*AW196+(1-EXP(-LN(2)/2))/(LN(2)/2)*AQ197*AT197*VLOOKUP('Données projet'!$B$10,Paramètres!$A$1:$I$89,3,0)*0.475*44/12</f>
        <v>5.4542406125128077E-16</v>
      </c>
      <c r="AX197" s="21">
        <f t="shared" si="166"/>
        <v>24.660362802081721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5.4001247917767614E-13</v>
      </c>
      <c r="BE197" s="13">
        <f>BD197*VLOOKUP('Données projet'!$B$11,Paramètres!$A$1:$I$89,3,0)*VLOOKUP('Données projet'!$B$11,Paramètres!$A$1:$I$89,5,0)</f>
        <v>4.8860329115996133E-13</v>
      </c>
      <c r="BF197" s="13">
        <f t="shared" si="167"/>
        <v>6.1025862939685007E-12</v>
      </c>
      <c r="BG197" s="20">
        <f t="shared" si="168"/>
        <v>1.1479655194098737E-11</v>
      </c>
      <c r="BH197" s="59">
        <f t="shared" si="194"/>
        <v>293.3333333333448</v>
      </c>
      <c r="BI197" s="59">
        <f ca="1">AVERAGE(OFFSET($BH$3,0,0,'Données projet'!$E$11+1,1))-AVERAGE(OFFSET($H$3,0,0,'Données projet'!$E$11+1,1))</f>
        <v>490.06222615476065</v>
      </c>
      <c r="BJ197" s="59">
        <f t="shared" ref="BJ197:BJ203" si="206">$BJ$3</f>
        <v>310.43914804089906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58.467573743691489</v>
      </c>
      <c r="BQ197" s="21">
        <f>EXP(-LN(2)/25)*BQ196+(1-EXP(-LN(2)/25))/(LN(2)/25)*Calculateur!BL197*Calculateur!BN197*VLOOKUP('Données projet'!$B$11,Paramètres!$A$1:$I$89,3,0)*0.475*44/12</f>
        <v>7.9769976912165328</v>
      </c>
      <c r="BR197" s="21">
        <f>EXP(-LN(2)/2)*BR196+(1-EXP(-LN(2)/2))/(LN(2)/2)*BL197*BO197*VLOOKUP('Données projet'!$B$11,Paramètres!$A$1:$I$89,3,0)*0.475*44/12</f>
        <v>7.3796460929523156E-5</v>
      </c>
      <c r="BS197" s="22">
        <f t="shared" si="169"/>
        <v>66.444645231368952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353.37479213497227</v>
      </c>
      <c r="CE197" s="59">
        <f t="shared" ref="CE197:CE203" si="207">$CE$3</f>
        <v>345.4750813433123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5.4369585338785624</v>
      </c>
      <c r="CL197" s="21">
        <f>EXP(-LN(2)/25)*CL196+(1-EXP(-LN(2)/25))/(LN(2)/25)*Calculateur!CG197*Calculateur!CI197*VLOOKUP('Données projet'!$B$12,Paramètres!$A$1:$I$89,3,0)*0.475*44/12</f>
        <v>2.1758130334110173</v>
      </c>
      <c r="CM197" s="21">
        <f>EXP(-LN(2)/2)*CM196+(1-EXP(-LN(2)/2))/(LN(2)/2)*CG197*CJ197*VLOOKUP('Données projet'!$B$12,Paramètres!$A$1:$I$89,3,0)*0.475*44/12</f>
        <v>4.3313492517905555E-16</v>
      </c>
      <c r="CN197" s="22">
        <f t="shared" si="172"/>
        <v>7.6127715672895793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-7.3896444519050419E-13</v>
      </c>
      <c r="CU197" s="17">
        <f>CT197*VLOOKUP('Données projet'!$B$13,Paramètres!$A$1:$I$89,3,0)*VLOOKUP('Données projet'!$B$13,Paramètres!$A$1:$I$89,5,0)</f>
        <v>-3.5544189813663252E-13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314.18760071409162</v>
      </c>
      <c r="CZ197" s="59">
        <f t="shared" ref="CZ197:CZ203" si="208">$CZ$3</f>
        <v>267.72650645201787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19.324206137694222</v>
      </c>
      <c r="DG197" s="21">
        <f>EXP(-LN(2)/25)*DG196+(1-EXP(-LN(2)/25))/(LN(2)/25)*Calculateur!DB197*Calculateur!DD197*VLOOKUP('Données projet'!$B$13,Paramètres!$A$1:$I$89,3,0)*0.475*44/12</f>
        <v>2.6174109948852347</v>
      </c>
      <c r="DH197" s="21">
        <f>EXP(-LN(2)/2)*DH196+(1-EXP(-LN(2)/2))/(LN(2)/2)*DB197*DE197*VLOOKUP('Données projet'!$B$13,Paramètres!$A$1:$I$89,3,0)*0.475*44/12</f>
        <v>7.4519012440982641E-11</v>
      </c>
      <c r="DI197" s="22">
        <f t="shared" si="175"/>
        <v>21.941617132653974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-1.7053025658242404E-13</v>
      </c>
      <c r="DP197" s="17">
        <f>DO197*VLOOKUP('Données projet'!$B$14,Paramètres!$A$1:$I$89,3,0)*VLOOKUP('Données projet'!$B$14,Paramètres!$A$1:$I$89,5,0)</f>
        <v>-1.4897523215040567E-13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324.86930206492627</v>
      </c>
      <c r="DU197" s="59">
        <f t="shared" ref="DU197:DU203" si="209">$DU$3</f>
        <v>317.03005098025352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4.8191737710408118</v>
      </c>
      <c r="EB197" s="21">
        <f>EXP(-LN(2)/25)*EB196+(1-EXP(-LN(2)/25))/(LN(2)/25)*Calculateur!DW197*Calculateur!DY197*VLOOKUP('Données projet'!$B$14,Paramètres!$A$1:$I$89,3,0)*0.475*44/12</f>
        <v>1.9719608071248933</v>
      </c>
      <c r="EC197" s="21">
        <f>EXP(-LN(2)/2)*EC196+(1-EXP(-LN(2)/2))/(LN(2)/2)*DW197*DZ197*VLOOKUP('Données projet'!$B$14,Paramètres!$A$1:$I$89,3,0)*0.475*44/12</f>
        <v>3.9604437104361133E-16</v>
      </c>
      <c r="ED197" s="22">
        <f t="shared" si="178"/>
        <v>6.7911345781657051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302.00825291248458</v>
      </c>
      <c r="T198" s="59">
        <f t="shared" si="204"/>
        <v>307.35115839449355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9.5827454332004276</v>
      </c>
      <c r="AA198" s="21">
        <f>EXP(-LN(2)/25)*AA197+(1-EXP(-LN(2)/25))/(LN(2)/25)*Calculateur!V198*Calculateur!X198*VLOOKUP('Données projet'!$B$9,Paramètres!$A$1:$I$89,3,0)*0.475*44/12</f>
        <v>1.1472202385158148</v>
      </c>
      <c r="AB198" s="21">
        <f>EXP(-LN(2)/2)*AB197+(1-EXP(-LN(2)/2))/(LN(2)/2)*V198*Y198*VLOOKUP('Données projet'!$B$9,Paramètres!$A$1:$I$89,3,0)*0.475*44/12</f>
        <v>2.8730776729963893E-19</v>
      </c>
      <c r="AC198" s="22">
        <f t="shared" si="163"/>
        <v>10.729965671716242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5.0249582272954292E-14</v>
      </c>
      <c r="AK198" s="13">
        <f t="shared" si="164"/>
        <v>8.1784820119191593E-13</v>
      </c>
      <c r="AL198" s="20">
        <f t="shared" si="165"/>
        <v>1.5119369728679821E-12</v>
      </c>
      <c r="AM198" s="59">
        <f t="shared" si="193"/>
        <v>293.33333333333485</v>
      </c>
      <c r="AN198" s="59">
        <f ca="1">AVERAGE(OFFSET($AM$3,0,0,'Données projet'!$E$10+1,1))-AVERAGE(OFFSET($H$3,0,0,'Données projet'!$E$10+1,1))</f>
        <v>394.37446333077651</v>
      </c>
      <c r="AO198" s="59">
        <f t="shared" si="205"/>
        <v>335.44327961212963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21.188609031668772</v>
      </c>
      <c r="AV198" s="21">
        <f>EXP(-LN(2)/25)*AV197+(1-EXP(-LN(2)/25))/(LN(2)/25)*Calculateur!AQ198*Calculateur!AS198*VLOOKUP('Données projet'!$B$10,Paramètres!$A$1:$I$89,3,0)*0.475*44/12</f>
        <v>2.964601204028591</v>
      </c>
      <c r="AW198" s="21">
        <f>EXP(-LN(2)/2)*AW197+(1-EXP(-LN(2)/2))/(LN(2)/2)*AQ198*AT198*VLOOKUP('Données projet'!$B$10,Paramètres!$A$1:$I$89,3,0)*0.475*44/12</f>
        <v>3.8567305233308749E-16</v>
      </c>
      <c r="AX198" s="21">
        <f t="shared" si="166"/>
        <v>24.153210235697362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5.4001247917767614E-13</v>
      </c>
      <c r="BE198" s="13">
        <f>BD198*VLOOKUP('Données projet'!$B$11,Paramètres!$A$1:$I$89,3,0)*VLOOKUP('Données projet'!$B$11,Paramètres!$A$1:$I$89,5,0)</f>
        <v>4.8860329115996133E-13</v>
      </c>
      <c r="BF198" s="13">
        <f t="shared" si="167"/>
        <v>6.1025862939685007E-12</v>
      </c>
      <c r="BG198" s="20">
        <f t="shared" si="168"/>
        <v>1.1479655194098737E-11</v>
      </c>
      <c r="BH198" s="59">
        <f t="shared" si="194"/>
        <v>293.3333333333448</v>
      </c>
      <c r="BI198" s="59">
        <f ca="1">AVERAGE(OFFSET($BH$3,0,0,'Données projet'!$E$11+1,1))-AVERAGE(OFFSET($H$3,0,0,'Données projet'!$E$11+1,1))</f>
        <v>490.06222615476065</v>
      </c>
      <c r="BJ198" s="59">
        <f t="shared" si="206"/>
        <v>310.43914804089906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57.321060284276385</v>
      </c>
      <c r="BQ198" s="21">
        <f>EXP(-LN(2)/25)*BQ197+(1-EXP(-LN(2)/25))/(LN(2)/25)*Calculateur!BL198*Calculateur!BN198*VLOOKUP('Données projet'!$B$11,Paramètres!$A$1:$I$89,3,0)*0.475*44/12</f>
        <v>7.7588662698581397</v>
      </c>
      <c r="BR198" s="21">
        <f>EXP(-LN(2)/2)*BR197+(1-EXP(-LN(2)/2))/(LN(2)/2)*BL198*BO198*VLOOKUP('Données projet'!$B$11,Paramètres!$A$1:$I$89,3,0)*0.475*44/12</f>
        <v>5.2181977950833935E-5</v>
      </c>
      <c r="BS198" s="22">
        <f t="shared" si="169"/>
        <v>65.07997873611248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353.37479213497227</v>
      </c>
      <c r="CE198" s="59">
        <f t="shared" si="207"/>
        <v>345.4750813433123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5.3303430932464604</v>
      </c>
      <c r="CL198" s="21">
        <f>EXP(-LN(2)/25)*CL197+(1-EXP(-LN(2)/25))/(LN(2)/25)*Calculateur!CG198*Calculateur!CI198*VLOOKUP('Données projet'!$B$12,Paramètres!$A$1:$I$89,3,0)*0.475*44/12</f>
        <v>2.1163153115913587</v>
      </c>
      <c r="CM198" s="21">
        <f>EXP(-LN(2)/2)*CM197+(1-EXP(-LN(2)/2))/(LN(2)/2)*CG198*CJ198*VLOOKUP('Données projet'!$B$12,Paramètres!$A$1:$I$89,3,0)*0.475*44/12</f>
        <v>3.0627264276283806E-16</v>
      </c>
      <c r="CN198" s="22">
        <f t="shared" si="172"/>
        <v>7.4466584048378195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-7.3896444519050419E-13</v>
      </c>
      <c r="CU198" s="17">
        <f>CT198*VLOOKUP('Données projet'!$B$13,Paramètres!$A$1:$I$89,3,0)*VLOOKUP('Données projet'!$B$13,Paramètres!$A$1:$I$89,5,0)</f>
        <v>-3.5544189813663252E-13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314.18760071409162</v>
      </c>
      <c r="CZ198" s="59">
        <f t="shared" si="208"/>
        <v>267.72650645201787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18.945270241935951</v>
      </c>
      <c r="DG198" s="21">
        <f>EXP(-LN(2)/25)*DG197+(1-EXP(-LN(2)/25))/(LN(2)/25)*Calculateur!DB198*Calculateur!DD198*VLOOKUP('Données projet'!$B$13,Paramètres!$A$1:$I$89,3,0)*0.475*44/12</f>
        <v>2.545837753586436</v>
      </c>
      <c r="DH198" s="21">
        <f>EXP(-LN(2)/2)*DH197+(1-EXP(-LN(2)/2))/(LN(2)/2)*DB198*DE198*VLOOKUP('Données projet'!$B$13,Paramètres!$A$1:$I$89,3,0)*0.475*44/12</f>
        <v>5.2692899024343526E-11</v>
      </c>
      <c r="DI198" s="22">
        <f t="shared" si="175"/>
        <v>21.491107995575081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-1.7053025658242404E-13</v>
      </c>
      <c r="DP198" s="17">
        <f>DO198*VLOOKUP('Données projet'!$B$14,Paramètres!$A$1:$I$89,3,0)*VLOOKUP('Données projet'!$B$14,Paramètres!$A$1:$I$89,5,0)</f>
        <v>-1.4897523215040567E-13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324.86930206492627</v>
      </c>
      <c r="DU198" s="59">
        <f t="shared" si="209"/>
        <v>317.03005098025352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4.7246727127964592</v>
      </c>
      <c r="EB198" s="21">
        <f>EXP(-LN(2)/25)*EB197+(1-EXP(-LN(2)/25))/(LN(2)/25)*Calculateur!DW198*Calculateur!DY198*VLOOKUP('Données projet'!$B$14,Paramètres!$A$1:$I$89,3,0)*0.475*44/12</f>
        <v>1.9180374351531513</v>
      </c>
      <c r="EC198" s="21">
        <f>EXP(-LN(2)/2)*EC197+(1-EXP(-LN(2)/2))/(LN(2)/2)*DW198*DZ198*VLOOKUP('Données projet'!$B$14,Paramètres!$A$1:$I$89,3,0)*0.475*44/12</f>
        <v>2.8004566041569871E-16</v>
      </c>
      <c r="ED198" s="22">
        <f t="shared" si="178"/>
        <v>6.6427101479496109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302.00825291248458</v>
      </c>
      <c r="T199" s="59">
        <f t="shared" si="204"/>
        <v>307.35115839449355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9.394833640152946</v>
      </c>
      <c r="AA199" s="21">
        <f>EXP(-LN(2)/25)*AA198+(1-EXP(-LN(2)/25))/(LN(2)/25)*Calculateur!V199*Calculateur!X199*VLOOKUP('Données projet'!$B$9,Paramètres!$A$1:$I$89,3,0)*0.475*44/12</f>
        <v>1.1158494407639095</v>
      </c>
      <c r="AB199" s="21">
        <f>EXP(-LN(2)/2)*AB198+(1-EXP(-LN(2)/2))/(LN(2)/2)*V199*Y199*VLOOKUP('Données projet'!$B$9,Paramètres!$A$1:$I$89,3,0)*0.475*44/12</f>
        <v>2.031572705451413E-19</v>
      </c>
      <c r="AC199" s="22">
        <f t="shared" si="163"/>
        <v>10.510683080916856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5.0249582272954292E-14</v>
      </c>
      <c r="AK199" s="13">
        <f t="shared" si="164"/>
        <v>8.1784820119191593E-13</v>
      </c>
      <c r="AL199" s="20">
        <f t="shared" si="165"/>
        <v>1.5119369728679821E-12</v>
      </c>
      <c r="AM199" s="59">
        <f t="shared" si="193"/>
        <v>293.33333333333485</v>
      </c>
      <c r="AN199" s="59">
        <f ca="1">AVERAGE(OFFSET($AM$3,0,0,'Données projet'!$E$10+1,1))-AVERAGE(OFFSET($H$3,0,0,'Données projet'!$E$10+1,1))</f>
        <v>394.37446333077651</v>
      </c>
      <c r="AO199" s="59">
        <f t="shared" si="205"/>
        <v>335.44327961212963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20.773113332333139</v>
      </c>
      <c r="AV199" s="21">
        <f>EXP(-LN(2)/25)*AV198+(1-EXP(-LN(2)/25))/(LN(2)/25)*Calculateur!AQ199*Calculateur!AS199*VLOOKUP('Données projet'!$B$10,Paramètres!$A$1:$I$89,3,0)*0.475*44/12</f>
        <v>2.8835340282028277</v>
      </c>
      <c r="AW199" s="21">
        <f>EXP(-LN(2)/2)*AW198+(1-EXP(-LN(2)/2))/(LN(2)/2)*AQ199*AT199*VLOOKUP('Données projet'!$B$10,Paramètres!$A$1:$I$89,3,0)*0.475*44/12</f>
        <v>2.7271203062564038E-16</v>
      </c>
      <c r="AX199" s="21">
        <f t="shared" si="166"/>
        <v>23.656647360535967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5.4001247917767614E-13</v>
      </c>
      <c r="BE199" s="13">
        <f>BD199*VLOOKUP('Données projet'!$B$11,Paramètres!$A$1:$I$89,3,0)*VLOOKUP('Données projet'!$B$11,Paramètres!$A$1:$I$89,5,0)</f>
        <v>4.8860329115996133E-13</v>
      </c>
      <c r="BF199" s="13">
        <f t="shared" si="167"/>
        <v>6.1025862939685007E-12</v>
      </c>
      <c r="BG199" s="20">
        <f t="shared" si="168"/>
        <v>1.1479655194098737E-11</v>
      </c>
      <c r="BH199" s="59">
        <f t="shared" si="194"/>
        <v>293.3333333333448</v>
      </c>
      <c r="BI199" s="59">
        <f ca="1">AVERAGE(OFFSET($BH$3,0,0,'Données projet'!$E$11+1,1))-AVERAGE(OFFSET($H$3,0,0,'Données projet'!$E$11+1,1))</f>
        <v>490.06222615476065</v>
      </c>
      <c r="BJ199" s="59">
        <f t="shared" si="206"/>
        <v>310.43914804089906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56.19702925449625</v>
      </c>
      <c r="BQ199" s="21">
        <f>EXP(-LN(2)/25)*BQ198+(1-EXP(-LN(2)/25))/(LN(2)/25)*Calculateur!BL199*Calculateur!BN199*VLOOKUP('Données projet'!$B$11,Paramètres!$A$1:$I$89,3,0)*0.475*44/12</f>
        <v>7.546699663687825</v>
      </c>
      <c r="BR199" s="21">
        <f>EXP(-LN(2)/2)*BR198+(1-EXP(-LN(2)/2))/(LN(2)/2)*BL199*BO199*VLOOKUP('Données projet'!$B$11,Paramètres!$A$1:$I$89,3,0)*0.475*44/12</f>
        <v>3.6898230464761578E-5</v>
      </c>
      <c r="BS199" s="22">
        <f t="shared" si="169"/>
        <v>63.743765816414538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353.37479213497227</v>
      </c>
      <c r="CE199" s="59">
        <f t="shared" si="207"/>
        <v>345.4750813433123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5.2258183163761558</v>
      </c>
      <c r="CL199" s="21">
        <f>EXP(-LN(2)/25)*CL198+(1-EXP(-LN(2)/25))/(LN(2)/25)*Calculateur!CG199*Calculateur!CI199*VLOOKUP('Données projet'!$B$12,Paramètres!$A$1:$I$89,3,0)*0.475*44/12</f>
        <v>2.0584445581037074</v>
      </c>
      <c r="CM199" s="21">
        <f>EXP(-LN(2)/2)*CM198+(1-EXP(-LN(2)/2))/(LN(2)/2)*CG199*CJ199*VLOOKUP('Données projet'!$B$12,Paramètres!$A$1:$I$89,3,0)*0.475*44/12</f>
        <v>2.1656746258952777E-16</v>
      </c>
      <c r="CN199" s="22">
        <f t="shared" si="172"/>
        <v>7.2842628744798628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-7.3896444519050419E-13</v>
      </c>
      <c r="CU199" s="17">
        <f>CT199*VLOOKUP('Données projet'!$B$13,Paramètres!$A$1:$I$89,3,0)*VLOOKUP('Données projet'!$B$13,Paramètres!$A$1:$I$89,5,0)</f>
        <v>-3.5544189813663252E-13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314.18760071409162</v>
      </c>
      <c r="CZ199" s="59">
        <f t="shared" si="208"/>
        <v>267.72650645201787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18.573765047965427</v>
      </c>
      <c r="DG199" s="21">
        <f>EXP(-LN(2)/25)*DG198+(1-EXP(-LN(2)/25))/(LN(2)/25)*Calculateur!DB199*Calculateur!DD199*VLOOKUP('Données projet'!$B$13,Paramètres!$A$1:$I$89,3,0)*0.475*44/12</f>
        <v>2.4762216863348261</v>
      </c>
      <c r="DH199" s="21">
        <f>EXP(-LN(2)/2)*DH198+(1-EXP(-LN(2)/2))/(LN(2)/2)*DB199*DE199*VLOOKUP('Données projet'!$B$13,Paramètres!$A$1:$I$89,3,0)*0.475*44/12</f>
        <v>3.725950622049132E-11</v>
      </c>
      <c r="DI199" s="22">
        <f t="shared" si="175"/>
        <v>21.049986734337516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-1.7053025658242404E-13</v>
      </c>
      <c r="DP199" s="17">
        <f>DO199*VLOOKUP('Données projet'!$B$14,Paramètres!$A$1:$I$89,3,0)*VLOOKUP('Données projet'!$B$14,Paramètres!$A$1:$I$89,5,0)</f>
        <v>-1.4897523215040567E-13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324.86930206492627</v>
      </c>
      <c r="DU199" s="59">
        <f t="shared" si="209"/>
        <v>317.03005098025352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4.6320247626643249</v>
      </c>
      <c r="EB199" s="21">
        <f>EXP(-LN(2)/25)*EB198+(1-EXP(-LN(2)/25))/(LN(2)/25)*Calculateur!DW199*Calculateur!DY199*VLOOKUP('Données projet'!$B$14,Paramètres!$A$1:$I$89,3,0)*0.475*44/12</f>
        <v>1.8655886006236835</v>
      </c>
      <c r="EC199" s="21">
        <f>EXP(-LN(2)/2)*EC198+(1-EXP(-LN(2)/2))/(LN(2)/2)*DW199*DZ199*VLOOKUP('Données projet'!$B$14,Paramètres!$A$1:$I$89,3,0)*0.475*44/12</f>
        <v>1.9802218552180567E-16</v>
      </c>
      <c r="ED199" s="22">
        <f t="shared" si="178"/>
        <v>6.4976133632880089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302.00825291248458</v>
      </c>
      <c r="T200" s="59">
        <f t="shared" si="204"/>
        <v>307.35115839449355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9.2106066827522479</v>
      </c>
      <c r="AA200" s="21">
        <f>EXP(-LN(2)/25)*AA199+(1-EXP(-LN(2)/25))/(LN(2)/25)*Calculateur!V200*Calculateur!X200*VLOOKUP('Données projet'!$B$9,Paramètres!$A$1:$I$89,3,0)*0.475*44/12</f>
        <v>1.0853364791262485</v>
      </c>
      <c r="AB200" s="21">
        <f>EXP(-LN(2)/2)*AB199+(1-EXP(-LN(2)/2))/(LN(2)/2)*V200*Y200*VLOOKUP('Données projet'!$B$9,Paramètres!$A$1:$I$89,3,0)*0.475*44/12</f>
        <v>1.4365388364981947E-19</v>
      </c>
      <c r="AC200" s="22">
        <f t="shared" si="163"/>
        <v>10.295943161878496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5.0249582272954292E-14</v>
      </c>
      <c r="AK200" s="13">
        <f t="shared" si="164"/>
        <v>8.1784820119191593E-13</v>
      </c>
      <c r="AL200" s="20">
        <f t="shared" si="165"/>
        <v>1.5119369728679821E-12</v>
      </c>
      <c r="AM200" s="59">
        <f t="shared" si="193"/>
        <v>293.33333333333485</v>
      </c>
      <c r="AN200" s="59">
        <f ca="1">AVERAGE(OFFSET($AM$3,0,0,'Données projet'!$E$10+1,1))-AVERAGE(OFFSET($H$3,0,0,'Données projet'!$E$10+1,1))</f>
        <v>394.37446333077651</v>
      </c>
      <c r="AO200" s="59">
        <f t="shared" si="205"/>
        <v>335.44327961212963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20.365765250234126</v>
      </c>
      <c r="AV200" s="21">
        <f>EXP(-LN(2)/25)*AV199+(1-EXP(-LN(2)/25))/(LN(2)/25)*Calculateur!AQ200*Calculateur!AS200*VLOOKUP('Données projet'!$B$10,Paramètres!$A$1:$I$89,3,0)*0.475*44/12</f>
        <v>2.8046836385631573</v>
      </c>
      <c r="AW200" s="21">
        <f>EXP(-LN(2)/2)*AW199+(1-EXP(-LN(2)/2))/(LN(2)/2)*AQ200*AT200*VLOOKUP('Données projet'!$B$10,Paramètres!$A$1:$I$89,3,0)*0.475*44/12</f>
        <v>1.9283652616654375E-16</v>
      </c>
      <c r="AX200" s="21">
        <f t="shared" si="166"/>
        <v>23.170448888797285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5.4001247917767614E-13</v>
      </c>
      <c r="BE200" s="13">
        <f>BD200*VLOOKUP('Données projet'!$B$11,Paramètres!$A$1:$I$89,3,0)*VLOOKUP('Données projet'!$B$11,Paramètres!$A$1:$I$89,5,0)</f>
        <v>4.8860329115996133E-13</v>
      </c>
      <c r="BF200" s="13">
        <f t="shared" si="167"/>
        <v>6.1025862939685007E-12</v>
      </c>
      <c r="BG200" s="20">
        <f t="shared" si="168"/>
        <v>1.1479655194098737E-11</v>
      </c>
      <c r="BH200" s="59">
        <f t="shared" si="194"/>
        <v>293.3333333333448</v>
      </c>
      <c r="BI200" s="59">
        <f ca="1">AVERAGE(OFFSET($BH$3,0,0,'Données projet'!$E$11+1,1))-AVERAGE(OFFSET($H$3,0,0,'Données projet'!$E$11+1,1))</f>
        <v>490.06222615476065</v>
      </c>
      <c r="BJ200" s="59">
        <f t="shared" si="206"/>
        <v>310.43914804089906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55.095039787618873</v>
      </c>
      <c r="BQ200" s="21">
        <f>EXP(-LN(2)/25)*BQ199+(1-EXP(-LN(2)/25))/(LN(2)/25)*Calculateur!BL200*Calculateur!BN200*VLOOKUP('Données projet'!$B$11,Paramètres!$A$1:$I$89,3,0)*0.475*44/12</f>
        <v>7.3403347645205939</v>
      </c>
      <c r="BR200" s="21">
        <f>EXP(-LN(2)/2)*BR199+(1-EXP(-LN(2)/2))/(LN(2)/2)*BL200*BO200*VLOOKUP('Données projet'!$B$11,Paramètres!$A$1:$I$89,3,0)*0.475*44/12</f>
        <v>2.6090988975416967E-5</v>
      </c>
      <c r="BS200" s="22">
        <f t="shared" si="169"/>
        <v>62.435400643128439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353.37479213497227</v>
      </c>
      <c r="CE200" s="59">
        <f t="shared" si="207"/>
        <v>345.4750813433123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5.1233432066264593</v>
      </c>
      <c r="CL200" s="21">
        <f>EXP(-LN(2)/25)*CL199+(1-EXP(-LN(2)/25))/(LN(2)/25)*Calculateur!CG200*Calculateur!CI200*VLOOKUP('Données projet'!$B$12,Paramètres!$A$1:$I$89,3,0)*0.475*44/12</f>
        <v>2.0021562834134667</v>
      </c>
      <c r="CM200" s="21">
        <f>EXP(-LN(2)/2)*CM199+(1-EXP(-LN(2)/2))/(LN(2)/2)*CG200*CJ200*VLOOKUP('Données projet'!$B$12,Paramètres!$A$1:$I$89,3,0)*0.475*44/12</f>
        <v>1.5313632138141903E-16</v>
      </c>
      <c r="CN200" s="22">
        <f t="shared" si="172"/>
        <v>7.1254994900399264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-7.3896444519050419E-13</v>
      </c>
      <c r="CU200" s="17">
        <f>CT200*VLOOKUP('Données projet'!$B$13,Paramètres!$A$1:$I$89,3,0)*VLOOKUP('Données projet'!$B$13,Paramètres!$A$1:$I$89,5,0)</f>
        <v>-3.5544189813663252E-13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314.18760071409162</v>
      </c>
      <c r="CZ200" s="59">
        <f t="shared" si="208"/>
        <v>267.72650645201787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18.209544844252871</v>
      </c>
      <c r="DG200" s="21">
        <f>EXP(-LN(2)/25)*DG199+(1-EXP(-LN(2)/25))/(LN(2)/25)*Calculateur!DB200*Calculateur!DD200*VLOOKUP('Données projet'!$B$13,Paramètres!$A$1:$I$89,3,0)*0.475*44/12</f>
        <v>2.4085092741031611</v>
      </c>
      <c r="DH200" s="21">
        <f>EXP(-LN(2)/2)*DH199+(1-EXP(-LN(2)/2))/(LN(2)/2)*DB200*DE200*VLOOKUP('Données projet'!$B$13,Paramètres!$A$1:$I$89,3,0)*0.475*44/12</f>
        <v>2.6346449512171763E-11</v>
      </c>
      <c r="DI200" s="22">
        <f t="shared" si="175"/>
        <v>20.618054118382378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-1.7053025658242404E-13</v>
      </c>
      <c r="DP200" s="17">
        <f>DO200*VLOOKUP('Données projet'!$B$14,Paramètres!$A$1:$I$89,3,0)*VLOOKUP('Données projet'!$B$14,Paramètres!$A$1:$I$89,5,0)</f>
        <v>-1.4897523215040567E-13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324.86930206492627</v>
      </c>
      <c r="DU200" s="59">
        <f t="shared" si="209"/>
        <v>317.03005098025352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4.5411935823246115</v>
      </c>
      <c r="EB200" s="21">
        <f>EXP(-LN(2)/25)*EB199+(1-EXP(-LN(2)/25))/(LN(2)/25)*Calculateur!DW200*Calculateur!DY200*VLOOKUP('Données projet'!$B$14,Paramètres!$A$1:$I$89,3,0)*0.475*44/12</f>
        <v>1.8145739822325881</v>
      </c>
      <c r="EC200" s="21">
        <f>EXP(-LN(2)/2)*EC199+(1-EXP(-LN(2)/2))/(LN(2)/2)*DW200*DZ200*VLOOKUP('Données projet'!$B$14,Paramètres!$A$1:$I$89,3,0)*0.475*44/12</f>
        <v>1.4002283020784936E-16</v>
      </c>
      <c r="ED200" s="22">
        <f t="shared" si="178"/>
        <v>6.3557675645571994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302.00825291248458</v>
      </c>
      <c r="T201" s="59">
        <f t="shared" si="204"/>
        <v>307.35115839449355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9.0299923036188297</v>
      </c>
      <c r="AA201" s="21">
        <f>EXP(-LN(2)/25)*AA200+(1-EXP(-LN(2)/25))/(LN(2)/25)*Calculateur!V201*Calculateur!X201*VLOOKUP('Données projet'!$B$9,Paramètres!$A$1:$I$89,3,0)*0.475*44/12</f>
        <v>1.0556578960291765</v>
      </c>
      <c r="AB201" s="21">
        <f>EXP(-LN(2)/2)*AB200+(1-EXP(-LN(2)/2))/(LN(2)/2)*V201*Y201*VLOOKUP('Données projet'!$B$9,Paramètres!$A$1:$I$89,3,0)*0.475*44/12</f>
        <v>1.0157863527257065E-19</v>
      </c>
      <c r="AC201" s="22">
        <f t="shared" si="163"/>
        <v>10.085650199648006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5.0249582272954292E-14</v>
      </c>
      <c r="AK201" s="13">
        <f t="shared" si="164"/>
        <v>8.1784820119191593E-13</v>
      </c>
      <c r="AL201" s="20">
        <f t="shared" si="165"/>
        <v>1.5119369728679821E-12</v>
      </c>
      <c r="AM201" s="59">
        <f t="shared" si="193"/>
        <v>293.33333333333485</v>
      </c>
      <c r="AN201" s="59">
        <f ca="1">AVERAGE(OFFSET($AM$3,0,0,'Données projet'!$E$10+1,1))-AVERAGE(OFFSET($H$3,0,0,'Données projet'!$E$10+1,1))</f>
        <v>394.37446333077651</v>
      </c>
      <c r="AO201" s="59">
        <f t="shared" si="205"/>
        <v>335.44327961212963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19.966405015567279</v>
      </c>
      <c r="AV201" s="21">
        <f>EXP(-LN(2)/25)*AV200+(1-EXP(-LN(2)/25))/(LN(2)/25)*Calculateur!AQ201*Calculateur!AS201*VLOOKUP('Données projet'!$B$10,Paramètres!$A$1:$I$89,3,0)*0.475*44/12</f>
        <v>2.7279894169747454</v>
      </c>
      <c r="AW201" s="21">
        <f>EXP(-LN(2)/2)*AW200+(1-EXP(-LN(2)/2))/(LN(2)/2)*AQ201*AT201*VLOOKUP('Données projet'!$B$10,Paramètres!$A$1:$I$89,3,0)*0.475*44/12</f>
        <v>1.3635601531282019E-16</v>
      </c>
      <c r="AX201" s="21">
        <f t="shared" si="166"/>
        <v>22.694394432542026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5.4001247917767614E-13</v>
      </c>
      <c r="BE201" s="13">
        <f>BD201*VLOOKUP('Données projet'!$B$11,Paramètres!$A$1:$I$89,3,0)*VLOOKUP('Données projet'!$B$11,Paramètres!$A$1:$I$89,5,0)</f>
        <v>4.8860329115996133E-13</v>
      </c>
      <c r="BF201" s="13">
        <f t="shared" si="167"/>
        <v>6.1025862939685007E-12</v>
      </c>
      <c r="BG201" s="20">
        <f t="shared" si="168"/>
        <v>1.1479655194098737E-11</v>
      </c>
      <c r="BH201" s="59">
        <f t="shared" si="194"/>
        <v>293.3333333333448</v>
      </c>
      <c r="BI201" s="59">
        <f ca="1">AVERAGE(OFFSET($BH$3,0,0,'Données projet'!$E$11+1,1))-AVERAGE(OFFSET($H$3,0,0,'Données projet'!$E$11+1,1))</f>
        <v>490.06222615476065</v>
      </c>
      <c r="BJ201" s="59">
        <f t="shared" si="206"/>
        <v>310.43914804089906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54.014659662039755</v>
      </c>
      <c r="BQ201" s="21">
        <f>EXP(-LN(2)/25)*BQ200+(1-EXP(-LN(2)/25))/(LN(2)/25)*Calculateur!BL201*Calculateur!BN201*VLOOKUP('Données projet'!$B$11,Paramètres!$A$1:$I$89,3,0)*0.475*44/12</f>
        <v>7.1396129243733499</v>
      </c>
      <c r="BR201" s="21">
        <f>EXP(-LN(2)/2)*BR200+(1-EXP(-LN(2)/2))/(LN(2)/2)*BL201*BO201*VLOOKUP('Données projet'!$B$11,Paramètres!$A$1:$I$89,3,0)*0.475*44/12</f>
        <v>1.8449115232380789E-5</v>
      </c>
      <c r="BS201" s="22">
        <f t="shared" si="169"/>
        <v>61.154291035528338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353.37479213497227</v>
      </c>
      <c r="CE201" s="59">
        <f t="shared" si="207"/>
        <v>345.4750813433123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5.0228775712753091</v>
      </c>
      <c r="CL201" s="21">
        <f>EXP(-LN(2)/25)*CL200+(1-EXP(-LN(2)/25))/(LN(2)/25)*Calculateur!CG201*Calculateur!CI201*VLOOKUP('Données projet'!$B$12,Paramètres!$A$1:$I$89,3,0)*0.475*44/12</f>
        <v>1.9474072145547026</v>
      </c>
      <c r="CM201" s="21">
        <f>EXP(-LN(2)/2)*CM200+(1-EXP(-LN(2)/2))/(LN(2)/2)*CG201*CJ201*VLOOKUP('Données projet'!$B$12,Paramètres!$A$1:$I$89,3,0)*0.475*44/12</f>
        <v>1.0828373129476389E-16</v>
      </c>
      <c r="CN201" s="22">
        <f t="shared" si="172"/>
        <v>6.9702847858300121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-7.3896444519050419E-13</v>
      </c>
      <c r="CU201" s="17">
        <f>CT201*VLOOKUP('Données projet'!$B$13,Paramètres!$A$1:$I$89,3,0)*VLOOKUP('Données projet'!$B$13,Paramètres!$A$1:$I$89,5,0)</f>
        <v>-3.5544189813663252E-13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314.18760071409162</v>
      </c>
      <c r="CZ201" s="59">
        <f t="shared" si="208"/>
        <v>267.72650645201787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17.85246677658273</v>
      </c>
      <c r="DG201" s="21">
        <f>EXP(-LN(2)/25)*DG200+(1-EXP(-LN(2)/25))/(LN(2)/25)*Calculateur!DB201*Calculateur!DD201*VLOOKUP('Données projet'!$B$13,Paramètres!$A$1:$I$89,3,0)*0.475*44/12</f>
        <v>2.3426484613448122</v>
      </c>
      <c r="DH201" s="21">
        <f>EXP(-LN(2)/2)*DH200+(1-EXP(-LN(2)/2))/(LN(2)/2)*DB201*DE201*VLOOKUP('Données projet'!$B$13,Paramètres!$A$1:$I$89,3,0)*0.475*44/12</f>
        <v>1.862975311024566E-11</v>
      </c>
      <c r="DI201" s="22">
        <f t="shared" si="175"/>
        <v>20.195115237946172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-1.7053025658242404E-13</v>
      </c>
      <c r="DP201" s="17">
        <f>DO201*VLOOKUP('Données projet'!$B$14,Paramètres!$A$1:$I$89,3,0)*VLOOKUP('Données projet'!$B$14,Paramètres!$A$1:$I$89,5,0)</f>
        <v>-1.4897523215040567E-13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324.86930206492627</v>
      </c>
      <c r="DU201" s="59">
        <f t="shared" si="209"/>
        <v>317.03005098025352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4.4521435460298102</v>
      </c>
      <c r="EB201" s="21">
        <f>EXP(-LN(2)/25)*EB200+(1-EXP(-LN(2)/25))/(LN(2)/25)*Calculateur!DW201*Calculateur!DY201*VLOOKUP('Données projet'!$B$14,Paramètres!$A$1:$I$89,3,0)*0.475*44/12</f>
        <v>1.7649543612641396</v>
      </c>
      <c r="EC201" s="21">
        <f>EXP(-LN(2)/2)*EC200+(1-EXP(-LN(2)/2))/(LN(2)/2)*DW201*DZ201*VLOOKUP('Données projet'!$B$14,Paramètres!$A$1:$I$89,3,0)*0.475*44/12</f>
        <v>9.9011092760902833E-17</v>
      </c>
      <c r="ED201" s="22">
        <f t="shared" si="178"/>
        <v>6.2170979072939501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302.00825291248458</v>
      </c>
      <c r="T202" s="59">
        <f t="shared" si="204"/>
        <v>307.35115839449355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8.8529196622963244</v>
      </c>
      <c r="AA202" s="21">
        <f>EXP(-LN(2)/25)*AA201+(1-EXP(-LN(2)/25))/(LN(2)/25)*Calculateur!V202*Calculateur!X202*VLOOKUP('Données projet'!$B$9,Paramètres!$A$1:$I$89,3,0)*0.475*44/12</f>
        <v>1.0267908753476227</v>
      </c>
      <c r="AB202" s="21">
        <f>EXP(-LN(2)/2)*AB201+(1-EXP(-LN(2)/2))/(LN(2)/2)*V202*Y202*VLOOKUP('Données projet'!$B$9,Paramètres!$A$1:$I$89,3,0)*0.475*44/12</f>
        <v>7.1826941824909733E-20</v>
      </c>
      <c r="AC202" s="22">
        <f t="shared" si="163"/>
        <v>9.8797105376439465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5.0249582272954292E-14</v>
      </c>
      <c r="AK202" s="13">
        <f t="shared" si="164"/>
        <v>8.1784820119191593E-13</v>
      </c>
      <c r="AL202" s="20">
        <f t="shared" si="165"/>
        <v>1.5119369728679821E-12</v>
      </c>
      <c r="AM202" s="59">
        <f t="shared" si="193"/>
        <v>293.33333333333485</v>
      </c>
      <c r="AN202" s="59">
        <f ca="1">AVERAGE(OFFSET($AM$3,0,0,'Données projet'!$E$10+1,1))-AVERAGE(OFFSET($H$3,0,0,'Données projet'!$E$10+1,1))</f>
        <v>394.37446333077651</v>
      </c>
      <c r="AO202" s="59">
        <f t="shared" si="205"/>
        <v>335.44327961212963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19.574875991516556</v>
      </c>
      <c r="AV202" s="21">
        <f>EXP(-LN(2)/25)*AV201+(1-EXP(-LN(2)/25))/(LN(2)/25)*Calculateur!AQ202*Calculateur!AS202*VLOOKUP('Données projet'!$B$10,Paramètres!$A$1:$I$89,3,0)*0.475*44/12</f>
        <v>2.6533924029088425</v>
      </c>
      <c r="AW202" s="21">
        <f>EXP(-LN(2)/2)*AW201+(1-EXP(-LN(2)/2))/(LN(2)/2)*AQ202*AT202*VLOOKUP('Données projet'!$B$10,Paramètres!$A$1:$I$89,3,0)*0.475*44/12</f>
        <v>9.6418263083271873E-17</v>
      </c>
      <c r="AX202" s="21">
        <f t="shared" si="166"/>
        <v>22.228268394425399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5.4001247917767614E-13</v>
      </c>
      <c r="BE202" s="13">
        <f>BD202*VLOOKUP('Données projet'!$B$11,Paramètres!$A$1:$I$89,3,0)*VLOOKUP('Données projet'!$B$11,Paramètres!$A$1:$I$89,5,0)</f>
        <v>4.8860329115996133E-13</v>
      </c>
      <c r="BF202" s="13">
        <f t="shared" si="167"/>
        <v>6.1025862939685007E-12</v>
      </c>
      <c r="BG202" s="20">
        <f t="shared" si="168"/>
        <v>1.1479655194098737E-11</v>
      </c>
      <c r="BH202" s="59">
        <f t="shared" si="194"/>
        <v>293.3333333333448</v>
      </c>
      <c r="BI202" s="59">
        <f ca="1">AVERAGE(OFFSET($BH$3,0,0,'Données projet'!$E$11+1,1))-AVERAGE(OFFSET($H$3,0,0,'Données projet'!$E$11+1,1))</f>
        <v>490.06222615476065</v>
      </c>
      <c r="BJ202" s="59">
        <f t="shared" si="206"/>
        <v>310.43914804089906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52.955465131756434</v>
      </c>
      <c r="BQ202" s="21">
        <f>EXP(-LN(2)/25)*BQ201+(1-EXP(-LN(2)/25))/(LN(2)/25)*Calculateur!BL202*Calculateur!BN202*VLOOKUP('Données projet'!$B$11,Paramètres!$A$1:$I$89,3,0)*0.475*44/12</f>
        <v>6.9443798335004345</v>
      </c>
      <c r="BR202" s="21">
        <f>EXP(-LN(2)/2)*BR201+(1-EXP(-LN(2)/2))/(LN(2)/2)*BL202*BO202*VLOOKUP('Données projet'!$B$11,Paramètres!$A$1:$I$89,3,0)*0.475*44/12</f>
        <v>1.3045494487708484E-5</v>
      </c>
      <c r="BS202" s="22">
        <f t="shared" si="169"/>
        <v>59.899858010751359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353.37479213497227</v>
      </c>
      <c r="CE202" s="59">
        <f t="shared" si="207"/>
        <v>345.4750813433123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4.9243820057554082</v>
      </c>
      <c r="CL202" s="21">
        <f>EXP(-LN(2)/25)*CL201+(1-EXP(-LN(2)/25))/(LN(2)/25)*Calculateur!CG202*Calculateur!CI202*VLOOKUP('Données projet'!$B$12,Paramètres!$A$1:$I$89,3,0)*0.475*44/12</f>
        <v>1.8941552618630098</v>
      </c>
      <c r="CM202" s="21">
        <f>EXP(-LN(2)/2)*CM201+(1-EXP(-LN(2)/2))/(LN(2)/2)*CG202*CJ202*VLOOKUP('Données projet'!$B$12,Paramètres!$A$1:$I$89,3,0)*0.475*44/12</f>
        <v>7.6568160690709516E-17</v>
      </c>
      <c r="CN202" s="22">
        <f t="shared" si="172"/>
        <v>6.8185372676184182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-7.3896444519050419E-13</v>
      </c>
      <c r="CU202" s="17">
        <f>CT202*VLOOKUP('Données projet'!$B$13,Paramètres!$A$1:$I$89,3,0)*VLOOKUP('Données projet'!$B$13,Paramètres!$A$1:$I$89,5,0)</f>
        <v>-3.5544189813663252E-13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314.18760071409162</v>
      </c>
      <c r="CZ202" s="59">
        <f t="shared" si="208"/>
        <v>267.72650645201787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17.502390792023483</v>
      </c>
      <c r="DG202" s="21">
        <f>EXP(-LN(2)/25)*DG201+(1-EXP(-LN(2)/25))/(LN(2)/25)*Calculateur!DB202*Calculateur!DD202*VLOOKUP('Données projet'!$B$13,Paramètres!$A$1:$I$89,3,0)*0.475*44/12</f>
        <v>2.2785886159748099</v>
      </c>
      <c r="DH202" s="21">
        <f>EXP(-LN(2)/2)*DH201+(1-EXP(-LN(2)/2))/(LN(2)/2)*DB202*DE202*VLOOKUP('Données projet'!$B$13,Paramètres!$A$1:$I$89,3,0)*0.475*44/12</f>
        <v>1.3173224756085881E-11</v>
      </c>
      <c r="DI202" s="22">
        <f t="shared" si="175"/>
        <v>19.780979408011468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-1.7053025658242404E-13</v>
      </c>
      <c r="DP202" s="17">
        <f>DO202*VLOOKUP('Données projet'!$B$14,Paramètres!$A$1:$I$89,3,0)*VLOOKUP('Données projet'!$B$14,Paramètres!$A$1:$I$89,5,0)</f>
        <v>-1.4897523215040567E-13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324.86930206492627</v>
      </c>
      <c r="DU202" s="59">
        <f t="shared" si="209"/>
        <v>317.03005098025352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4.3648397266315913</v>
      </c>
      <c r="EB202" s="21">
        <f>EXP(-LN(2)/25)*EB201+(1-EXP(-LN(2)/25))/(LN(2)/25)*Calculateur!DW202*Calculateur!DY202*VLOOKUP('Données projet'!$B$14,Paramètres!$A$1:$I$89,3,0)*0.475*44/12</f>
        <v>1.7166915914404557</v>
      </c>
      <c r="EC202" s="21">
        <f>EXP(-LN(2)/2)*EC201+(1-EXP(-LN(2)/2))/(LN(2)/2)*DW202*DZ202*VLOOKUP('Données projet'!$B$14,Paramètres!$A$1:$I$89,3,0)*0.475*44/12</f>
        <v>7.0011415103924678E-17</v>
      </c>
      <c r="ED202" s="22">
        <f t="shared" si="178"/>
        <v>6.0815313180720469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302.00825291248458</v>
      </c>
      <c r="T203" s="59">
        <f t="shared" si="204"/>
        <v>307.35115839449355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8.6793193074665069</v>
      </c>
      <c r="AA203" s="21">
        <f>EXP(-LN(2)/25)*AA202+(1-EXP(-LN(2)/25))/(LN(2)/25)*Calculateur!V203*Calculateur!X203*VLOOKUP('Données projet'!$B$9,Paramètres!$A$1:$I$89,3,0)*0.475*44/12</f>
        <v>0.99871322486465663</v>
      </c>
      <c r="AB203" s="21">
        <f>EXP(-LN(2)/2)*AB202+(1-EXP(-LN(2)/2))/(LN(2)/2)*V203*Y203*VLOOKUP('Données projet'!$B$9,Paramètres!$A$1:$I$89,3,0)*0.475*44/12</f>
        <v>5.0789317636285325E-20</v>
      </c>
      <c r="AC203" s="22">
        <f t="shared" si="163"/>
        <v>9.678032532331164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5.0249582272954292E-14</v>
      </c>
      <c r="AK203" s="13">
        <f t="shared" si="164"/>
        <v>8.1784820119191593E-13</v>
      </c>
      <c r="AL203" s="20">
        <f t="shared" si="165"/>
        <v>1.5119369728679821E-12</v>
      </c>
      <c r="AM203" s="59">
        <f t="shared" si="193"/>
        <v>293.33333333333485</v>
      </c>
      <c r="AN203" s="59">
        <f ca="1">AVERAGE(OFFSET($AM$3,0,0,'Données projet'!$E$10+1,1))-AVERAGE(OFFSET($H$3,0,0,'Données projet'!$E$10+1,1))</f>
        <v>394.37446333077651</v>
      </c>
      <c r="AO203" s="59">
        <f t="shared" si="205"/>
        <v>335.44327961212963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19.191024612818346</v>
      </c>
      <c r="AV203" s="21">
        <f>EXP(-LN(2)/25)*AV202+(1-EXP(-LN(2)/25))/(LN(2)/25)*Calculateur!AQ203*Calculateur!AS203*VLOOKUP('Données projet'!$B$10,Paramètres!$A$1:$I$89,3,0)*0.475*44/12</f>
        <v>2.5808352481154579</v>
      </c>
      <c r="AW203" s="21">
        <f>EXP(-LN(2)/2)*AW202+(1-EXP(-LN(2)/2))/(LN(2)/2)*AQ203*AT203*VLOOKUP('Données projet'!$B$10,Paramètres!$A$1:$I$89,3,0)*0.475*44/12</f>
        <v>6.8178007656410096E-17</v>
      </c>
      <c r="AX203" s="21">
        <f t="shared" si="166"/>
        <v>21.771859860933805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5.4001247917767614E-13</v>
      </c>
      <c r="BE203" s="13">
        <f>BD203*VLOOKUP('Données projet'!$B$11,Paramètres!$A$1:$I$89,3,0)*VLOOKUP('Données projet'!$B$11,Paramètres!$A$1:$I$89,5,0)</f>
        <v>4.8860329115996133E-13</v>
      </c>
      <c r="BF203" s="13">
        <f t="shared" si="167"/>
        <v>6.1025862939685007E-12</v>
      </c>
      <c r="BG203" s="20">
        <f t="shared" si="168"/>
        <v>1.1479655194098737E-11</v>
      </c>
      <c r="BH203" s="59">
        <f t="shared" si="194"/>
        <v>293.3333333333448</v>
      </c>
      <c r="BI203" s="59">
        <f ca="1">AVERAGE(OFFSET($BH$3,0,0,'Données projet'!$E$11+1,1))-AVERAGE(OFFSET($H$3,0,0,'Données projet'!$E$11+1,1))</f>
        <v>490.06222615476065</v>
      </c>
      <c r="BJ203" s="59">
        <f t="shared" si="206"/>
        <v>310.43914804089906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51.917040760167097</v>
      </c>
      <c r="BQ203" s="21">
        <f>EXP(-LN(2)/25)*BQ202+(1-EXP(-LN(2)/25))/(LN(2)/25)*Calculateur!BL203*Calculateur!BN203*VLOOKUP('Données projet'!$B$11,Paramètres!$A$1:$I$89,3,0)*0.475*44/12</f>
        <v>6.7544854017643017</v>
      </c>
      <c r="BR203" s="21">
        <f>EXP(-LN(2)/2)*BR202+(1-EXP(-LN(2)/2))/(LN(2)/2)*BL203*BO203*VLOOKUP('Données projet'!$B$11,Paramètres!$A$1:$I$89,3,0)*0.475*44/12</f>
        <v>9.2245576161903945E-6</v>
      </c>
      <c r="BS203" s="22">
        <f t="shared" si="169"/>
        <v>58.671535386489012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353.37479213497227</v>
      </c>
      <c r="CE203" s="59">
        <f t="shared" si="207"/>
        <v>345.4750813433123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4.8278178781989896</v>
      </c>
      <c r="CL203" s="21">
        <f>EXP(-LN(2)/25)*CL202+(1-EXP(-LN(2)/25))/(LN(2)/25)*Calculateur!CG203*Calculateur!CI203*VLOOKUP('Données projet'!$B$12,Paramètres!$A$1:$I$89,3,0)*0.475*44/12</f>
        <v>1.8423594866180697</v>
      </c>
      <c r="CM203" s="21">
        <f>EXP(-LN(2)/2)*CM202+(1-EXP(-LN(2)/2))/(LN(2)/2)*CG203*CJ203*VLOOKUP('Données projet'!$B$12,Paramètres!$A$1:$I$89,3,0)*0.475*44/12</f>
        <v>5.4141865647381944E-17</v>
      </c>
      <c r="CN203" s="22">
        <f t="shared" si="172"/>
        <v>6.670177364817059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-7.3896444519050419E-13</v>
      </c>
      <c r="CU203" s="17">
        <f>CT203*VLOOKUP('Données projet'!$B$13,Paramètres!$A$1:$I$89,3,0)*VLOOKUP('Données projet'!$B$13,Paramètres!$A$1:$I$89,5,0)</f>
        <v>-3.5544189813663252E-13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314.18760071409162</v>
      </c>
      <c r="CZ203" s="59">
        <f t="shared" si="208"/>
        <v>267.72650645201787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17.159179583996178</v>
      </c>
      <c r="DG203" s="21">
        <f>EXP(-LN(2)/25)*DG202+(1-EXP(-LN(2)/25))/(LN(2)/25)*Calculateur!DB203*Calculateur!DD203*VLOOKUP('Données projet'!$B$13,Paramètres!$A$1:$I$89,3,0)*0.475*44/12</f>
        <v>2.2162804904452114</v>
      </c>
      <c r="DH203" s="21">
        <f>EXP(-LN(2)/2)*DH202+(1-EXP(-LN(2)/2))/(LN(2)/2)*DB203*DE203*VLOOKUP('Données projet'!$B$13,Paramètres!$A$1:$I$89,3,0)*0.475*44/12</f>
        <v>9.3148765551228301E-12</v>
      </c>
      <c r="DI203" s="22">
        <f t="shared" si="175"/>
        <v>19.375460074450704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-1.7053025658242404E-13</v>
      </c>
      <c r="DP203" s="17">
        <f>DO203*VLOOKUP('Données projet'!$B$14,Paramètres!$A$1:$I$89,3,0)*VLOOKUP('Données projet'!$B$14,Paramètres!$A$1:$I$89,5,0)</f>
        <v>-1.4897523215040567E-13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324.86930206492627</v>
      </c>
      <c r="DU203" s="59">
        <f t="shared" si="209"/>
        <v>317.03005098025352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4.2792478818816999</v>
      </c>
      <c r="EB203" s="21">
        <f>EXP(-LN(2)/25)*EB202+(1-EXP(-LN(2)/25))/(LN(2)/25)*Calculateur!DW203*Calculateur!DY203*VLOOKUP('Données projet'!$B$14,Paramètres!$A$1:$I$89,3,0)*0.475*44/12</f>
        <v>1.6697485695956291</v>
      </c>
      <c r="EC203" s="21">
        <f>EXP(-LN(2)/2)*EC202+(1-EXP(-LN(2)/2))/(LN(2)/2)*DW203*DZ203*VLOOKUP('Données projet'!$B$14,Paramètres!$A$1:$I$89,3,0)*0.475*44/12</f>
        <v>4.9505546380451416E-17</v>
      </c>
      <c r="ED203" s="22">
        <f t="shared" si="178"/>
        <v>5.9489964514773295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1.3275965341357465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1.277483324775911</v>
      </c>
      <c r="BA205" s="82">
        <f>EXP(LN('Données projet'!B88)/'Données projet'!A88)</f>
        <v>1.1281922301282807</v>
      </c>
      <c r="BV205" s="82">
        <f>EXP(LN('Données projet'!B114)/'Données projet'!A114)</f>
        <v>1.3208724756526424</v>
      </c>
      <c r="CQ205" s="82">
        <f>EXP(LN('Données projet'!B140)/'Données projet'!A140)</f>
        <v>1.1250852766440629</v>
      </c>
      <c r="DL205" s="82">
        <f>EXP(LN('Données projet'!B166)/'Données projet'!A166)</f>
        <v>1.2721747796233518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23" sqref="L23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Pin maritime</v>
      </c>
      <c r="B6" s="146">
        <f>'Données projet'!D9</f>
        <v>2.2493913043478262</v>
      </c>
      <c r="C6" s="147">
        <f ca="1">IF(OR('Données projet'!B9="",'Données projet'!C9="",'Données projet'!C9=0%),0,Calculateur!S3)</f>
        <v>302.00825291248458</v>
      </c>
      <c r="D6" s="147">
        <f>IF(OR('Données projet'!B9="",'Données projet'!C9="",'Données projet'!C9=0%),0,Calculateur!T3)</f>
        <v>307.35115839449355</v>
      </c>
      <c r="E6" s="147">
        <f ca="1">MIN(C6,D6)</f>
        <v>302.00825291248458</v>
      </c>
      <c r="F6" s="147">
        <f ca="1">E6*B6</f>
        <v>679.33473794262181</v>
      </c>
      <c r="G6" s="147">
        <f ca="1">F6*(100%-'Données projet'!$C$24)*(100%-'Données projet'!$C$25)*(100%-'Données projet'!$C$26)*(100%-'Données projet'!$C$27)</f>
        <v>611.4012641483597</v>
      </c>
      <c r="H6" s="148">
        <f>IF(OR('Données projet'!B9="",'Données projet'!C9="",'Données projet'!C9=0%),0,AVERAGE(Calculateur!$AC$3:$AC$33)*B6)</f>
        <v>23.215834800269715</v>
      </c>
      <c r="I6" s="149">
        <f>H6*(100%-'Données projet'!$C$24)*(100%-'Données projet'!$C$25)*(100%-'Données projet'!$C$26)*(100%-'Données projet'!$C$27)</f>
        <v>20.894251320242745</v>
      </c>
      <c r="J6" s="150">
        <f>IF(OR('Données projet'!B9="",'Données projet'!C9="",'Données projet'!C9=0%),0,SUM(Calculateur!$V$3:$V$33)*VLOOKUP('Données projet'!$B$9,Paramètres!$A$1:$I$89,9,0)*B6)</f>
        <v>205.06980716521736</v>
      </c>
      <c r="K6" s="151">
        <f>J6*(100%-'Données projet'!$C$24)*(100%-'Données projet'!$C$25)*(100%-'Données projet'!$C$26)*(100%-'Données projet'!$C$27)</f>
        <v>184.56282644869563</v>
      </c>
      <c r="L6" s="152">
        <f ca="1">G6+I6+K6</f>
        <v>816.85834191729805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Séquoia toujours vert</v>
      </c>
      <c r="B7" s="154">
        <f>'Données projet'!D10</f>
        <v>2.353623188405797E-2</v>
      </c>
      <c r="C7" s="147">
        <f ca="1">IF(OR('Données projet'!B10="",'Données projet'!C10="",'Données projet'!C10=0%),0,Calculateur!AN3)</f>
        <v>394.37446333077651</v>
      </c>
      <c r="D7" s="147">
        <f>IF(OR('Données projet'!B10="",'Données projet'!C10="",'Données projet'!C10=0%),0,Calculateur!AO3)</f>
        <v>335.44327961212963</v>
      </c>
      <c r="E7" s="147">
        <f t="shared" ref="E7:E15" ca="1" si="0">MIN(C7,D7)</f>
        <v>335.44327961212963</v>
      </c>
      <c r="F7" s="147">
        <f t="shared" ref="F7:F15" ca="1" si="1">E7*B7</f>
        <v>7.895070812899978</v>
      </c>
      <c r="G7" s="147">
        <f ca="1">F7*(100%-'Données projet'!$C$24)*(100%-'Données projet'!$C$25)*(100%-'Données projet'!$C$26)*(100%-'Données projet'!$C$27)</f>
        <v>7.1055637316099807</v>
      </c>
      <c r="H7" s="155">
        <f>IF(OR('Données projet'!B10="",'Données projet'!C10="",'Données projet'!C10=0%),0,AVERAGE(Calculateur!$AX$3:$AX$33)*B7)</f>
        <v>0.10950716110347755</v>
      </c>
      <c r="I7" s="149">
        <f>H7*(100%-'Données projet'!$C$24)*(100%-'Données projet'!$C$25)*(100%-'Données projet'!$C$26)*(100%-'Données projet'!$C$27)</f>
        <v>9.8556444993129794E-2</v>
      </c>
      <c r="J7" s="150">
        <f>IF(OR('Données projet'!B10="",'Données projet'!C10="",'Données projet'!C10=0%),0,SUM(Calculateur!$AQ$3:$AQ$33)*VLOOKUP('Données projet'!$B$10,Paramètres!$A$1:$I$89,9,0)*B7)</f>
        <v>1.3257959420289855</v>
      </c>
      <c r="K7" s="151">
        <f>J7*(100%-'Données projet'!$C$24)*(100%-'Données projet'!$C$25)*(100%-'Données projet'!$C$26)*(100%-'Données projet'!$C$27)</f>
        <v>1.1932163478260871</v>
      </c>
      <c r="L7" s="152">
        <f t="shared" ref="L7:L15" ca="1" si="2">G7+I7+K7</f>
        <v>8.397336524429198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sessile</v>
      </c>
      <c r="B8" s="154">
        <f>'Données projet'!D11</f>
        <v>0.2353623188405797</v>
      </c>
      <c r="C8" s="147">
        <f ca="1">IF(OR('Données projet'!B11="",'Données projet'!C11="",'Données projet'!C11=0%),0,Calculateur!BI3)</f>
        <v>490.06222615476065</v>
      </c>
      <c r="D8" s="147">
        <f>IF(OR('Données projet'!B11="",'Données projet'!C11="",'Données projet'!C11=0%),0,Calculateur!BJ3)</f>
        <v>310.43914804089906</v>
      </c>
      <c r="E8" s="147">
        <f t="shared" ca="1" si="0"/>
        <v>310.43914804089906</v>
      </c>
      <c r="F8" s="147">
        <f t="shared" ca="1" si="1"/>
        <v>73.065677741800002</v>
      </c>
      <c r="G8" s="147">
        <f ca="1">F8*(100%-'Données projet'!$C$24)*(100%-'Données projet'!$C$25)*(100%-'Données projet'!$C$26)*(100%-'Données projet'!$C$27)</f>
        <v>65.759109967620006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65.759109967620006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Erable plane</v>
      </c>
      <c r="B9" s="154">
        <f>'Données projet'!D12</f>
        <v>5.4637681159420283E-2</v>
      </c>
      <c r="C9" s="147">
        <f ca="1">IF(OR('Données projet'!B12="",'Données projet'!C12="",'Données projet'!C12=0%),0,Calculateur!CD3)</f>
        <v>353.37479213497227</v>
      </c>
      <c r="D9" s="147">
        <f>IF(OR('Données projet'!B12="",'Données projet'!C12="",'Données projet'!C12=0%),0,Calculateur!CE3)</f>
        <v>345.4750813433123</v>
      </c>
      <c r="E9" s="147">
        <f t="shared" ca="1" si="0"/>
        <v>345.4750813433123</v>
      </c>
      <c r="F9" s="147">
        <f t="shared" ca="1" si="1"/>
        <v>18.875957342960685</v>
      </c>
      <c r="G9" s="147">
        <f ca="1">F9*(100%-'Données projet'!$C$24)*(100%-'Données projet'!$C$25)*(100%-'Données projet'!$C$26)*(100%-'Données projet'!$C$27)</f>
        <v>16.988361608664619</v>
      </c>
      <c r="H9" s="155">
        <f>IF(OR('Données projet'!B12="",'Données projet'!C12="",'Données projet'!C12=0%),0,AVERAGE(Calculateur!$CN$3:$CN$33)*B9)</f>
        <v>0.32990191855213147</v>
      </c>
      <c r="I9" s="149">
        <f>H9*(100%-'Données projet'!$C$24)*(100%-'Données projet'!$C$25)*(100%-'Données projet'!$C$26)*(100%-'Données projet'!$C$27)</f>
        <v>0.29691172669691834</v>
      </c>
      <c r="J9" s="150">
        <f>IF(OR('Données projet'!B12="",'Données projet'!C12="",'Données projet'!C12=0%),0,SUM(Calculateur!$CG$3:$CG$33)*VLOOKUP('Données projet'!$B$12,Paramètres!$A$1:$I$89,9,0)*B9)</f>
        <v>1.8713405797101448</v>
      </c>
      <c r="K9" s="151">
        <f>J9*(100%-'Données projet'!$C$24)*(100%-'Données projet'!$C$25)*(100%-'Données projet'!$C$26)*(100%-'Données projet'!$C$27)</f>
        <v>1.6842065217391304</v>
      </c>
      <c r="L9" s="152">
        <f t="shared" ca="1" si="2"/>
        <v>18.969479857100669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Sapin méditerranéen</v>
      </c>
      <c r="B10" s="154">
        <f>'Données projet'!D13</f>
        <v>2.353623188405797E-2</v>
      </c>
      <c r="C10" s="147">
        <f ca="1">IF(OR('Données projet'!B13="",'Données projet'!C13="",'Données projet'!C13=0%),0,Calculateur!CY3)</f>
        <v>314.18760071409162</v>
      </c>
      <c r="D10" s="147">
        <f>IF(OR('Données projet'!B13="",'Données projet'!C13="",'Données projet'!C13=0%),0,Calculateur!CZ3)</f>
        <v>267.72650645201787</v>
      </c>
      <c r="E10" s="147">
        <f t="shared" ca="1" si="0"/>
        <v>267.72650645201787</v>
      </c>
      <c r="F10" s="147">
        <f t="shared" ca="1" si="1"/>
        <v>6.3012731373634354</v>
      </c>
      <c r="G10" s="147">
        <f ca="1">F10*(100%-'Données projet'!$C$24)*(100%-'Données projet'!$C$25)*(100%-'Données projet'!$C$26)*(100%-'Données projet'!$C$27)</f>
        <v>5.671145823627092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5.671145823627092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Eucalyptus</v>
      </c>
      <c r="B11" s="154">
        <f>'Données projet'!D14</f>
        <v>2.353623188405797E-2</v>
      </c>
      <c r="C11" s="147">
        <f ca="1">IF(OR('Données projet'!B14="",'Données projet'!C14="",'Données projet'!C14=0%),0,Calculateur!DT3)</f>
        <v>324.86930206492627</v>
      </c>
      <c r="D11" s="147">
        <f>IF(OR('Données projet'!B14="",'Données projet'!C14="",'Données projet'!C14=0%),0,Calculateur!DU3)</f>
        <v>317.03005098025352</v>
      </c>
      <c r="E11" s="147">
        <f t="shared" ca="1" si="0"/>
        <v>317.03005098025352</v>
      </c>
      <c r="F11" s="147">
        <f t="shared" ca="1" si="1"/>
        <v>7.461692794085967</v>
      </c>
      <c r="G11" s="147">
        <f ca="1">F11*(100%-'Données projet'!$C$24)*(100%-'Données projet'!$C$25)*(100%-'Données projet'!$C$26)*(100%-'Données projet'!$C$27)</f>
        <v>6.7155235146773702</v>
      </c>
      <c r="H11" s="155">
        <f>IF(OR('Données projet'!B14="",'Données projet'!C14="",'Données projet'!C14=0%),0,AVERAGE(Calculateur!$ED$3:$ED$33)*B11)</f>
        <v>0.10303514597035983</v>
      </c>
      <c r="I11" s="149">
        <f>H11*(100%-'Données projet'!$C$24)*(100%-'Données projet'!$C$25)*(100%-'Données projet'!$C$26)*(100%-'Données projet'!$C$27)</f>
        <v>9.2731631373323853E-2</v>
      </c>
      <c r="J11" s="150">
        <f>IF(OR('Données projet'!B14="",'Données projet'!C14="",'Données projet'!C14=0%),0,SUM(Calculateur!$DW$3:$DW$33)*VLOOKUP('Données projet'!$B$14,Paramètres!$A$1:$I$89,9,0)*B11)</f>
        <v>0.58252173913043481</v>
      </c>
      <c r="K11" s="151">
        <f>J11*(100%-'Données projet'!$C$24)*(100%-'Données projet'!$C$25)*(100%-'Données projet'!$C$26)*(100%-'Données projet'!$C$27)</f>
        <v>0.52426956521739132</v>
      </c>
      <c r="L11" s="152">
        <f t="shared" ca="1" si="2"/>
        <v>7.3325247112680856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792.93440977173179</v>
      </c>
      <c r="G16" s="166">
        <f t="shared" ca="1" si="3"/>
        <v>713.64096879455872</v>
      </c>
      <c r="H16" s="167">
        <f t="shared" si="3"/>
        <v>23.758279025895682</v>
      </c>
      <c r="I16" s="167">
        <f t="shared" si="3"/>
        <v>21.382451123306115</v>
      </c>
      <c r="J16" s="168">
        <f t="shared" si="3"/>
        <v>208.84946542608691</v>
      </c>
      <c r="K16" s="168">
        <f t="shared" si="3"/>
        <v>187.96451888347823</v>
      </c>
      <c r="L16" s="169">
        <f t="shared" ca="1" si="3"/>
        <v>922.98793880134303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Séquoia toujours vert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Sapin méditerranéen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Eucalyptus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85" zoomScaleNormal="85" workbookViewId="0">
      <selection activeCell="J23" sqref="J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2325.0549232718267</v>
      </c>
      <c r="U10" s="178">
        <f>'Données projet'!D9</f>
        <v>2.2493913043478262</v>
      </c>
      <c r="V10" s="177">
        <f>U10*T10</f>
        <v>5229.9583265387491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Séquoia toujours vert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2081.9173047245681</v>
      </c>
      <c r="U11" s="178">
        <f>'Données projet'!D10</f>
        <v>2.353623188405797E-2</v>
      </c>
      <c r="V11" s="177">
        <f t="shared" ref="V11" si="0">U11*T11</f>
        <v>49.000488447430413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1106.4428348554077</v>
      </c>
      <c r="U12" s="178">
        <f>'Données projet'!D11</f>
        <v>0.2353623188405797</v>
      </c>
      <c r="V12" s="177">
        <f t="shared" ref="V12:V19" si="1">U12*T12</f>
        <v>260.41495127611336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plane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1728.1744097706571</v>
      </c>
      <c r="U13" s="178">
        <f>'Données projet'!D12</f>
        <v>5.4637681159420283E-2</v>
      </c>
      <c r="V13" s="177">
        <f t="shared" si="1"/>
        <v>94.423442388918502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Sapin méditerranéen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932.38618509049138</v>
      </c>
      <c r="U14" s="178">
        <f>'Données projet'!D13</f>
        <v>2.353623188405797E-2</v>
      </c>
      <c r="V14" s="177">
        <f t="shared" si="1"/>
        <v>21.944857457782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Eucalyptus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995.49746308053523</v>
      </c>
      <c r="U15" s="178">
        <f>'Données projet'!D14</f>
        <v>2.353623188405797E-2</v>
      </c>
      <c r="V15" s="177">
        <f t="shared" si="1"/>
        <v>23.430259131054914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v>3800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900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17</v>
      </c>
      <c r="B23" s="181">
        <f>'Données projet'!D36</f>
        <v>41.179999999999993</v>
      </c>
      <c r="C23" s="193">
        <v>8</v>
      </c>
      <c r="D23" s="182">
        <f>B23*C23</f>
        <v>329.43999999999994</v>
      </c>
      <c r="E23" s="193">
        <v>60</v>
      </c>
      <c r="F23" s="230"/>
      <c r="H23" s="190">
        <v>5</v>
      </c>
      <c r="I23" s="191">
        <v>650</v>
      </c>
      <c r="J23" s="257" cm="1">
        <f t="array" ref="J23">SUM(I20:I23*'Données projet'!C5)</f>
        <v>15660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-8810.7818102932124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23</v>
      </c>
      <c r="B24" s="181">
        <f>'Données projet'!D37</f>
        <v>58.370000000000005</v>
      </c>
      <c r="C24" s="193">
        <v>13.125</v>
      </c>
      <c r="D24" s="182">
        <f t="shared" ref="D24:D42" si="2">B24*C24</f>
        <v>766.10625000000005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4518.0190015773796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29</v>
      </c>
      <c r="B25" s="181">
        <f>'Données projet'!D38</f>
        <v>54.97</v>
      </c>
      <c r="C25" s="193">
        <v>24.5</v>
      </c>
      <c r="D25" s="182">
        <f t="shared" si="2"/>
        <v>1346.7649999999999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4">
        <f ca="1">T23-T24</f>
        <v>-13328.800811870591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36</v>
      </c>
      <c r="B26" s="181">
        <f>'Données projet'!D39</f>
        <v>76.509999999999991</v>
      </c>
      <c r="C26" s="193">
        <v>24.5</v>
      </c>
      <c r="D26" s="182">
        <f t="shared" si="2"/>
        <v>1874.4949999999999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44</v>
      </c>
      <c r="B27" s="181">
        <f>'Données projet'!D40</f>
        <v>78.240000000000009</v>
      </c>
      <c r="C27" s="193">
        <v>24.5</v>
      </c>
      <c r="D27" s="182">
        <f t="shared" si="2"/>
        <v>1916.88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52</v>
      </c>
      <c r="B28" s="181">
        <f>'Données projet'!D41</f>
        <v>75.70999999999998</v>
      </c>
      <c r="C28" s="193">
        <v>24.5</v>
      </c>
      <c r="D28" s="182">
        <f t="shared" si="2"/>
        <v>1854.8949999999995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60</v>
      </c>
      <c r="B29" s="181">
        <f>'Données projet'!D42</f>
        <v>437.74</v>
      </c>
      <c r="C29" s="193">
        <v>24.5</v>
      </c>
      <c r="D29" s="182">
        <f t="shared" si="2"/>
        <v>10724.630000000001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1731.0417630564673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Séquoia toujours vert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20</v>
      </c>
      <c r="B54" s="181">
        <f>'Données projet'!D62</f>
        <v>5</v>
      </c>
      <c r="C54" s="191">
        <v>13.396875</v>
      </c>
      <c r="D54" s="179">
        <f>B54*C54</f>
        <v>66.984375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25</v>
      </c>
      <c r="B55" s="181">
        <f>'Données projet'!D63</f>
        <v>63</v>
      </c>
      <c r="C55" s="191">
        <v>13.396875</v>
      </c>
      <c r="D55" s="179">
        <f>B55*C55</f>
        <v>844.00312499999995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30</v>
      </c>
      <c r="B56" s="181">
        <f>'Données projet'!D64</f>
        <v>63</v>
      </c>
      <c r="C56" s="191">
        <v>13.396875</v>
      </c>
      <c r="D56" s="179">
        <f>B56*C56</f>
        <v>844.00312499999995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35</v>
      </c>
      <c r="B57" s="181">
        <f>'Données projet'!D65</f>
        <v>63</v>
      </c>
      <c r="C57" s="191">
        <v>13.396875</v>
      </c>
      <c r="D57" s="179">
        <f>B57*C57</f>
        <v>844.00312499999995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40</v>
      </c>
      <c r="B58" s="181">
        <f>'Données projet'!D66</f>
        <v>63</v>
      </c>
      <c r="C58" s="191">
        <v>13.396875</v>
      </c>
      <c r="D58" s="179">
        <f>B58*C58</f>
        <v>844.00312499999995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45</v>
      </c>
      <c r="B59" s="181">
        <f>'Données projet'!D67</f>
        <v>63</v>
      </c>
      <c r="C59" s="191">
        <v>29.599999999999998</v>
      </c>
      <c r="D59" s="179">
        <f>B59*C59</f>
        <v>1864.8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50</v>
      </c>
      <c r="B60" s="181">
        <f>'Données projet'!D68</f>
        <v>63</v>
      </c>
      <c r="C60" s="191">
        <v>29.599999999999998</v>
      </c>
      <c r="D60" s="179">
        <f>B60*C60</f>
        <v>1864.8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55</v>
      </c>
      <c r="B61" s="181">
        <f>'Données projet'!D69</f>
        <v>60</v>
      </c>
      <c r="C61" s="191">
        <v>29.599999999999998</v>
      </c>
      <c r="D61" s="179">
        <f>B61*C61</f>
        <v>1775.9999999999998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60</v>
      </c>
      <c r="B62" s="181">
        <f>'Données projet'!D70</f>
        <v>53</v>
      </c>
      <c r="C62" s="191">
        <v>29.599999999999998</v>
      </c>
      <c r="D62" s="179">
        <f>B62*C62</f>
        <v>1568.8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65</v>
      </c>
      <c r="B63" s="181">
        <f>'Données projet'!D71</f>
        <v>48</v>
      </c>
      <c r="C63" s="191">
        <v>29.599999999999998</v>
      </c>
      <c r="D63" s="179">
        <f>B63*C63</f>
        <v>1420.8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70</v>
      </c>
      <c r="B64" s="181">
        <f>'Données projet'!D72</f>
        <v>45</v>
      </c>
      <c r="C64" s="191">
        <v>29.599999999999998</v>
      </c>
      <c r="D64" s="179">
        <f>B64*C64</f>
        <v>1332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75</v>
      </c>
      <c r="B65" s="181">
        <f>'Données projet'!D73</f>
        <v>43</v>
      </c>
      <c r="C65" s="191">
        <v>29.599999999999998</v>
      </c>
      <c r="D65" s="179">
        <f>B65*C65</f>
        <v>1272.8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80</v>
      </c>
      <c r="B66" s="181">
        <f>'Données projet'!D74</f>
        <v>776</v>
      </c>
      <c r="C66" s="191">
        <v>29.599999999999998</v>
      </c>
      <c r="D66" s="179">
        <f>B66*C66</f>
        <v>22969.599999999999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ref="D67:D73" si="5">B67*C67</f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4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4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4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4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4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4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44</v>
      </c>
      <c r="B85" s="181">
        <f>'Données projet'!D88</f>
        <v>76.680000000000007</v>
      </c>
      <c r="C85" s="191">
        <v>15</v>
      </c>
      <c r="D85" s="179">
        <f>B85*C85</f>
        <v>1150.2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4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51</v>
      </c>
      <c r="B86" s="181">
        <f>'Données projet'!D89</f>
        <v>48.769999999999982</v>
      </c>
      <c r="C86" s="191">
        <v>15</v>
      </c>
      <c r="D86" s="179">
        <f t="shared" ref="D86:D104" si="6">B86*C86</f>
        <v>731.54999999999973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4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59</v>
      </c>
      <c r="B87" s="181">
        <f>'Données projet'!D90</f>
        <v>52.75</v>
      </c>
      <c r="C87" s="191">
        <v>59.875</v>
      </c>
      <c r="D87" s="179">
        <f t="shared" si="6"/>
        <v>3158.40625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4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67</v>
      </c>
      <c r="B88" s="181">
        <f>'Données projet'!D91</f>
        <v>44.170000000000016</v>
      </c>
      <c r="C88" s="191">
        <v>59.875</v>
      </c>
      <c r="D88" s="179">
        <f t="shared" si="6"/>
        <v>2644.6787500000009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4"/>
        <v>7.1071259578129595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75</v>
      </c>
      <c r="B89" s="181">
        <f>'Données projet'!D92</f>
        <v>43.289999999999992</v>
      </c>
      <c r="C89" s="191">
        <v>59.875</v>
      </c>
      <c r="D89" s="179">
        <f t="shared" si="6"/>
        <v>2591.9887499999995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4"/>
        <v>6.8010774715913502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84</v>
      </c>
      <c r="B90" s="181">
        <f>'Données projet'!D93</f>
        <v>49.669999999999987</v>
      </c>
      <c r="C90" s="191">
        <v>59.875</v>
      </c>
      <c r="D90" s="179">
        <f t="shared" si="6"/>
        <v>2973.9912499999991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4"/>
        <v>6.5082081067859825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93</v>
      </c>
      <c r="B91" s="181">
        <f>'Données projet'!D94</f>
        <v>42.910000000000025</v>
      </c>
      <c r="C91" s="191">
        <v>59.875</v>
      </c>
      <c r="D91" s="179">
        <f t="shared" si="6"/>
        <v>2569.2362500000013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4"/>
        <v>6.2279503414219937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103</v>
      </c>
      <c r="B92" s="181">
        <f>'Données projet'!D95</f>
        <v>56.789999999999964</v>
      </c>
      <c r="C92" s="191">
        <v>59.875</v>
      </c>
      <c r="D92" s="179">
        <f t="shared" si="6"/>
        <v>3400.3012499999977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4"/>
        <v>5.9597610922698507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113</v>
      </c>
      <c r="B93" s="181">
        <f>'Données projet'!D96</f>
        <v>45.660000000000025</v>
      </c>
      <c r="C93" s="191">
        <v>179.75</v>
      </c>
      <c r="D93" s="179">
        <f t="shared" si="6"/>
        <v>8207.3850000000039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4"/>
        <v>5.7031206624591881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125</v>
      </c>
      <c r="B94" s="181">
        <f>'Données projet'!D97</f>
        <v>70</v>
      </c>
      <c r="C94" s="191">
        <v>179.75</v>
      </c>
      <c r="D94" s="179">
        <f t="shared" si="6"/>
        <v>12582.5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4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137</v>
      </c>
      <c r="B95" s="181">
        <f>'Données projet'!D98</f>
        <v>74.669999999999959</v>
      </c>
      <c r="C95" s="191">
        <v>179.75</v>
      </c>
      <c r="D95" s="179">
        <f t="shared" si="6"/>
        <v>13421.932499999994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4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149</v>
      </c>
      <c r="B96" s="181">
        <f>'Données projet'!D99</f>
        <v>176.67000000000002</v>
      </c>
      <c r="C96" s="191">
        <v>234.375</v>
      </c>
      <c r="D96" s="179">
        <f t="shared" si="6"/>
        <v>41407.031250000007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4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153</v>
      </c>
      <c r="B97" s="181">
        <f>'Données projet'!D100</f>
        <v>102.89000000000001</v>
      </c>
      <c r="C97" s="191">
        <v>234.375</v>
      </c>
      <c r="D97" s="179">
        <f t="shared" si="6"/>
        <v>24114.843750000004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157</v>
      </c>
      <c r="B98" s="181">
        <f>'Données projet'!D101</f>
        <v>67.13000000000001</v>
      </c>
      <c r="C98" s="191">
        <v>234.375</v>
      </c>
      <c r="D98" s="179">
        <f t="shared" si="6"/>
        <v>15733.593750000002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161</v>
      </c>
      <c r="B99" s="181">
        <f>'Données projet'!D102</f>
        <v>134.26</v>
      </c>
      <c r="C99" s="191">
        <v>234.375</v>
      </c>
      <c r="D99" s="179">
        <f t="shared" si="6"/>
        <v>31467.187499999996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Erable plane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15</v>
      </c>
      <c r="B116" s="181">
        <f>'Données projet'!D114</f>
        <v>32</v>
      </c>
      <c r="C116" s="191">
        <v>13.75</v>
      </c>
      <c r="D116" s="179">
        <f>B116*C116</f>
        <v>440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20</v>
      </c>
      <c r="B117" s="181">
        <f>'Données projet'!D115</f>
        <v>35</v>
      </c>
      <c r="C117" s="191">
        <v>13.75</v>
      </c>
      <c r="D117" s="179">
        <f t="shared" ref="D117:D135" si="8">B117*C117</f>
        <v>481.25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25</v>
      </c>
      <c r="B118" s="181">
        <f>'Données projet'!D116</f>
        <v>35</v>
      </c>
      <c r="C118" s="191">
        <v>13.75</v>
      </c>
      <c r="D118" s="179">
        <f t="shared" si="8"/>
        <v>481.25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30</v>
      </c>
      <c r="B119" s="181">
        <f>'Données projet'!D117</f>
        <v>35</v>
      </c>
      <c r="C119" s="191">
        <v>23.75</v>
      </c>
      <c r="D119" s="179">
        <f t="shared" si="8"/>
        <v>831.25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35</v>
      </c>
      <c r="B120" s="181">
        <f>'Données projet'!D118</f>
        <v>35</v>
      </c>
      <c r="C120" s="191">
        <v>23.75</v>
      </c>
      <c r="D120" s="179">
        <f t="shared" si="8"/>
        <v>831.25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40</v>
      </c>
      <c r="B121" s="181">
        <f>'Données projet'!D119</f>
        <v>35</v>
      </c>
      <c r="C121" s="191">
        <v>23.75</v>
      </c>
      <c r="D121" s="179">
        <f t="shared" si="8"/>
        <v>831.25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45</v>
      </c>
      <c r="B122" s="181">
        <f>'Données projet'!D120</f>
        <v>24</v>
      </c>
      <c r="C122" s="191">
        <v>23.75</v>
      </c>
      <c r="D122" s="179">
        <f t="shared" si="8"/>
        <v>570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50</v>
      </c>
      <c r="B123" s="181">
        <f>'Données projet'!D121</f>
        <v>19</v>
      </c>
      <c r="C123" s="191">
        <v>23.75</v>
      </c>
      <c r="D123" s="179">
        <f t="shared" si="8"/>
        <v>451.25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55</v>
      </c>
      <c r="B124" s="181">
        <f>'Données projet'!D122</f>
        <v>16</v>
      </c>
      <c r="C124" s="191">
        <v>44.375</v>
      </c>
      <c r="D124" s="179">
        <f t="shared" si="8"/>
        <v>710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60</v>
      </c>
      <c r="B125" s="181">
        <f>'Données projet'!D123</f>
        <v>14</v>
      </c>
      <c r="C125" s="191">
        <v>44.375</v>
      </c>
      <c r="D125" s="179">
        <f t="shared" si="8"/>
        <v>621.25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65</v>
      </c>
      <c r="B126" s="181">
        <f>'Données projet'!D124</f>
        <v>13</v>
      </c>
      <c r="C126" s="191">
        <v>44.375</v>
      </c>
      <c r="D126" s="179">
        <f t="shared" si="8"/>
        <v>576.875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70</v>
      </c>
      <c r="B127" s="181">
        <f>'Données projet'!D125</f>
        <v>13</v>
      </c>
      <c r="C127" s="191">
        <v>44.375</v>
      </c>
      <c r="D127" s="179">
        <f t="shared" si="8"/>
        <v>576.875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75</v>
      </c>
      <c r="B128" s="181">
        <f>'Données projet'!D126</f>
        <v>12</v>
      </c>
      <c r="C128" s="191">
        <v>44.375</v>
      </c>
      <c r="D128" s="179">
        <f t="shared" si="8"/>
        <v>532.5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80</v>
      </c>
      <c r="B129" s="181">
        <f>'Données projet'!D127</f>
        <v>330</v>
      </c>
      <c r="C129" s="191">
        <v>44.375</v>
      </c>
      <c r="D129" s="179">
        <f t="shared" si="8"/>
        <v>14643.75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Sapin méditerranéen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50</v>
      </c>
      <c r="B147" s="175">
        <f>'Données projet'!D140</f>
        <v>103.56</v>
      </c>
      <c r="C147" s="191">
        <v>15.5</v>
      </c>
      <c r="D147" s="182">
        <f>B147*C147</f>
        <v>1605.18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60</v>
      </c>
      <c r="B148" s="175">
        <f>'Données projet'!D141</f>
        <v>144.33999999999997</v>
      </c>
      <c r="C148" s="191">
        <v>31</v>
      </c>
      <c r="D148" s="182">
        <f t="shared" ref="D148:D166" si="10">B148*C148</f>
        <v>4474.5399999999991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70</v>
      </c>
      <c r="B149" s="175">
        <f>'Données projet'!D142</f>
        <v>115.41000000000003</v>
      </c>
      <c r="C149" s="191">
        <v>31</v>
      </c>
      <c r="D149" s="182">
        <f t="shared" si="10"/>
        <v>3577.7100000000009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80</v>
      </c>
      <c r="B150" s="175">
        <f>'Données projet'!D143</f>
        <v>88.079999999999984</v>
      </c>
      <c r="C150" s="191">
        <v>31</v>
      </c>
      <c r="D150" s="182">
        <f t="shared" si="10"/>
        <v>2730.4799999999996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90</v>
      </c>
      <c r="B151" s="175">
        <f>'Données projet'!D144</f>
        <v>63.949999999999989</v>
      </c>
      <c r="C151" s="191">
        <v>31</v>
      </c>
      <c r="D151" s="182">
        <f t="shared" si="10"/>
        <v>1982.4499999999996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100</v>
      </c>
      <c r="B152" s="175">
        <f>'Données projet'!D145</f>
        <v>195.94</v>
      </c>
      <c r="C152" s="191">
        <v>41</v>
      </c>
      <c r="D152" s="182">
        <f t="shared" si="10"/>
        <v>8033.54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110</v>
      </c>
      <c r="B153" s="175">
        <f>'Données projet'!D146</f>
        <v>140.69</v>
      </c>
      <c r="C153" s="191">
        <v>31</v>
      </c>
      <c r="D153" s="182">
        <f t="shared" si="10"/>
        <v>4361.3900000000003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120</v>
      </c>
      <c r="B154" s="175">
        <f>'Données projet'!D147</f>
        <v>183.47</v>
      </c>
      <c r="C154" s="191">
        <v>41</v>
      </c>
      <c r="D154" s="182">
        <f t="shared" si="10"/>
        <v>7522.2699999999995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Eucalyptus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15</v>
      </c>
      <c r="B178" s="181">
        <f>'Données projet'!D166</f>
        <v>15</v>
      </c>
      <c r="C178" s="193">
        <v>13.75</v>
      </c>
      <c r="D178" s="179">
        <f>B178*C178</f>
        <v>206.25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20</v>
      </c>
      <c r="B179" s="181">
        <f>'Données projet'!D167</f>
        <v>28</v>
      </c>
      <c r="C179" s="193">
        <v>13.75</v>
      </c>
      <c r="D179" s="179">
        <f t="shared" ref="D179:D197" si="11">B179*C179</f>
        <v>385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25</v>
      </c>
      <c r="B180" s="181">
        <f>'Données projet'!D168</f>
        <v>28</v>
      </c>
      <c r="C180" s="193">
        <v>13.75</v>
      </c>
      <c r="D180" s="179">
        <f t="shared" si="11"/>
        <v>385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30</v>
      </c>
      <c r="B181" s="181">
        <f>'Données projet'!D169</f>
        <v>28</v>
      </c>
      <c r="C181" s="193">
        <v>13.75</v>
      </c>
      <c r="D181" s="179">
        <f t="shared" si="11"/>
        <v>385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35</v>
      </c>
      <c r="B182" s="181">
        <f>'Données projet'!D170</f>
        <v>28</v>
      </c>
      <c r="C182" s="193">
        <v>23.75</v>
      </c>
      <c r="D182" s="179">
        <f t="shared" si="11"/>
        <v>665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40</v>
      </c>
      <c r="B183" s="181">
        <f>'Données projet'!D171</f>
        <v>28</v>
      </c>
      <c r="C183" s="193">
        <v>23.75</v>
      </c>
      <c r="D183" s="179">
        <f t="shared" si="11"/>
        <v>665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45</v>
      </c>
      <c r="B184" s="181">
        <f>'Données projet'!D172</f>
        <v>22</v>
      </c>
      <c r="C184" s="193">
        <v>23.75</v>
      </c>
      <c r="D184" s="179">
        <f t="shared" si="11"/>
        <v>522.5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50</v>
      </c>
      <c r="B185" s="181">
        <f>'Données projet'!D173</f>
        <v>17</v>
      </c>
      <c r="C185" s="193">
        <v>23.75</v>
      </c>
      <c r="D185" s="179">
        <f t="shared" si="11"/>
        <v>403.75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55</v>
      </c>
      <c r="B186" s="181">
        <f>'Données projet'!D174</f>
        <v>13</v>
      </c>
      <c r="C186" s="193">
        <v>23.75</v>
      </c>
      <c r="D186" s="179">
        <f t="shared" si="11"/>
        <v>308.75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60</v>
      </c>
      <c r="B187" s="181">
        <f>'Données projet'!D175</f>
        <v>12</v>
      </c>
      <c r="C187" s="193">
        <v>23.75</v>
      </c>
      <c r="D187" s="179">
        <f t="shared" si="11"/>
        <v>285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65</v>
      </c>
      <c r="B188" s="181">
        <f>'Données projet'!D176</f>
        <v>11</v>
      </c>
      <c r="C188" s="193">
        <v>23.75</v>
      </c>
      <c r="D188" s="179">
        <f t="shared" si="11"/>
        <v>261.25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70</v>
      </c>
      <c r="B189" s="181">
        <f>'Données projet'!D177</f>
        <v>10</v>
      </c>
      <c r="C189" s="193">
        <v>23.75</v>
      </c>
      <c r="D189" s="179">
        <f t="shared" si="11"/>
        <v>237.5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75</v>
      </c>
      <c r="B190" s="181">
        <f>'Données projet'!D178</f>
        <v>9</v>
      </c>
      <c r="C190" s="193">
        <v>23.75</v>
      </c>
      <c r="D190" s="179">
        <f t="shared" si="11"/>
        <v>213.75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80</v>
      </c>
      <c r="B191" s="181">
        <f>'Données projet'!D179</f>
        <v>275</v>
      </c>
      <c r="C191" s="193">
        <v>23.75</v>
      </c>
      <c r="D191" s="179">
        <f t="shared" si="11"/>
        <v>6531.25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>B211*C211</f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>B212*C212</f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>B213*C213</f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>B214*C214</f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>B215*C215</f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>B216*C216</f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>B217*C217</f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>B218*C218</f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>B219*C219</f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>B220*C220</f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>B221*C221</f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ref="D210:D228" si="12">B222*C222</f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ée un document." ma:contentTypeScope="" ma:versionID="b883bbb9b25661e8aceedaa63a758fe7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5578e133cdb16f0cf7c306f20050c564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B0E35B02-7977-49F8-AF42-4EA18147C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2024-08-01T15:31:19Z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