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Emmanuel COSTE/Les Essards/Nouveaux docs - 2 projets/Projet 1 - 14 ha/Dossier LBC/"/>
    </mc:Choice>
  </mc:AlternateContent>
  <xr:revisionPtr revIDLastSave="0" documentId="8_{79435BE6-7E31-421C-81B7-5791E2244F1D}" xr6:coauthVersionLast="47" xr6:coauthVersionMax="47" xr10:uidLastSave="{00000000-0000-0000-0000-000000000000}"/>
  <bookViews>
    <workbookView xWindow="-110" yWindow="-110" windowWidth="19420" windowHeight="115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R4" i="2"/>
  <c r="BQ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W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C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W22" i="2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HG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W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X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EX130" i="2"/>
  <c r="EB130" i="2"/>
  <c r="FS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W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H140" i="2"/>
  <c r="HG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FR145" i="2"/>
  <c r="HG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I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HH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A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G156" i="2"/>
  <c r="HH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HH160" i="2"/>
  <c r="DG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EX161" i="2"/>
  <c r="EA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HI163" i="2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V164" i="2" l="1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DG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HI168" i="2"/>
  <c r="EW168" i="2"/>
  <c r="EV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A179" i="2" l="1"/>
  <c r="HG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B185" i="2"/>
  <c r="EW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AA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HH201" i="2" l="1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Z6" i="2" l="1"/>
  <c r="FR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152" i="2" a="1"/>
  <c r="DN152" i="2" s="1"/>
  <c r="DN66" i="2" a="1"/>
  <c r="DN66" i="2" s="1"/>
  <c r="CS116" i="2" a="1"/>
  <c r="CS116" i="2" s="1"/>
  <c r="EI195" i="2" a="1"/>
  <c r="EI195" i="2" s="1"/>
  <c r="CS137" i="2" a="1"/>
  <c r="CS137" i="2" s="1"/>
  <c r="CS77" i="2" a="1"/>
  <c r="CS77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CS56" i="2" a="1"/>
  <c r="CS56" i="2" s="1"/>
  <c r="CS114" i="2" a="1"/>
  <c r="CS114" i="2" s="1"/>
  <c r="DN31" i="2" a="1"/>
  <c r="DN31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HJ202" i="2"/>
  <c r="EY202" i="2"/>
  <c r="AX200" i="2"/>
  <c r="AH90" i="2" l="1" a="1"/>
  <c r="AH90" i="2" s="1"/>
  <c r="AH92" i="2" a="1"/>
  <c r="AH92" i="2" s="1"/>
  <c r="AH151" i="2" a="1"/>
  <c r="AH151" i="2" s="1"/>
  <c r="DN132" i="2" a="1"/>
  <c r="DN132" i="2" s="1"/>
  <c r="DN30" i="2" a="1"/>
  <c r="DN30" i="2" s="1"/>
  <c r="DN41" i="2" a="1"/>
  <c r="DN41" i="2" s="1"/>
  <c r="DN162" i="2" a="1"/>
  <c r="DN162" i="2" s="1"/>
  <c r="DN114" i="2" a="1"/>
  <c r="DN114" i="2" s="1"/>
  <c r="FY79" i="2" a="1"/>
  <c r="FY79" i="2" s="1"/>
  <c r="DN49" i="2" a="1"/>
  <c r="DN49" i="2" s="1"/>
  <c r="DN103" i="2" a="1"/>
  <c r="DN103" i="2" s="1"/>
  <c r="FY28" i="2" a="1"/>
  <c r="FY28" i="2" s="1"/>
  <c r="FY47" i="2" a="1"/>
  <c r="FY47" i="2" s="1"/>
  <c r="DN176" i="2" a="1"/>
  <c r="DN176" i="2" s="1"/>
  <c r="DN164" i="2" a="1"/>
  <c r="DN164" i="2" s="1"/>
  <c r="FY121" i="2" a="1"/>
  <c r="FY121" i="2" s="1"/>
  <c r="DN153" i="2" a="1"/>
  <c r="DN153" i="2" s="1"/>
  <c r="DN137" i="2" a="1"/>
  <c r="DN137" i="2" s="1"/>
  <c r="FY24" i="2" a="1"/>
  <c r="FY24" i="2" s="1"/>
  <c r="FY78" i="2" a="1"/>
  <c r="FY78" i="2" s="1"/>
  <c r="FY191" i="2" a="1"/>
  <c r="FY191" i="2" s="1"/>
  <c r="FY35" i="2" a="1"/>
  <c r="FY35" i="2" s="1"/>
  <c r="DN86" i="2" a="1"/>
  <c r="DN86" i="2" s="1"/>
  <c r="FY126" i="2" a="1"/>
  <c r="FY126" i="2" s="1"/>
  <c r="FY140" i="2" a="1"/>
  <c r="FY140" i="2" s="1"/>
  <c r="FY143" i="2" a="1"/>
  <c r="FY143" i="2" s="1"/>
  <c r="DN187" i="2" a="1"/>
  <c r="DN187" i="2" s="1"/>
  <c r="DN190" i="2" a="1"/>
  <c r="DN190" i="2" s="1"/>
  <c r="DN135" i="2" a="1"/>
  <c r="DN135" i="2" s="1"/>
  <c r="FY167" i="2" a="1"/>
  <c r="FY167" i="2" s="1"/>
  <c r="DN170" i="2" a="1"/>
  <c r="DN170" i="2" s="1"/>
  <c r="FY124" i="2" a="1"/>
  <c r="FY124" i="2" s="1"/>
  <c r="FY174" i="2" a="1"/>
  <c r="FY174" i="2" s="1"/>
  <c r="FY110" i="2" a="1"/>
  <c r="FY110" i="2" s="1"/>
  <c r="FY165" i="2" a="1"/>
  <c r="FY165" i="2" s="1"/>
  <c r="DN29" i="2" a="1"/>
  <c r="DN29" i="2" s="1"/>
  <c r="DN16" i="2" a="1"/>
  <c r="DN16" i="2" s="1"/>
  <c r="FY115" i="2" a="1"/>
  <c r="FY115" i="2" s="1"/>
  <c r="FY34" i="2" a="1"/>
  <c r="FY34" i="2" s="1"/>
  <c r="DN177" i="2" a="1"/>
  <c r="DN177" i="2" s="1"/>
  <c r="FY188" i="2" a="1"/>
  <c r="FY188" i="2" s="1"/>
  <c r="FY29" i="2" a="1"/>
  <c r="FY29" i="2" s="1"/>
  <c r="DN133" i="2" a="1"/>
  <c r="DN133" i="2" s="1"/>
  <c r="DN38" i="2" a="1"/>
  <c r="DN38" i="2" s="1"/>
  <c r="FY142" i="2" a="1"/>
  <c r="FY142" i="2" s="1"/>
  <c r="DN123" i="2" a="1"/>
  <c r="DN123" i="2" s="1"/>
  <c r="DN129" i="2" a="1"/>
  <c r="DN129" i="2" s="1"/>
  <c r="FY169" i="2" a="1"/>
  <c r="FY169" i="2" s="1"/>
  <c r="FY99" i="2" a="1"/>
  <c r="FY99" i="2" s="1"/>
  <c r="FY153" i="2" a="1"/>
  <c r="FY153" i="2" s="1"/>
  <c r="FY146" i="2" a="1"/>
  <c r="FY146" i="2" s="1"/>
  <c r="FY109" i="2" a="1"/>
  <c r="FY109" i="2" s="1"/>
  <c r="FY164" i="2" a="1"/>
  <c r="FY164" i="2" s="1"/>
  <c r="DN115" i="2" a="1"/>
  <c r="DN115" i="2" s="1"/>
  <c r="BX107" i="2" a="1"/>
  <c r="BX107" i="2" s="1"/>
  <c r="FY80" i="2" a="1"/>
  <c r="FY80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188" i="2" a="1"/>
  <c r="DN188" i="2" s="1"/>
  <c r="FY133" i="2" a="1"/>
  <c r="FY133" i="2" s="1"/>
  <c r="FY58" i="2" a="1"/>
  <c r="FY58" i="2" s="1"/>
  <c r="FY149" i="2" a="1"/>
  <c r="FY149" i="2" s="1"/>
  <c r="DN65" i="2" a="1"/>
  <c r="DN65" i="2" s="1"/>
  <c r="DN70" i="2" a="1"/>
  <c r="DN70" i="2" s="1"/>
  <c r="DN63" i="2" a="1"/>
  <c r="DN63" i="2" s="1"/>
  <c r="FY30" i="2" a="1"/>
  <c r="FY30" i="2" s="1"/>
  <c r="DN113" i="2" a="1"/>
  <c r="DN113" i="2" s="1"/>
  <c r="FY190" i="2" a="1"/>
  <c r="FY190" i="2" s="1"/>
  <c r="FY92" i="2" a="1"/>
  <c r="FY92" i="2" s="1"/>
  <c r="FY69" i="2" a="1"/>
  <c r="FY69" i="2" s="1"/>
  <c r="FY22" i="2" a="1"/>
  <c r="FY22" i="2" s="1"/>
  <c r="DN167" i="2" a="1"/>
  <c r="DN167" i="2" s="1"/>
  <c r="DN46" i="2" a="1"/>
  <c r="DN46" i="2" s="1"/>
  <c r="FY86" i="2" a="1"/>
  <c r="FY86" i="2" s="1"/>
  <c r="FY159" i="2" a="1"/>
  <c r="FY159" i="2" s="1"/>
  <c r="DN45" i="2" a="1"/>
  <c r="DN45" i="2" s="1"/>
  <c r="DN55" i="2" a="1"/>
  <c r="DN55" i="2" s="1"/>
  <c r="DN80" i="2" a="1"/>
  <c r="DN80" i="2" s="1"/>
  <c r="FY42" i="2" a="1"/>
  <c r="FY42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FY173" i="2" a="1"/>
  <c r="FY173" i="2" s="1"/>
  <c r="DN43" i="2" a="1"/>
  <c r="DN43" i="2" s="1"/>
  <c r="DN186" i="2" a="1"/>
  <c r="DN186" i="2" s="1"/>
  <c r="DN110" i="2" a="1"/>
  <c r="DN110" i="2" s="1"/>
  <c r="FY196" i="2" a="1"/>
  <c r="FY196" i="2" s="1"/>
  <c r="DN192" i="2" a="1"/>
  <c r="DN192" i="2" s="1"/>
  <c r="DN184" i="2" a="1"/>
  <c r="DN184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<sst xmlns="http://schemas.openxmlformats.org/spreadsheetml/2006/main" count="1173" uniqueCount="325">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</sst>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2.1308141159990979</c:v>
                </c:pt>
                <c:pt idx="2">
                  <c:v>2.9281438920569403</c:v>
                </c:pt>
                <c:pt idx="3">
                  <c:v>4.0251008301171156</c:v>
                </c:pt>
                <c:pt idx="4">
                  <c:v>5.5347320133681039</c:v>
                </c:pt>
                <c:pt idx="5">
                  <c:v>7.6128950978985666</c:v>
                </c:pt>
                <c:pt idx="6">
                  <c:v>10.474526236664085</c:v>
                </c:pt>
                <c:pt idx="7">
                  <c:v>14.416109245825893</c:v>
                </c:pt>
                <c:pt idx="8">
                  <c:v>19.846716673503781</c:v>
                </c:pt>
                <c:pt idx="9">
                  <c:v>27.330902060221728</c:v>
                </c:pt>
                <c:pt idx="10">
                  <c:v>37.647980385231108</c:v>
                </c:pt>
                <c:pt idx="11">
                  <c:v>51.873974862320885</c:v>
                </c:pt>
                <c:pt idx="12">
                  <c:v>71.4949191061866</c:v>
                </c:pt>
                <c:pt idx="13">
                  <c:v>98.563542320451802</c:v>
                </c:pt>
                <c:pt idx="14">
                  <c:v>135.91598928147849</c:v>
                </c:pt>
                <c:pt idx="15">
                  <c:v>187.47163239017053</c:v>
                </c:pt>
                <c:pt idx="16">
                  <c:v>146.81136547798749</c:v>
                </c:pt>
                <c:pt idx="17">
                  <c:v>170.80742954677157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242.36081901854183</c:v>
                </c:pt>
                <c:pt idx="21">
                  <c:v>204.12844580912656</c:v>
                </c:pt>
                <c:pt idx="22">
                  <c:v>228.73672473315909</c:v>
                </c:pt>
                <c:pt idx="23">
                  <c:v>253.28442353945601</c:v>
                </c:pt>
                <c:pt idx="24">
                  <c:v>277.77823776243309</c:v>
                </c:pt>
                <c:pt idx="25">
                  <c:v>302.22358480953159</c:v>
                </c:pt>
                <c:pt idx="26">
                  <c:v>326.62493385865372</c:v>
                </c:pt>
                <c:pt idx="27">
                  <c:v>291.30971241322919</c:v>
                </c:pt>
                <c:pt idx="28">
                  <c:v>316.14188648171188</c:v>
                </c:pt>
                <c:pt idx="29">
                  <c:v>340.93085224982775</c:v>
                </c:pt>
                <c:pt idx="30">
                  <c:v>365.68019071952534</c:v>
                </c:pt>
                <c:pt idx="31">
                  <c:v>390.39295875481668</c:v>
                </c:pt>
                <c:pt idx="32">
                  <c:v>415.07179480856439</c:v>
                </c:pt>
                <c:pt idx="33">
                  <c:v>355.88364575491568</c:v>
                </c:pt>
                <c:pt idx="34">
                  <c:v>378.90598373659333</c:v>
                </c:pt>
                <c:pt idx="35">
                  <c:v>401.89789012628256</c:v>
                </c:pt>
                <c:pt idx="36">
                  <c:v>424.86134931148257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516.46302801285583</c:v>
                </c:pt>
                <c:pt idx="41">
                  <c:v>418.21652921659637</c:v>
                </c:pt>
                <c:pt idx="42">
                  <c:v>437.54828979657418</c:v>
                </c:pt>
                <c:pt idx="43">
                  <c:v>456.86173367611218</c:v>
                </c:pt>
                <c:pt idx="44">
                  <c:v>476.15774366224105</c:v>
                </c:pt>
                <c:pt idx="45">
                  <c:v>495.4371252185951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463.11224037370863</c:v>
                </c:pt>
                <c:pt idx="50">
                  <c:v>479.3932375320328</c:v>
                </c:pt>
                <c:pt idx="51">
                  <c:v>495.66248405140641</c:v>
                </c:pt>
                <c:pt idx="52">
                  <c:v>511.92041976382615</c:v>
                </c:pt>
                <c:pt idx="53">
                  <c:v>528.16745429901368</c:v>
                </c:pt>
                <c:pt idx="54">
                  <c:v>544.4039700427569</c:v>
                </c:pt>
                <c:pt idx="55">
                  <c:v>560.63032472410339</c:v>
                </c:pt>
                <c:pt idx="56">
                  <c:v>576.84685368758085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1.9830898414103215</c:v>
                </c:pt>
                <c:pt idx="2">
                  <c:v>2.5358897943469625</c:v>
                </c:pt>
                <c:pt idx="3">
                  <c:v>3.2434053902640243</c:v>
                </c:pt>
                <c:pt idx="4">
                  <c:v>4.1491013676910162</c:v>
                </c:pt>
                <c:pt idx="5">
                  <c:v>5.3086961638054051</c:v>
                </c:pt>
                <c:pt idx="6">
                  <c:v>6.7936277869358754</c:v>
                </c:pt>
                <c:pt idx="7">
                  <c:v>8.6955029321760176</c:v>
                </c:pt>
                <c:pt idx="8">
                  <c:v>11.131809045990428</c:v>
                </c:pt>
                <c:pt idx="9">
                  <c:v>14.253248813468183</c:v>
                </c:pt>
                <c:pt idx="10">
                  <c:v>18.25315910971409</c:v>
                </c:pt>
                <c:pt idx="11">
                  <c:v>23.379608355026718</c:v>
                </c:pt>
                <c:pt idx="12">
                  <c:v>29.950935846041833</c:v>
                </c:pt>
                <c:pt idx="13">
                  <c:v>38.375714818299656</c:v>
                </c:pt>
                <c:pt idx="14">
                  <c:v>49.178401651990221</c:v>
                </c:pt>
                <c:pt idx="15">
                  <c:v>63.032294683329155</c:v>
                </c:pt>
                <c:pt idx="16">
                  <c:v>80.801890600111236</c:v>
                </c:pt>
                <c:pt idx="17">
                  <c:v>103.59732408398916</c:v>
                </c:pt>
                <c:pt idx="18">
                  <c:v>132.84434545688146</c:v>
                </c:pt>
                <c:pt idx="19">
                  <c:v>170.37428083713976</c:v>
                </c:pt>
                <c:pt idx="20">
                  <c:v>130.23960136812613</c:v>
                </c:pt>
                <c:pt idx="21">
                  <c:v>150.70436577575032</c:v>
                </c:pt>
                <c:pt idx="22">
                  <c:v>171.10283409899691</c:v>
                </c:pt>
                <c:pt idx="23">
                  <c:v>191.44402986530886</c:v>
                </c:pt>
                <c:pt idx="24">
                  <c:v>211.73489744686097</c:v>
                </c:pt>
                <c:pt idx="25">
                  <c:v>180.18542436067958</c:v>
                </c:pt>
                <c:pt idx="26">
                  <c:v>200.91767589861334</c:v>
                </c:pt>
                <c:pt idx="27">
                  <c:v>221.60034952388301</c:v>
                </c:pt>
                <c:pt idx="28">
                  <c:v>242.23872370500536</c:v>
                </c:pt>
                <c:pt idx="29">
                  <c:v>262.83710312637839</c:v>
                </c:pt>
                <c:pt idx="30">
                  <c:v>283.39906225257022</c:v>
                </c:pt>
                <c:pt idx="31">
                  <c:v>231.49394879910827</c:v>
                </c:pt>
                <c:pt idx="32">
                  <c:v>251.42218658177271</c:v>
                </c:pt>
                <c:pt idx="33">
                  <c:v>271.31463054978218</c:v>
                </c:pt>
                <c:pt idx="34">
                  <c:v>291.17427356157549</c:v>
                </c:pt>
                <c:pt idx="35">
                  <c:v>311.00366679642457</c:v>
                </c:pt>
                <c:pt idx="36">
                  <c:v>330.80500953824486</c:v>
                </c:pt>
                <c:pt idx="37">
                  <c:v>350.58021631475617</c:v>
                </c:pt>
                <c:pt idx="38">
                  <c:v>314.46887739606865</c:v>
                </c:pt>
                <c:pt idx="39">
                  <c:v>334.11294094960175</c:v>
                </c:pt>
                <c:pt idx="40">
                  <c:v>353.73156195241717</c:v>
                </c:pt>
                <c:pt idx="41">
                  <c:v>373.32634935906952</c:v>
                </c:pt>
                <c:pt idx="42">
                  <c:v>392.89872949433806</c:v>
                </c:pt>
                <c:pt idx="43">
                  <c:v>412.44997503614445</c:v>
                </c:pt>
                <c:pt idx="44">
                  <c:v>431.98122821530256</c:v>
                </c:pt>
                <c:pt idx="45">
                  <c:v>451.49351960053679</c:v>
                </c:pt>
                <c:pt idx="46">
                  <c:v>470.98778346710793</c:v>
                </c:pt>
                <c:pt idx="47">
                  <c:v>396.32168925579339</c:v>
                </c:pt>
                <c:pt idx="48">
                  <c:v>413.87245457205836</c:v>
                </c:pt>
                <c:pt idx="49">
                  <c:v>431.40717003189997</c:v>
                </c:pt>
                <c:pt idx="50">
                  <c:v>448.92657952752438</c:v>
                </c:pt>
                <c:pt idx="51">
                  <c:v>466.43136417869431</c:v>
                </c:pt>
                <c:pt idx="52">
                  <c:v>483.92214983519551</c:v>
                </c:pt>
                <c:pt idx="53">
                  <c:v>501.39951343839198</c:v>
                </c:pt>
                <c:pt idx="54">
                  <c:v>518.86398844987571</c:v>
                </c:pt>
                <c:pt idx="55">
                  <c:v>536.3160695114376</c:v>
                </c:pt>
                <c:pt idx="56">
                  <c:v>553.75621646716343</c:v>
                </c:pt>
                <c:pt idx="57">
                  <c:v>492.9675371004887</c:v>
                </c:pt>
                <c:pt idx="58">
                  <c:v>508.23604628992302</c:v>
                </c:pt>
                <c:pt idx="59">
                  <c:v>523.49486391950961</c:v>
                </c:pt>
                <c:pt idx="60">
                  <c:v>538.7443121486084</c:v>
                </c:pt>
                <c:pt idx="61">
                  <c:v>553.98469341960538</c:v>
                </c:pt>
                <c:pt idx="62">
                  <c:v>569.21629218509656</c:v>
                </c:pt>
                <c:pt idx="63">
                  <c:v>584.43937644066193</c:v>
                </c:pt>
                <c:pt idx="64">
                  <c:v>599.65419908970955</c:v>
                </c:pt>
                <c:pt idx="65">
                  <c:v>614.86099916266949</c:v>
                </c:pt>
                <c:pt idx="66">
                  <c:v>630.06000290936356</c:v>
                </c:pt>
                <c:pt idx="67">
                  <c:v>556.63682628095387</c:v>
                </c:pt>
                <c:pt idx="68">
                  <c:v>569.23572590689196</c:v>
                </c:pt>
                <c:pt idx="69">
                  <c:v>581.8287999403052</c:v>
                </c:pt>
                <c:pt idx="70">
                  <c:v>594.41619219958932</c:v>
                </c:pt>
                <c:pt idx="71">
                  <c:v>606.99803991747683</c:v>
                </c:pt>
                <c:pt idx="72">
                  <c:v>619.57447417572041</c:v>
                </c:pt>
                <c:pt idx="73">
                  <c:v>632.14562030266472</c:v>
                </c:pt>
                <c:pt idx="74">
                  <c:v>644.71159823756022</c:v>
                </c:pt>
                <c:pt idx="75">
                  <c:v>657.27252286501243</c:v>
                </c:pt>
                <c:pt idx="76">
                  <c:v>669.82850432254793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0.60686231053735495</c:v>
                </c:pt>
                <c:pt idx="2">
                  <c:v>0.27011021672331176</c:v>
                </c:pt>
                <c:pt idx="3">
                  <c:v>3.0592628362055301</c:v>
                </c:pt>
                <c:pt idx="4">
                  <c:v>8.5318891377485393</c:v>
                </c:pt>
                <c:pt idx="5">
                  <c:v>16.422958035106777</c:v>
                </c:pt>
                <c:pt idx="6">
                  <c:v>26.5103136965093</c:v>
                </c:pt>
                <c:pt idx="7">
                  <c:v>38.58931797123882</c:v>
                </c:pt>
                <c:pt idx="8">
                  <c:v>52.4649899361224</c:v>
                </c:pt>
                <c:pt idx="9">
                  <c:v>67.948479026849526</c:v>
                </c:pt>
                <c:pt idx="10">
                  <c:v>84.855169028532458</c:v>
                </c:pt>
                <c:pt idx="11">
                  <c:v>103.00353721143388</c:v>
                </c:pt>
                <c:pt idx="12">
                  <c:v>122.21441178823478</c:v>
                </c:pt>
                <c:pt idx="13">
                  <c:v>142.31045943041215</c:v>
                </c:pt>
                <c:pt idx="14">
                  <c:v>163.11581486298448</c:v>
                </c:pt>
                <c:pt idx="15">
                  <c:v>184.45580281206844</c:v>
                </c:pt>
                <c:pt idx="16">
                  <c:v>206.15672242392552</c:v>
                </c:pt>
                <c:pt idx="17">
                  <c:v>228.04567527517145</c:v>
                </c:pt>
                <c:pt idx="18">
                  <c:v>249.95042452570706</c:v>
                </c:pt>
                <c:pt idx="19">
                  <c:v>271.69927669174325</c:v>
                </c:pt>
                <c:pt idx="20">
                  <c:v>293.12097999641816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7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9" zoomScale="80" zoomScaleNormal="80" workbookViewId="0">
      <selection activeCell="C6" sqref="C6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13.6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36</v>
      </c>
      <c r="C9" s="32">
        <v>0.44</v>
      </c>
      <c r="D9" s="33">
        <f t="shared" ref="D9:D18" si="0">C9*$C$5</f>
        <v>5.984</v>
      </c>
      <c r="E9" s="34">
        <v>56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35</v>
      </c>
      <c r="C10" s="32">
        <v>0.44</v>
      </c>
      <c r="D10" s="33">
        <f t="shared" si="0"/>
        <v>5.984</v>
      </c>
      <c r="E10" s="34">
        <v>76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123</v>
      </c>
      <c r="C11" s="32">
        <v>0.12</v>
      </c>
      <c r="D11" s="33">
        <f t="shared" si="0"/>
        <v>1.6319999999999999</v>
      </c>
      <c r="E11" s="34">
        <v>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13.6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15</v>
      </c>
      <c r="B36" s="60">
        <v>141.17692307692306</v>
      </c>
      <c r="C36" s="60">
        <v>1</v>
      </c>
      <c r="D36" s="60">
        <v>49.784615384615385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9.4117948717948714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v>183.7076923076923</v>
      </c>
      <c r="C37" s="60">
        <v>2</v>
      </c>
      <c r="D37" s="60">
        <v>48.723076923076924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18.463076923076926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26</v>
      </c>
      <c r="B38" s="60">
        <v>249.41538461538462</v>
      </c>
      <c r="C38" s="60">
        <v>3</v>
      </c>
      <c r="D38" s="60">
        <v>46.984615384615381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19.071794871794875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32</v>
      </c>
      <c r="B39" s="60">
        <v>318.7923076923077</v>
      </c>
      <c r="C39" s="60">
        <v>4</v>
      </c>
      <c r="D39" s="60">
        <v>64.523076923076914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19.393589743589743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40</v>
      </c>
      <c r="B40" s="60">
        <v>398.71538461538461</v>
      </c>
      <c r="C40" s="60">
        <v>5</v>
      </c>
      <c r="D40" s="60">
        <v>92.661538461538456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18.055769230769229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48</v>
      </c>
      <c r="B41" s="60">
        <v>427.74615384615385</v>
      </c>
      <c r="C41" s="60">
        <v>6</v>
      </c>
      <c r="D41" s="60">
        <v>83.969230769230762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15.21153846153846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56</v>
      </c>
      <c r="B42" s="60">
        <v>446.47692307692301</v>
      </c>
      <c r="C42" s="60">
        <v>7</v>
      </c>
      <c r="D42" s="60">
        <v>446.47692307692301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12.837499999999991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19</v>
      </c>
      <c r="B62" s="60">
        <v>127.98461538461538</v>
      </c>
      <c r="C62" s="60">
        <v>1</v>
      </c>
      <c r="D62" s="60">
        <v>46.53846153846154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6.7360323886639675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24</v>
      </c>
      <c r="B63" s="60">
        <v>159.94615384615383</v>
      </c>
      <c r="C63" s="60">
        <v>2</v>
      </c>
      <c r="D63" s="60">
        <v>40.41538461538461</v>
      </c>
      <c r="E63" s="51">
        <v>0.7</v>
      </c>
      <c r="F63" s="51">
        <v>0.16800000000000001</v>
      </c>
      <c r="G63" s="51">
        <v>0.13200000000000001</v>
      </c>
      <c r="H63" s="51">
        <v>0</v>
      </c>
      <c r="I63" s="49">
        <f>IF(A63&lt;&gt;0,(B63-(B62-D62))/(A63-A62),"")</f>
        <v>15.7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215.65384615384616</v>
      </c>
      <c r="C64" s="60">
        <v>3</v>
      </c>
      <c r="D64" s="60">
        <v>55.869230769230761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>IF(A64&lt;&gt;0,(B64-(B63-D63))/(A64-A63),"")</f>
        <v>16.020512820512824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37</v>
      </c>
      <c r="B65" s="60">
        <v>268.16923076923075</v>
      </c>
      <c r="C65" s="60">
        <v>4</v>
      </c>
      <c r="D65" s="60">
        <v>43.623076923076923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>IF(A65&lt;&gt;0,(B65-(B64-D64))/(A65-A64),"")</f>
        <v>15.48351648351648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46</v>
      </c>
      <c r="B66" s="60">
        <v>362.82307692307688</v>
      </c>
      <c r="C66" s="60">
        <v>5</v>
      </c>
      <c r="D66" s="60">
        <v>72.561538461538461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ref="I66:I81" si="2">IF(A66&lt;&gt;0,(B66-(B65-D65))/(A66-A65),"")</f>
        <v>15.364102564102561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56</v>
      </c>
      <c r="B67" s="60">
        <v>428.20000000000005</v>
      </c>
      <c r="C67" s="60">
        <v>6</v>
      </c>
      <c r="D67" s="60">
        <v>60.092307692307692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2"/>
        <v>13.793846153846165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66</v>
      </c>
      <c r="B68" s="60">
        <v>488.65384615384613</v>
      </c>
      <c r="C68" s="60">
        <v>7</v>
      </c>
      <c r="D68" s="60">
        <v>68.146153846153851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2"/>
        <v>12.05461538461538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76</v>
      </c>
      <c r="B69" s="50">
        <v>520.22307692307686</v>
      </c>
      <c r="C69" s="50">
        <v>8</v>
      </c>
      <c r="D69" s="50">
        <v>520.22307692307686</v>
      </c>
      <c r="E69" s="51">
        <v>0.7</v>
      </c>
      <c r="F69" s="51">
        <v>0.16800000000000001</v>
      </c>
      <c r="G69" s="51">
        <v>0.13200000000000001</v>
      </c>
      <c r="H69" s="51">
        <v>0</v>
      </c>
      <c r="I69" s="49">
        <f t="shared" si="2"/>
        <v>9.9715384615384544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Peuplier Dorskamp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</v>
      </c>
      <c r="B88" s="60">
        <v>0.18435897435897397</v>
      </c>
      <c r="C88" s="60">
        <v>0</v>
      </c>
      <c r="D88" s="60">
        <v>0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9.2179487179486985E-2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</v>
      </c>
      <c r="B89" s="60">
        <v>2.31</v>
      </c>
      <c r="C89" s="60">
        <v>0</v>
      </c>
      <c r="D89" s="60">
        <v>0</v>
      </c>
      <c r="E89" s="51">
        <v>0</v>
      </c>
      <c r="F89" s="51">
        <v>0</v>
      </c>
      <c r="G89" s="51">
        <v>0</v>
      </c>
      <c r="H89" s="87">
        <v>0</v>
      </c>
      <c r="I89" s="53">
        <f t="shared" ref="I89:I107" si="3">IF(A89&lt;&gt;0,(B89-(B88-D88))/(A89-A88),"")</f>
        <v>2.1256410256410261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</v>
      </c>
      <c r="B90" s="60">
        <v>6.6838461538461518</v>
      </c>
      <c r="C90" s="60">
        <v>0</v>
      </c>
      <c r="D90" s="60">
        <v>0</v>
      </c>
      <c r="E90" s="87">
        <v>0</v>
      </c>
      <c r="F90" s="87">
        <v>0</v>
      </c>
      <c r="G90" s="87">
        <v>0</v>
      </c>
      <c r="H90" s="87">
        <v>0</v>
      </c>
      <c r="I90" s="53">
        <f t="shared" si="3"/>
        <v>4.3738461538461522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</v>
      </c>
      <c r="B91" s="60">
        <v>13.14935897435897</v>
      </c>
      <c r="C91" s="60">
        <v>0</v>
      </c>
      <c r="D91" s="60">
        <v>0</v>
      </c>
      <c r="E91" s="87">
        <v>0</v>
      </c>
      <c r="F91" s="87">
        <v>0</v>
      </c>
      <c r="G91" s="87">
        <v>0</v>
      </c>
      <c r="H91" s="87">
        <v>0</v>
      </c>
      <c r="I91" s="53">
        <f t="shared" si="3"/>
        <v>6.4655128205128181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</v>
      </c>
      <c r="B92" s="60">
        <v>21.549999999999997</v>
      </c>
      <c r="C92" s="60">
        <v>0</v>
      </c>
      <c r="D92" s="60">
        <v>0</v>
      </c>
      <c r="E92" s="87">
        <v>0</v>
      </c>
      <c r="F92" s="87">
        <v>0</v>
      </c>
      <c r="G92" s="87">
        <v>0</v>
      </c>
      <c r="H92" s="87">
        <v>0</v>
      </c>
      <c r="I92" s="53">
        <f t="shared" si="3"/>
        <v>8.4006410256410273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</v>
      </c>
      <c r="B93" s="60">
        <v>31.729230769230764</v>
      </c>
      <c r="C93" s="60">
        <v>0</v>
      </c>
      <c r="D93" s="60">
        <v>0</v>
      </c>
      <c r="E93" s="87">
        <v>0</v>
      </c>
      <c r="F93" s="87">
        <v>0</v>
      </c>
      <c r="G93" s="87">
        <v>0</v>
      </c>
      <c r="H93" s="87">
        <v>0</v>
      </c>
      <c r="I93" s="53">
        <f t="shared" si="3"/>
        <v>10.179230769230767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</v>
      </c>
      <c r="B94" s="60">
        <v>43.530512820512811</v>
      </c>
      <c r="C94" s="60">
        <v>0</v>
      </c>
      <c r="D94" s="60">
        <v>0</v>
      </c>
      <c r="E94" s="87">
        <v>0</v>
      </c>
      <c r="F94" s="87">
        <v>0</v>
      </c>
      <c r="G94" s="87">
        <v>0</v>
      </c>
      <c r="H94" s="87">
        <v>0</v>
      </c>
      <c r="I94" s="53">
        <f t="shared" si="3"/>
        <v>11.801282051282048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</v>
      </c>
      <c r="B95" s="60">
        <v>56.797307692307676</v>
      </c>
      <c r="C95" s="60">
        <v>0</v>
      </c>
      <c r="D95" s="60">
        <v>0</v>
      </c>
      <c r="E95" s="87">
        <v>0</v>
      </c>
      <c r="F95" s="87">
        <v>0</v>
      </c>
      <c r="G95" s="87">
        <v>0</v>
      </c>
      <c r="H95" s="87">
        <v>0</v>
      </c>
      <c r="I95" s="53">
        <f t="shared" si="3"/>
        <v>13.266794871794865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10</v>
      </c>
      <c r="B96" s="60">
        <v>71.373076923076894</v>
      </c>
      <c r="C96" s="60">
        <v>0</v>
      </c>
      <c r="D96" s="60">
        <v>0</v>
      </c>
      <c r="E96" s="87">
        <v>0</v>
      </c>
      <c r="F96" s="87">
        <v>0</v>
      </c>
      <c r="G96" s="87">
        <v>0</v>
      </c>
      <c r="H96" s="87">
        <v>0</v>
      </c>
      <c r="I96" s="53">
        <f t="shared" si="3"/>
        <v>14.575769230769218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11</v>
      </c>
      <c r="B97" s="60">
        <v>87.101282051282055</v>
      </c>
      <c r="C97" s="60">
        <v>0</v>
      </c>
      <c r="D97" s="60">
        <v>0</v>
      </c>
      <c r="E97" s="87">
        <v>0</v>
      </c>
      <c r="F97" s="87">
        <v>0</v>
      </c>
      <c r="G97" s="87">
        <v>0</v>
      </c>
      <c r="H97" s="87">
        <v>0</v>
      </c>
      <c r="I97" s="53">
        <f t="shared" si="3"/>
        <v>15.728205128205161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12</v>
      </c>
      <c r="B98" s="60">
        <v>103.82538461538462</v>
      </c>
      <c r="C98" s="60">
        <v>0</v>
      </c>
      <c r="D98" s="60">
        <v>0</v>
      </c>
      <c r="E98" s="87">
        <v>0</v>
      </c>
      <c r="F98" s="87">
        <v>0</v>
      </c>
      <c r="G98" s="87">
        <v>0</v>
      </c>
      <c r="H98" s="87">
        <v>0</v>
      </c>
      <c r="I98" s="53">
        <f t="shared" si="3"/>
        <v>16.724102564102566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13</v>
      </c>
      <c r="B99" s="60">
        <v>121.38884615384613</v>
      </c>
      <c r="C99" s="60">
        <v>0</v>
      </c>
      <c r="D99" s="60">
        <v>0</v>
      </c>
      <c r="E99" s="87">
        <v>0</v>
      </c>
      <c r="F99" s="87">
        <v>0</v>
      </c>
      <c r="G99" s="87">
        <v>0</v>
      </c>
      <c r="H99" s="87">
        <v>0</v>
      </c>
      <c r="I99" s="53">
        <f t="shared" si="3"/>
        <v>17.56346153846151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14</v>
      </c>
      <c r="B100" s="60">
        <v>139.63512820512813</v>
      </c>
      <c r="C100" s="60">
        <v>0</v>
      </c>
      <c r="D100" s="60">
        <v>0</v>
      </c>
      <c r="E100" s="65">
        <v>0</v>
      </c>
      <c r="F100" s="65">
        <v>0</v>
      </c>
      <c r="G100" s="65">
        <v>0</v>
      </c>
      <c r="H100" s="65">
        <v>0</v>
      </c>
      <c r="I100" s="53">
        <f t="shared" si="3"/>
        <v>18.246282051281995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>
        <v>15</v>
      </c>
      <c r="B101" s="60">
        <v>158.40769230769226</v>
      </c>
      <c r="C101" s="60">
        <v>0</v>
      </c>
      <c r="D101" s="60">
        <v>0</v>
      </c>
      <c r="E101" s="65">
        <v>0</v>
      </c>
      <c r="F101" s="65">
        <v>0</v>
      </c>
      <c r="G101" s="65">
        <v>0</v>
      </c>
      <c r="H101" s="65">
        <v>0</v>
      </c>
      <c r="I101" s="53">
        <f t="shared" si="3"/>
        <v>18.772564102564132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>
        <v>16</v>
      </c>
      <c r="B102" s="50">
        <v>177.54999999999995</v>
      </c>
      <c r="C102" s="60">
        <v>0</v>
      </c>
      <c r="D102" s="50">
        <v>0</v>
      </c>
      <c r="E102" s="54">
        <v>0</v>
      </c>
      <c r="F102" s="54">
        <v>0</v>
      </c>
      <c r="G102" s="54">
        <v>0</v>
      </c>
      <c r="H102" s="54">
        <v>0</v>
      </c>
      <c r="I102" s="53">
        <f t="shared" si="3"/>
        <v>19.142307692307696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>
        <v>17</v>
      </c>
      <c r="B103" s="50">
        <v>196.90551282051274</v>
      </c>
      <c r="C103" s="60">
        <v>0</v>
      </c>
      <c r="D103" s="50">
        <v>0</v>
      </c>
      <c r="E103" s="54">
        <v>0</v>
      </c>
      <c r="F103" s="54">
        <v>0</v>
      </c>
      <c r="G103" s="54">
        <v>0</v>
      </c>
      <c r="H103" s="54">
        <v>0</v>
      </c>
      <c r="I103" s="53">
        <f t="shared" si="3"/>
        <v>19.355512820512786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>
        <v>18</v>
      </c>
      <c r="B104" s="50">
        <v>216.31769230769225</v>
      </c>
      <c r="C104" s="60">
        <v>0</v>
      </c>
      <c r="D104" s="50">
        <v>0</v>
      </c>
      <c r="E104" s="54">
        <v>0</v>
      </c>
      <c r="F104" s="54">
        <v>0</v>
      </c>
      <c r="G104" s="54">
        <v>0</v>
      </c>
      <c r="H104" s="54">
        <v>0</v>
      </c>
      <c r="I104" s="53">
        <f t="shared" si="3"/>
        <v>19.412179487179515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>
        <v>19</v>
      </c>
      <c r="B105" s="50">
        <v>235.63</v>
      </c>
      <c r="C105" s="50">
        <v>0</v>
      </c>
      <c r="D105" s="50">
        <v>0</v>
      </c>
      <c r="E105" s="54">
        <v>0</v>
      </c>
      <c r="F105" s="54">
        <v>0</v>
      </c>
      <c r="G105" s="54">
        <v>0</v>
      </c>
      <c r="H105" s="54">
        <v>0</v>
      </c>
      <c r="I105" s="53">
        <f t="shared" si="3"/>
        <v>19.312307692307741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>
        <v>20</v>
      </c>
      <c r="B106" s="50">
        <v>254.68589743589735</v>
      </c>
      <c r="C106" s="50" t="s">
        <v>324</v>
      </c>
      <c r="D106" s="50">
        <v>254.68589743589735</v>
      </c>
      <c r="E106" s="54">
        <v>0.7</v>
      </c>
      <c r="F106" s="54">
        <v>0.15</v>
      </c>
      <c r="G106" s="54">
        <v>0.15</v>
      </c>
      <c r="H106" s="54">
        <v>0</v>
      </c>
      <c r="I106" s="53">
        <f t="shared" si="3"/>
        <v>19.05589743589735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Normal="100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Peuplier Dorskamp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323.17232038705157</v>
      </c>
      <c r="T3" s="59">
        <f>IF('Données projet'!E9&gt;30,$R$33-$H$33,LOOKUP('Données projet'!$E$9,$A$3:$A$203,R3:R203)-LOOKUP('Données projet'!$E$9,$A$3:$A$203,$H$3:$H$203))</f>
        <v>402.34685738619197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355.09162485318728</v>
      </c>
      <c r="AO3" s="59">
        <f>IF('Données projet'!E10&gt;30,$AM$33-$H$33,LOOKUP('Données projet'!$E$10,$A$3:$A$203,AM3:AM203)-LOOKUP('Données projet'!$E$10,$A$3:$A$203,$H$3:$H$203))</f>
        <v>320.06572891923685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119.99995828001613</v>
      </c>
      <c r="BJ3" s="59">
        <f>IF('Données projet'!E11&gt;30,$BH$33-$H$33,LOOKUP('Données projet'!$E$11,$A$3:$A$203,BH3:BH203)-LOOKUP('Données projet'!$E$11,$A$3:$A$203,$H$3:$H$203))</f>
        <v>317.56542444086261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9.4117948717948714</v>
      </c>
      <c r="N4" s="13">
        <f>IF('Données projet'!$A$36&gt;35,N3+M4-V3,IF(A4&lt;'Données projet'!$A$36,$K$205^A4,IF(A4='Données projet'!$A$36,'Données projet'!$B$36,N3+M4-V3)))</f>
        <v>1.3909694153327172</v>
      </c>
      <c r="O4" s="13">
        <f>N4*VLOOKUP('Données projet'!$B$9,Paramètres!$A$1:$I$89,3,0)*VLOOKUP('Données projet'!$B$9,Paramètres!$A$1:$I$89,5,0)</f>
        <v>0.83179971036896505</v>
      </c>
      <c r="P4" s="13">
        <f>EXP(-1.0587+0.8836*LN(O4)+0.284)</f>
        <v>0.39163423183147406</v>
      </c>
      <c r="Q4" s="20">
        <f t="shared" ref="Q4:Q34" si="2">(O4+P4)*0.475*44/12</f>
        <v>2.1308141159990979</v>
      </c>
      <c r="R4" s="59">
        <f t="shared" si="0"/>
        <v>260.01970300488796</v>
      </c>
      <c r="S4" s="59">
        <f ca="1">AVERAGE(OFFSET($R$3,0,0,'Données projet'!$E$9+1,1))-AVERAGE(OFFSET($H$3,0,0,'Données projet'!$E$9+1,1))</f>
        <v>323.17232038705157</v>
      </c>
      <c r="T4" s="59">
        <f>$T$3</f>
        <v>402.34685738619197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6.7360323886639675</v>
      </c>
      <c r="AI4" s="13">
        <f>IF('Données projet'!$A$62&gt;35,AI3+AH4-AQ3,IF(A4&lt;'Données projet'!$A$62,$AF$205^A4,IF(A4='Données projet'!$A$62,'Données projet'!$B$62,AI3+AH4-AQ3)))</f>
        <v>1.2909310311160476</v>
      </c>
      <c r="AJ4" s="13">
        <f>AI4*VLOOKUP('Données projet'!$B$10,Paramètres!$A$1:$I$89,3,0)*VLOOKUP('Données projet'!$B$10,Paramètres!$A$1:$I$89,5,0)</f>
        <v>0.77197675660739651</v>
      </c>
      <c r="AK4" s="13">
        <f>EXP(-1.0587+0.8836*LN(AJ4)+0.284)</f>
        <v>0.36663942027891244</v>
      </c>
      <c r="AL4" s="20">
        <f t="shared" ref="AL4:AL67" si="4">(AJ4+AK4)*0.475*44/12</f>
        <v>1.9830898414103215</v>
      </c>
      <c r="AM4" s="59">
        <f t="shared" ref="AM4:AM67" si="5">AL4+(AD4+AE4)*44/12</f>
        <v>259.87197873029919</v>
      </c>
      <c r="AN4" s="59">
        <f ca="1">AVERAGE(OFFSET($AM$3,0,0,'Données projet'!$E$10+1,1))-AVERAGE(OFFSET($H$3,0,0,'Données projet'!$E$10+1,1))</f>
        <v>355.09162485318728</v>
      </c>
      <c r="AO4" s="59">
        <f>$AO$3</f>
        <v>320.06572891923685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9.2179487179486985E-2</v>
      </c>
      <c r="BD4" s="12">
        <f>IF('Données projet'!$A$88&gt;35,BD3+BC4-BL3,IF(A4&lt;'Données projet'!$A$88,$BA$205^A4,IF(A4='Données projet'!$A$88,'Données projet'!$B$88,BD3+BC4-BL3)))</f>
        <v>0.42937043954955023</v>
      </c>
      <c r="BE4" s="13">
        <f>BD4*VLOOKUP('Données projet'!$B$11,Paramètres!$A$1:$I$89,3,0)*VLOOKUP('Données projet'!$B$11,Paramètres!$A$1:$I$89,5,0)</f>
        <v>0.22505880959429228</v>
      </c>
      <c r="BF4" s="13">
        <f>EXP(-1.0587+0.8836*LN(BE4)+0.284)</f>
        <v>0.12337888066639002</v>
      </c>
      <c r="BG4" s="20">
        <f t="shared" ref="BG4:BG67" si="7">(BE4+BF4)*0.475*44/12</f>
        <v>0.60686231053735495</v>
      </c>
      <c r="BH4" s="59">
        <f t="shared" ref="BH4:BH67" si="8">BG4+(AY4+AZ4)*44/12</f>
        <v>258.49575119942619</v>
      </c>
      <c r="BI4" s="59">
        <f ca="1">AVERAGE(OFFSET($BH$3,0,0,'Données projet'!$E$11+1,1))-AVERAGE(OFFSET($H$3,0,0,'Données projet'!$E$11+1,1))</f>
        <v>119.99995828001613</v>
      </c>
      <c r="BJ4" s="59">
        <f>$BJ$3</f>
        <v>317.56542444086261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9.4117948717948714</v>
      </c>
      <c r="N5" s="13">
        <f>IF('Données projet'!$A$36&gt;35,N4+M5-V4,IF(A5&lt;'Données projet'!$A$36,$K$205^A5,IF(A5='Données projet'!$A$36,'Données projet'!$B$36,N4+M5-V4)))</f>
        <v>1.9347959143910411</v>
      </c>
      <c r="O5" s="13">
        <f>N5*VLOOKUP('Données projet'!$B$9,Paramètres!$A$1:$I$89,3,0)*VLOOKUP('Données projet'!$B$9,Paramètres!$A$1:$I$89,5,0)</f>
        <v>1.1570079568058427</v>
      </c>
      <c r="P5" s="13">
        <f t="shared" ref="P5:P68" si="33">EXP(-1.0587+0.8836*LN(O5)+0.284)</f>
        <v>0.52422298600197004</v>
      </c>
      <c r="Q5" s="20">
        <f t="shared" si="2"/>
        <v>2.9281438920569403</v>
      </c>
      <c r="R5" s="59">
        <f t="shared" si="0"/>
        <v>262.03925500316808</v>
      </c>
      <c r="S5" s="59">
        <f ca="1">AVERAGE(OFFSET($R$3,0,0,'Données projet'!$E$9+1,1))-AVERAGE(OFFSET($H$3,0,0,'Données projet'!$E$9+1,1))</f>
        <v>323.17232038705157</v>
      </c>
      <c r="T5" s="59">
        <f t="shared" ref="T5:T68" si="34">$T$3</f>
        <v>402.34685738619197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6.7360323886639675</v>
      </c>
      <c r="AI5" s="13">
        <f>IF('Données projet'!$A$62&gt;35,AI4+AH5-AQ4,IF(A5&lt;'Données projet'!$A$62,$AF$205^A5,IF(A5='Données projet'!$A$62,'Données projet'!$B$62,AI4+AH5-AQ4)))</f>
        <v>1.6665029270983418</v>
      </c>
      <c r="AJ5" s="13">
        <f>AI5*VLOOKUP('Données projet'!$B$10,Paramètres!$A$1:$I$89,3,0)*VLOOKUP('Données projet'!$B$10,Paramètres!$A$1:$I$89,5,0)</f>
        <v>0.99656875040480852</v>
      </c>
      <c r="AK5" s="13">
        <f t="shared" ref="AK5:AK68" si="35">EXP(-1.0587+0.8836*LN(AJ5)+0.284)</f>
        <v>0.45944452864607926</v>
      </c>
      <c r="AL5" s="20">
        <f t="shared" si="4"/>
        <v>2.5358897943469625</v>
      </c>
      <c r="AM5" s="59">
        <f t="shared" si="5"/>
        <v>261.64700090545813</v>
      </c>
      <c r="AN5" s="59">
        <f ca="1">AVERAGE(OFFSET($AM$3,0,0,'Données projet'!$E$10+1,1))-AVERAGE(OFFSET($H$3,0,0,'Données projet'!$E$10+1,1))</f>
        <v>355.09162485318728</v>
      </c>
      <c r="AO5" s="59">
        <f t="shared" ref="AO5:AO68" si="36">$AO$3</f>
        <v>320.06572891923685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>
        <f>VLOOKUP(A5,'Données projet'!$A$87:$I$107,2,0)</f>
        <v>0.18435897435897397</v>
      </c>
      <c r="BB5" s="12">
        <f>VLOOKUP(A5,'Données projet'!$A$87:$I$107,9,0)</f>
        <v>9.2179487179486985E-2</v>
      </c>
      <c r="BC5" s="12">
        <f t="array" ref="BC5">INDEX(BB:BB,MIN(IF(ISNUMBER(BB5:BB201),ROW(BB5:BB201),"")))</f>
        <v>9.2179487179486985E-2</v>
      </c>
      <c r="BD5" s="12">
        <f>IF('Données projet'!$A$88&gt;35,BD4+BC5-BL4,IF(A5&lt;'Données projet'!$A$88,$BA$205^A5,IF(A5='Données projet'!$A$88,'Données projet'!$B$88,BD4+BC5-BL4)))</f>
        <v>0.18435897435897397</v>
      </c>
      <c r="BE5" s="13">
        <f>BD5*VLOOKUP('Données projet'!$B$11,Paramètres!$A$1:$I$89,3,0)*VLOOKUP('Données projet'!$B$11,Paramètres!$A$1:$I$89,5,0)</f>
        <v>9.6633599999999806E-2</v>
      </c>
      <c r="BF5" s="13">
        <f t="shared" ref="BF5:BF68" si="37">EXP(-1.0587+0.8836*LN(BE5)+0.284)</f>
        <v>5.8453605774150506E-2</v>
      </c>
      <c r="BG5" s="20">
        <f t="shared" si="7"/>
        <v>0.27011021672331176</v>
      </c>
      <c r="BH5" s="59">
        <f t="shared" si="8"/>
        <v>259.38122132783445</v>
      </c>
      <c r="BI5" s="59">
        <f ca="1">AVERAGE(OFFSET($BH$3,0,0,'Données projet'!$E$11+1,1))-AVERAGE(OFFSET($H$3,0,0,'Données projet'!$E$11+1,1))</f>
        <v>119.99995828001613</v>
      </c>
      <c r="BJ5" s="59">
        <f t="shared" ref="BJ5:BJ68" si="38">$BJ$3</f>
        <v>317.56542444086261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9.4117948717948714</v>
      </c>
      <c r="N6" s="13">
        <f>IF('Données projet'!$A$36&gt;35,N5+M6-V5,IF(A6&lt;'Données projet'!$A$36,$K$205^A6,IF(A6='Données projet'!$A$36,'Données projet'!$B$36,N5+M6-V5)))</f>
        <v>2.6912419418286366</v>
      </c>
      <c r="O6" s="13">
        <f>N6*VLOOKUP('Données projet'!$B$9,Paramètres!$A$1:$I$89,3,0)*VLOOKUP('Données projet'!$B$9,Paramètres!$A$1:$I$89,5,0)</f>
        <v>1.6093626812135247</v>
      </c>
      <c r="P6" s="13">
        <f t="shared" si="33"/>
        <v>0.70169999636568137</v>
      </c>
      <c r="Q6" s="20">
        <f t="shared" si="2"/>
        <v>4.0251008301171156</v>
      </c>
      <c r="R6" s="59">
        <f t="shared" si="0"/>
        <v>264.35843416345045</v>
      </c>
      <c r="S6" s="59">
        <f ca="1">AVERAGE(OFFSET($R$3,0,0,'Données projet'!$E$9+1,1))-AVERAGE(OFFSET($H$3,0,0,'Données projet'!$E$9+1,1))</f>
        <v>323.17232038705157</v>
      </c>
      <c r="T6" s="59">
        <f t="shared" si="34"/>
        <v>402.34685738619197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6.7360323886639675</v>
      </c>
      <c r="AI6" s="13">
        <f>IF('Données projet'!$A$62&gt;35,AI5+AH6-AQ5,IF(A6&lt;'Données projet'!$A$62,$AF$205^A6,IF(A6='Données projet'!$A$62,'Données projet'!$B$62,AI5+AH6-AQ5)))</f>
        <v>2.1513403420369737</v>
      </c>
      <c r="AJ6" s="13">
        <f>AI6*VLOOKUP('Données projet'!$B$10,Paramètres!$A$1:$I$89,3,0)*VLOOKUP('Données projet'!$B$10,Paramètres!$A$1:$I$89,5,0)</f>
        <v>1.2865015245381104</v>
      </c>
      <c r="AK6" s="13">
        <f t="shared" si="35"/>
        <v>0.57574080480008571</v>
      </c>
      <c r="AL6" s="20">
        <f t="shared" si="4"/>
        <v>3.2434053902640243</v>
      </c>
      <c r="AM6" s="59">
        <f t="shared" si="5"/>
        <v>263.57673872359732</v>
      </c>
      <c r="AN6" s="59">
        <f ca="1">AVERAGE(OFFSET($AM$3,0,0,'Données projet'!$E$10+1,1))-AVERAGE(OFFSET($H$3,0,0,'Données projet'!$E$10+1,1))</f>
        <v>355.09162485318728</v>
      </c>
      <c r="AO6" s="59">
        <f t="shared" si="36"/>
        <v>320.06572891923685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>
        <f>VLOOKUP(A6,'Données projet'!$A$87:$I$107,2,0)</f>
        <v>2.31</v>
      </c>
      <c r="BB6" s="12">
        <f>VLOOKUP(A6,'Données projet'!$A$87:$I$107,9,0)</f>
        <v>2.1256410256410261</v>
      </c>
      <c r="BC6" s="12">
        <f t="array" ref="BC6">INDEX(BB:BB,MIN(IF(ISNUMBER(BB6:BB202),ROW(BB6:BB202),"")))</f>
        <v>2.1256410256410261</v>
      </c>
      <c r="BD6" s="12">
        <f>IF('Données projet'!$A$88&gt;35,BD5+BC6-BL5,IF(A6&lt;'Données projet'!$A$88,$BA$205^A6,IF(A6='Données projet'!$A$88,'Données projet'!$B$88,BD5+BC6-BL5)))</f>
        <v>2.31</v>
      </c>
      <c r="BE6" s="13">
        <f>BD6*VLOOKUP('Données projet'!$B$11,Paramètres!$A$1:$I$89,3,0)*VLOOKUP('Données projet'!$B$11,Paramètres!$A$1:$I$89,5,0)</f>
        <v>1.2108096000000002</v>
      </c>
      <c r="BF6" s="13">
        <f t="shared" si="37"/>
        <v>0.54570494710365358</v>
      </c>
      <c r="BG6" s="20">
        <f t="shared" si="7"/>
        <v>3.0592628362055301</v>
      </c>
      <c r="BH6" s="59">
        <f t="shared" si="8"/>
        <v>263.39259616953882</v>
      </c>
      <c r="BI6" s="59">
        <f ca="1">AVERAGE(OFFSET($BH$3,0,0,'Données projet'!$E$11+1,1))-AVERAGE(OFFSET($H$3,0,0,'Données projet'!$E$11+1,1))</f>
        <v>119.99995828001613</v>
      </c>
      <c r="BJ6" s="59">
        <f t="shared" si="38"/>
        <v>317.56542444086261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9.4117948717948714</v>
      </c>
      <c r="N7" s="13">
        <f>IF('Données projet'!$A$36&gt;35,N6+M7-V6,IF(A7&lt;'Données projet'!$A$36,$K$205^A7,IF(A7='Données projet'!$A$36,'Données projet'!$B$36,N6+M7-V6)))</f>
        <v>3.7434352303442648</v>
      </c>
      <c r="O7" s="13">
        <f>N7*VLOOKUP('Données projet'!$B$9,Paramètres!$A$1:$I$89,3,0)*VLOOKUP('Données projet'!$B$9,Paramètres!$A$1:$I$89,5,0)</f>
        <v>2.2385742677458706</v>
      </c>
      <c r="P7" s="13">
        <f t="shared" si="33"/>
        <v>0.93926229495351976</v>
      </c>
      <c r="Q7" s="20">
        <f t="shared" si="2"/>
        <v>5.5347320133681039</v>
      </c>
      <c r="R7" s="59">
        <f t="shared" si="0"/>
        <v>267.09028756892366</v>
      </c>
      <c r="S7" s="59">
        <f ca="1">AVERAGE(OFFSET($R$3,0,0,'Données projet'!$E$9+1,1))-AVERAGE(OFFSET($H$3,0,0,'Données projet'!$E$9+1,1))</f>
        <v>323.17232038705157</v>
      </c>
      <c r="T7" s="59">
        <f t="shared" si="34"/>
        <v>402.34685738619197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6.7360323886639675</v>
      </c>
      <c r="AI7" s="13">
        <f>IF('Données projet'!$A$62&gt;35,AI6+AH7-AQ6,IF(A7&lt;'Données projet'!$A$62,$AF$205^A7,IF(A7='Données projet'!$A$62,'Données projet'!$B$62,AI6+AH7-AQ6)))</f>
        <v>2.777232006027341</v>
      </c>
      <c r="AJ7" s="13">
        <f>AI7*VLOOKUP('Données projet'!$B$10,Paramètres!$A$1:$I$89,3,0)*VLOOKUP('Données projet'!$B$10,Paramètres!$A$1:$I$89,5,0)</f>
        <v>1.66078473960435</v>
      </c>
      <c r="AK7" s="13">
        <f t="shared" si="35"/>
        <v>0.7214744188785307</v>
      </c>
      <c r="AL7" s="20">
        <f t="shared" si="4"/>
        <v>4.1491013676910162</v>
      </c>
      <c r="AM7" s="59">
        <f t="shared" si="5"/>
        <v>265.70465692324655</v>
      </c>
      <c r="AN7" s="59">
        <f ca="1">AVERAGE(OFFSET($AM$3,0,0,'Données projet'!$E$10+1,1))-AVERAGE(OFFSET($H$3,0,0,'Données projet'!$E$10+1,1))</f>
        <v>355.09162485318728</v>
      </c>
      <c r="AO7" s="59">
        <f t="shared" si="36"/>
        <v>320.06572891923685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>
        <f>VLOOKUP(A7,'Données projet'!$A$87:$I$107,2,0)</f>
        <v>6.6838461538461518</v>
      </c>
      <c r="BB7" s="12">
        <f>VLOOKUP(A7,'Données projet'!$A$87:$I$107,9,0)</f>
        <v>4.3738461538461522</v>
      </c>
      <c r="BC7" s="12">
        <f t="array" ref="BC7">INDEX(BB:BB,MIN(IF(ISNUMBER(BB7:BB203),ROW(BB7:BB203),"")))</f>
        <v>4.3738461538461522</v>
      </c>
      <c r="BD7" s="12">
        <f>IF('Données projet'!$A$88&gt;35,BD6+BC7-BL6,IF(A7&lt;'Données projet'!$A$88,$BA$205^A7,IF(A7='Données projet'!$A$88,'Données projet'!$B$88,BD6+BC7-BL6)))</f>
        <v>6.6838461538461527</v>
      </c>
      <c r="BE7" s="13">
        <f>BD7*VLOOKUP('Données projet'!$B$11,Paramètres!$A$1:$I$89,3,0)*VLOOKUP('Données projet'!$B$11,Paramètres!$A$1:$I$89,5,0)</f>
        <v>3.5034047999999993</v>
      </c>
      <c r="BF7" s="13">
        <f t="shared" si="37"/>
        <v>1.395287527893899</v>
      </c>
      <c r="BG7" s="20">
        <f t="shared" si="7"/>
        <v>8.5318891377485393</v>
      </c>
      <c r="BH7" s="59">
        <f t="shared" si="8"/>
        <v>270.08744469330406</v>
      </c>
      <c r="BI7" s="59">
        <f ca="1">AVERAGE(OFFSET($BH$3,0,0,'Données projet'!$E$11+1,1))-AVERAGE(OFFSET($H$3,0,0,'Données projet'!$E$11+1,1))</f>
        <v>119.99995828001613</v>
      </c>
      <c r="BJ7" s="59">
        <f t="shared" si="38"/>
        <v>317.56542444086261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9.4117948717948714</v>
      </c>
      <c r="N8" s="13">
        <f>IF('Données projet'!$A$36&gt;35,N7+M8-V7,IF(A8&lt;'Données projet'!$A$36,$K$205^A8,IF(A8='Données projet'!$A$36,'Données projet'!$B$36,N7+M8-V7)))</f>
        <v>5.2070039136878581</v>
      </c>
      <c r="O8" s="13">
        <f>N8*VLOOKUP('Données projet'!$B$9,Paramètres!$A$1:$I$89,3,0)*VLOOKUP('Données projet'!$B$9,Paramètres!$A$1:$I$89,5,0)</f>
        <v>3.1137883403853395</v>
      </c>
      <c r="P8" s="13">
        <f t="shared" si="33"/>
        <v>1.2572519072119237</v>
      </c>
      <c r="Q8" s="20">
        <f t="shared" si="2"/>
        <v>7.6128950978985666</v>
      </c>
      <c r="R8" s="59">
        <f t="shared" si="0"/>
        <v>270.39067287567633</v>
      </c>
      <c r="S8" s="59">
        <f ca="1">AVERAGE(OFFSET($R$3,0,0,'Données projet'!$E$9+1,1))-AVERAGE(OFFSET($H$3,0,0,'Données projet'!$E$9+1,1))</f>
        <v>323.17232038705157</v>
      </c>
      <c r="T8" s="59">
        <f t="shared" si="34"/>
        <v>402.34685738619197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6.7360323886639675</v>
      </c>
      <c r="AI8" s="13">
        <f>IF('Données projet'!$A$62&gt;35,AI7+AH8-AQ7,IF(A8&lt;'Données projet'!$A$62,$AF$205^A8,IF(A8='Données projet'!$A$62,'Données projet'!$B$62,AI7+AH8-AQ7)))</f>
        <v>3.5852149771893647</v>
      </c>
      <c r="AJ8" s="13">
        <f>AI8*VLOOKUP('Données projet'!$B$10,Paramètres!$A$1:$I$89,3,0)*VLOOKUP('Données projet'!$B$10,Paramètres!$A$1:$I$89,5,0)</f>
        <v>2.1439585563592405</v>
      </c>
      <c r="AK8" s="13">
        <f t="shared" si="35"/>
        <v>0.90409665730893507</v>
      </c>
      <c r="AL8" s="20">
        <f t="shared" si="4"/>
        <v>5.3086961638054051</v>
      </c>
      <c r="AM8" s="59">
        <f t="shared" si="5"/>
        <v>268.08647394158317</v>
      </c>
      <c r="AN8" s="59">
        <f ca="1">AVERAGE(OFFSET($AM$3,0,0,'Données projet'!$E$10+1,1))-AVERAGE(OFFSET($H$3,0,0,'Données projet'!$E$10+1,1))</f>
        <v>355.09162485318728</v>
      </c>
      <c r="AO8" s="59">
        <f t="shared" si="36"/>
        <v>320.06572891923685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>
        <f>VLOOKUP(A8,'Données projet'!$A$87:$I$107,2,0)</f>
        <v>13.14935897435897</v>
      </c>
      <c r="BB8" s="12">
        <f>VLOOKUP(A8,'Données projet'!$A$87:$I$107,9,0)</f>
        <v>6.4655128205128181</v>
      </c>
      <c r="BC8" s="12">
        <f t="array" ref="BC8">INDEX(BB:BB,MIN(IF(ISNUMBER(BB8:BB204),ROW(BB8:BB204),"")))</f>
        <v>6.4655128205128181</v>
      </c>
      <c r="BD8" s="12">
        <f>IF('Données projet'!$A$88&gt;35,BD7+BC8-BL7,IF(A8&lt;'Données projet'!$A$88,$BA$205^A8,IF(A8='Données projet'!$A$88,'Données projet'!$B$88,BD7+BC8-BL7)))</f>
        <v>13.149358974358972</v>
      </c>
      <c r="BE8" s="13">
        <f>BD8*VLOOKUP('Données projet'!$B$11,Paramètres!$A$1:$I$89,3,0)*VLOOKUP('Données projet'!$B$11,Paramètres!$A$1:$I$89,5,0)</f>
        <v>6.8923679999999985</v>
      </c>
      <c r="BF8" s="13">
        <f t="shared" si="37"/>
        <v>2.5370815895349925</v>
      </c>
      <c r="BG8" s="20">
        <f t="shared" si="7"/>
        <v>16.422958035106777</v>
      </c>
      <c r="BH8" s="59">
        <f t="shared" si="8"/>
        <v>279.20073581288455</v>
      </c>
      <c r="BI8" s="59">
        <f ca="1">AVERAGE(OFFSET($BH$3,0,0,'Données projet'!$E$11+1,1))-AVERAGE(OFFSET($H$3,0,0,'Données projet'!$E$11+1,1))</f>
        <v>119.99995828001613</v>
      </c>
      <c r="BJ8" s="59">
        <f t="shared" si="38"/>
        <v>317.56542444086261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9.4117948717948714</v>
      </c>
      <c r="N9" s="13">
        <f>IF('Données projet'!$A$36&gt;35,N8+M9-V8,IF(A9&lt;'Données projet'!$A$36,$K$205^A9,IF(A9='Données projet'!$A$36,'Données projet'!$B$36,N8+M9-V8)))</f>
        <v>7.2427831894575698</v>
      </c>
      <c r="O9" s="13">
        <f>N9*VLOOKUP('Données projet'!$B$9,Paramètres!$A$1:$I$89,3,0)*VLOOKUP('Données projet'!$B$9,Paramètres!$A$1:$I$89,5,0)</f>
        <v>4.3311843472956273</v>
      </c>
      <c r="P9" s="13">
        <f t="shared" si="33"/>
        <v>1.6828977024636564</v>
      </c>
      <c r="Q9" s="20">
        <f t="shared" si="2"/>
        <v>10.474526236664085</v>
      </c>
      <c r="R9" s="59">
        <f t="shared" si="0"/>
        <v>274.47452623666408</v>
      </c>
      <c r="S9" s="59">
        <f ca="1">AVERAGE(OFFSET($R$3,0,0,'Données projet'!$E$9+1,1))-AVERAGE(OFFSET($H$3,0,0,'Données projet'!$E$9+1,1))</f>
        <v>323.17232038705157</v>
      </c>
      <c r="T9" s="59">
        <f t="shared" si="34"/>
        <v>402.34685738619197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6.7360323886639675</v>
      </c>
      <c r="AI9" s="13">
        <f>IF('Données projet'!$A$62&gt;35,AI8+AH9-AQ8,IF(A9&lt;'Données projet'!$A$62,$AF$205^A9,IF(A9='Données projet'!$A$62,'Données projet'!$B$62,AI8+AH9-AQ8)))</f>
        <v>4.6282652672757632</v>
      </c>
      <c r="AJ9" s="13">
        <f>AI9*VLOOKUP('Données projet'!$B$10,Paramètres!$A$1:$I$89,3,0)*VLOOKUP('Données projet'!$B$10,Paramètres!$A$1:$I$89,5,0)</f>
        <v>2.7677026298309064</v>
      </c>
      <c r="AK9" s="13">
        <f t="shared" si="35"/>
        <v>1.1329449033380179</v>
      </c>
      <c r="AL9" s="20">
        <f t="shared" si="4"/>
        <v>6.7936277869358754</v>
      </c>
      <c r="AM9" s="59">
        <f t="shared" si="5"/>
        <v>270.79362778693587</v>
      </c>
      <c r="AN9" s="59">
        <f ca="1">AVERAGE(OFFSET($AM$3,0,0,'Données projet'!$E$10+1,1))-AVERAGE(OFFSET($H$3,0,0,'Données projet'!$E$10+1,1))</f>
        <v>355.09162485318728</v>
      </c>
      <c r="AO9" s="59">
        <f t="shared" si="36"/>
        <v>320.06572891923685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>
        <f>VLOOKUP(A9,'Données projet'!$A$87:$I$107,2,0)</f>
        <v>21.549999999999997</v>
      </c>
      <c r="BB9" s="12">
        <f>VLOOKUP(A9,'Données projet'!$A$87:$I$107,9,0)</f>
        <v>8.4006410256410273</v>
      </c>
      <c r="BC9" s="12">
        <f t="array" ref="BC9">INDEX(BB:BB,MIN(IF(ISNUMBER(BB9:BB205),ROW(BB9:BB205),"")))</f>
        <v>8.4006410256410273</v>
      </c>
      <c r="BD9" s="12">
        <f>IF('Données projet'!$A$88&gt;35,BD8+BC9-BL8,IF(A9&lt;'Données projet'!$A$88,$BA$205^A9,IF(A9='Données projet'!$A$88,'Données projet'!$B$88,BD8+BC9-BL8)))</f>
        <v>21.549999999999997</v>
      </c>
      <c r="BE9" s="13">
        <f>BD9*VLOOKUP('Données projet'!$B$11,Paramètres!$A$1:$I$89,3,0)*VLOOKUP('Données projet'!$B$11,Paramètres!$A$1:$I$89,5,0)</f>
        <v>11.295648</v>
      </c>
      <c r="BF9" s="13">
        <f t="shared" si="37"/>
        <v>3.9255847444072547</v>
      </c>
      <c r="BG9" s="20">
        <f t="shared" si="7"/>
        <v>26.5103136965093</v>
      </c>
      <c r="BH9" s="59">
        <f t="shared" si="8"/>
        <v>290.51031369650929</v>
      </c>
      <c r="BI9" s="59">
        <f ca="1">AVERAGE(OFFSET($BH$3,0,0,'Données projet'!$E$11+1,1))-AVERAGE(OFFSET($H$3,0,0,'Données projet'!$E$11+1,1))</f>
        <v>119.99995828001613</v>
      </c>
      <c r="BJ9" s="59">
        <f t="shared" si="38"/>
        <v>317.56542444086261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9.4117948717948714</v>
      </c>
      <c r="N10" s="13">
        <f>IF('Données projet'!$A$36&gt;35,N9+M10-V9,IF(A10&lt;'Données projet'!$A$36,$K$205^A10,IF(A10='Données projet'!$A$36,'Données projet'!$B$36,N9+M10-V9)))</f>
        <v>10.07448989842143</v>
      </c>
      <c r="O10" s="13">
        <f>N10*VLOOKUP('Données projet'!$B$9,Paramètres!$A$1:$I$89,3,0)*VLOOKUP('Données projet'!$B$9,Paramètres!$A$1:$I$89,5,0)</f>
        <v>6.0245449592560147</v>
      </c>
      <c r="P10" s="13">
        <f t="shared" si="33"/>
        <v>2.2526469522229675</v>
      </c>
      <c r="Q10" s="20">
        <f t="shared" si="2"/>
        <v>14.416109245825893</v>
      </c>
      <c r="R10" s="59">
        <f t="shared" si="0"/>
        <v>279.63833146804814</v>
      </c>
      <c r="S10" s="59">
        <f ca="1">AVERAGE(OFFSET($R$3,0,0,'Données projet'!$E$9+1,1))-AVERAGE(OFFSET($H$3,0,0,'Données projet'!$E$9+1,1))</f>
        <v>323.17232038705157</v>
      </c>
      <c r="T10" s="59">
        <f t="shared" si="34"/>
        <v>402.34685738619197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6.7360323886639675</v>
      </c>
      <c r="AI10" s="13">
        <f>IF('Données projet'!$A$62&gt;35,AI9+AH10-AQ9,IF(A10&lt;'Données projet'!$A$62,$AF$205^A10,IF(A10='Données projet'!$A$62,'Données projet'!$B$62,AI9+AH10-AQ9)))</f>
        <v>5.9747712537628903</v>
      </c>
      <c r="AJ10" s="13">
        <f>AI10*VLOOKUP('Données projet'!$B$10,Paramètres!$A$1:$I$89,3,0)*VLOOKUP('Données projet'!$B$10,Paramètres!$A$1:$I$89,5,0)</f>
        <v>3.5729132097502085</v>
      </c>
      <c r="AK10" s="13">
        <f t="shared" si="35"/>
        <v>1.4197200527431988</v>
      </c>
      <c r="AL10" s="20">
        <f t="shared" si="4"/>
        <v>8.6955029321760176</v>
      </c>
      <c r="AM10" s="59">
        <f t="shared" si="5"/>
        <v>273.91772515439823</v>
      </c>
      <c r="AN10" s="59">
        <f ca="1">AVERAGE(OFFSET($AM$3,0,0,'Données projet'!$E$10+1,1))-AVERAGE(OFFSET($H$3,0,0,'Données projet'!$E$10+1,1))</f>
        <v>355.09162485318728</v>
      </c>
      <c r="AO10" s="59">
        <f t="shared" si="36"/>
        <v>320.06572891923685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>
        <f>VLOOKUP(A10,'Données projet'!$A$87:$I$107,2,0)</f>
        <v>31.729230769230764</v>
      </c>
      <c r="BB10" s="12">
        <f>VLOOKUP(A10,'Données projet'!$A$87:$I$107,9,0)</f>
        <v>10.179230769230767</v>
      </c>
      <c r="BC10" s="12">
        <f t="array" ref="BC10">INDEX(BB:BB,MIN(IF(ISNUMBER(BB10:BB206),ROW(BB10:BB206),"")))</f>
        <v>10.179230769230767</v>
      </c>
      <c r="BD10" s="12">
        <f>IF('Données projet'!$A$88&gt;35,BD9+BC10-BL9,IF(A10&lt;'Données projet'!$A$88,$BA$205^A10,IF(A10='Données projet'!$A$88,'Données projet'!$B$88,BD9+BC10-BL9)))</f>
        <v>31.729230769230764</v>
      </c>
      <c r="BE10" s="13">
        <f>BD10*VLOOKUP('Données projet'!$B$11,Paramètres!$A$1:$I$89,3,0)*VLOOKUP('Données projet'!$B$11,Paramètres!$A$1:$I$89,5,0)</f>
        <v>16.631193599999996</v>
      </c>
      <c r="BF10" s="13">
        <f t="shared" si="37"/>
        <v>5.5253526035820979</v>
      </c>
      <c r="BG10" s="20">
        <f t="shared" si="7"/>
        <v>38.58931797123882</v>
      </c>
      <c r="BH10" s="59">
        <f t="shared" si="8"/>
        <v>303.81154019346104</v>
      </c>
      <c r="BI10" s="59">
        <f ca="1">AVERAGE(OFFSET($BH$3,0,0,'Données projet'!$E$11+1,1))-AVERAGE(OFFSET($H$3,0,0,'Données projet'!$E$11+1,1))</f>
        <v>119.99995828001613</v>
      </c>
      <c r="BJ10" s="59">
        <f t="shared" si="38"/>
        <v>317.56542444086261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9.4117948717948714</v>
      </c>
      <c r="N11" s="13">
        <f>IF('Données projet'!$A$36&gt;35,N10+M11-V10,IF(A11&lt;'Données projet'!$A$36,$K$205^A11,IF(A11='Données projet'!$A$36,'Données projet'!$B$36,N10+M11-V10)))</f>
        <v>14.01330732378262</v>
      </c>
      <c r="O11" s="13">
        <f>N11*VLOOKUP('Données projet'!$B$9,Paramètres!$A$1:$I$89,3,0)*VLOOKUP('Données projet'!$B$9,Paramètres!$A$1:$I$89,5,0)</f>
        <v>8.3799577796220071</v>
      </c>
      <c r="P11" s="13">
        <f t="shared" si="33"/>
        <v>3.0152862434423646</v>
      </c>
      <c r="Q11" s="20">
        <f t="shared" si="2"/>
        <v>19.846716673503781</v>
      </c>
      <c r="R11" s="59">
        <f t="shared" si="0"/>
        <v>286.29116111794826</v>
      </c>
      <c r="S11" s="59">
        <f ca="1">AVERAGE(OFFSET($R$3,0,0,'Données projet'!$E$9+1,1))-AVERAGE(OFFSET($H$3,0,0,'Données projet'!$E$9+1,1))</f>
        <v>323.17232038705157</v>
      </c>
      <c r="T11" s="59">
        <f t="shared" si="34"/>
        <v>402.34685738619197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6.7360323886639675</v>
      </c>
      <c r="AI11" s="13">
        <f>IF('Données projet'!$A$62&gt;35,AI10+AH11-AQ10,IF(A11&lt;'Données projet'!$A$62,$AF$205^A11,IF(A11='Données projet'!$A$62,'Données projet'!$B$62,AI10+AH11-AQ10)))</f>
        <v>7.7130176153026486</v>
      </c>
      <c r="AJ11" s="13">
        <f>AI11*VLOOKUP('Données projet'!$B$10,Paramètres!$A$1:$I$89,3,0)*VLOOKUP('Données projet'!$B$10,Paramètres!$A$1:$I$89,5,0)</f>
        <v>4.6123845339509844</v>
      </c>
      <c r="AK11" s="13">
        <f t="shared" si="35"/>
        <v>1.7790847747516541</v>
      </c>
      <c r="AL11" s="20">
        <f t="shared" si="4"/>
        <v>11.131809045990428</v>
      </c>
      <c r="AM11" s="59">
        <f t="shared" si="5"/>
        <v>277.57625349043491</v>
      </c>
      <c r="AN11" s="59">
        <f ca="1">AVERAGE(OFFSET($AM$3,0,0,'Données projet'!$E$10+1,1))-AVERAGE(OFFSET($H$3,0,0,'Données projet'!$E$10+1,1))</f>
        <v>355.09162485318728</v>
      </c>
      <c r="AO11" s="59">
        <f t="shared" si="36"/>
        <v>320.06572891923685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>
        <f>VLOOKUP(A11,'Données projet'!$A$87:$I$107,2,0)</f>
        <v>43.530512820512811</v>
      </c>
      <c r="BB11" s="12">
        <f>VLOOKUP(A11,'Données projet'!$A$87:$I$107,9,0)</f>
        <v>11.801282051282048</v>
      </c>
      <c r="BC11" s="12">
        <f t="array" ref="BC11">INDEX(BB:BB,MIN(IF(ISNUMBER(BB11:BB207),ROW(BB11:BB207),"")))</f>
        <v>11.801282051282048</v>
      </c>
      <c r="BD11" s="12">
        <f>IF('Données projet'!$A$88&gt;35,BD10+BC11-BL10,IF(A11&lt;'Données projet'!$A$88,$BA$205^A11,IF(A11='Données projet'!$A$88,'Données projet'!$B$88,BD10+BC11-BL10)))</f>
        <v>43.530512820512811</v>
      </c>
      <c r="BE11" s="13">
        <f>BD11*VLOOKUP('Données projet'!$B$11,Paramètres!$A$1:$I$89,3,0)*VLOOKUP('Données projet'!$B$11,Paramètres!$A$1:$I$89,5,0)</f>
        <v>22.816953599999998</v>
      </c>
      <c r="BF11" s="13">
        <f t="shared" si="37"/>
        <v>7.3064855977736274</v>
      </c>
      <c r="BG11" s="20">
        <f t="shared" si="7"/>
        <v>52.4649899361224</v>
      </c>
      <c r="BH11" s="59">
        <f t="shared" si="8"/>
        <v>318.90943438056684</v>
      </c>
      <c r="BI11" s="59">
        <f ca="1">AVERAGE(OFFSET($BH$3,0,0,'Données projet'!$E$11+1,1))-AVERAGE(OFFSET($H$3,0,0,'Données projet'!$E$11+1,1))</f>
        <v>119.99995828001613</v>
      </c>
      <c r="BJ11" s="59">
        <f t="shared" si="38"/>
        <v>317.56542444086261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9.4117948717948714</v>
      </c>
      <c r="N12" s="13">
        <f>IF('Données projet'!$A$36&gt;35,N11+M12-V11,IF(A12&lt;'Données projet'!$A$36,$K$205^A12,IF(A12='Données projet'!$A$36,'Données projet'!$B$36,N11+M12-V11)))</f>
        <v>19.492081895039593</v>
      </c>
      <c r="O12" s="13">
        <f>N12*VLOOKUP('Données projet'!$B$9,Paramètres!$A$1:$I$89,3,0)*VLOOKUP('Données projet'!$B$9,Paramètres!$A$1:$I$89,5,0)</f>
        <v>11.656264973233679</v>
      </c>
      <c r="P12" s="13">
        <f t="shared" si="33"/>
        <v>4.0361189847883647</v>
      </c>
      <c r="Q12" s="20">
        <f t="shared" si="2"/>
        <v>27.330902060221728</v>
      </c>
      <c r="R12" s="59">
        <f t="shared" si="0"/>
        <v>294.9975687268884</v>
      </c>
      <c r="S12" s="59">
        <f ca="1">AVERAGE(OFFSET($R$3,0,0,'Données projet'!$E$9+1,1))-AVERAGE(OFFSET($H$3,0,0,'Données projet'!$E$9+1,1))</f>
        <v>323.17232038705157</v>
      </c>
      <c r="T12" s="59">
        <f t="shared" si="34"/>
        <v>402.34685738619197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6.7360323886639675</v>
      </c>
      <c r="AI12" s="13">
        <f>IF('Données projet'!$A$62&gt;35,AI11+AH12-AQ11,IF(A12&lt;'Données projet'!$A$62,$AF$205^A12,IF(A12='Données projet'!$A$62,'Données projet'!$B$62,AI11+AH12-AQ11)))</f>
        <v>9.9569737831388867</v>
      </c>
      <c r="AJ12" s="13">
        <f>AI12*VLOOKUP('Données projet'!$B$10,Paramètres!$A$1:$I$89,3,0)*VLOOKUP('Données projet'!$B$10,Paramètres!$A$1:$I$89,5,0)</f>
        <v>5.9542703223170541</v>
      </c>
      <c r="AK12" s="13">
        <f t="shared" si="35"/>
        <v>2.2294132069469743</v>
      </c>
      <c r="AL12" s="20">
        <f t="shared" si="4"/>
        <v>14.253248813468183</v>
      </c>
      <c r="AM12" s="59">
        <f t="shared" si="5"/>
        <v>281.91991548013488</v>
      </c>
      <c r="AN12" s="59">
        <f ca="1">AVERAGE(OFFSET($AM$3,0,0,'Données projet'!$E$10+1,1))-AVERAGE(OFFSET($H$3,0,0,'Données projet'!$E$10+1,1))</f>
        <v>355.09162485318728</v>
      </c>
      <c r="AO12" s="59">
        <f t="shared" si="36"/>
        <v>320.06572891923685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>
        <f>VLOOKUP(A12,'Données projet'!$A$87:$I$107,2,0)</f>
        <v>56.797307692307676</v>
      </c>
      <c r="BB12" s="12">
        <f>VLOOKUP(A12,'Données projet'!$A$87:$I$107,9,0)</f>
        <v>13.266794871794865</v>
      </c>
      <c r="BC12" s="12">
        <f t="array" ref="BC12">INDEX(BB:BB,MIN(IF(ISNUMBER(BB12:BB208),ROW(BB12:BB208),"")))</f>
        <v>13.266794871794865</v>
      </c>
      <c r="BD12" s="12">
        <f>IF('Données projet'!$A$88&gt;35,BD11+BC12-BL11,IF(A12&lt;'Données projet'!$A$88,$BA$205^A12,IF(A12='Données projet'!$A$88,'Données projet'!$B$88,BD11+BC12-BL11)))</f>
        <v>56.797307692307676</v>
      </c>
      <c r="BE12" s="13">
        <f>BD12*VLOOKUP('Données projet'!$B$11,Paramètres!$A$1:$I$89,3,0)*VLOOKUP('Données projet'!$B$11,Paramètres!$A$1:$I$89,5,0)</f>
        <v>29.770876799999996</v>
      </c>
      <c r="BF12" s="13">
        <f t="shared" si="37"/>
        <v>9.2426039809662441</v>
      </c>
      <c r="BG12" s="20">
        <f t="shared" si="7"/>
        <v>67.948479026849526</v>
      </c>
      <c r="BH12" s="59">
        <f t="shared" si="8"/>
        <v>335.61514569351618</v>
      </c>
      <c r="BI12" s="59">
        <f ca="1">AVERAGE(OFFSET($BH$3,0,0,'Données projet'!$E$11+1,1))-AVERAGE(OFFSET($H$3,0,0,'Données projet'!$E$11+1,1))</f>
        <v>119.99995828001613</v>
      </c>
      <c r="BJ12" s="59">
        <f t="shared" si="38"/>
        <v>317.56542444086261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9.4117948717948714</v>
      </c>
      <c r="N13" s="13">
        <f>IF('Données projet'!$A$36&gt;35,N12+M13-V12,IF(A13&lt;'Données projet'!$A$36,$K$205^A13,IF(A13='Données projet'!$A$36,'Données projet'!$B$36,N12+M13-V12)))</f>
        <v>27.112889757160666</v>
      </c>
      <c r="O13" s="13">
        <f>N13*VLOOKUP('Données projet'!$B$9,Paramètres!$A$1:$I$89,3,0)*VLOOKUP('Données projet'!$B$9,Paramètres!$A$1:$I$89,5,0)</f>
        <v>16.21350807478208</v>
      </c>
      <c r="P13" s="13">
        <f t="shared" si="33"/>
        <v>5.4025572181735821</v>
      </c>
      <c r="Q13" s="20">
        <f t="shared" si="2"/>
        <v>37.647980385231108</v>
      </c>
      <c r="R13" s="59">
        <f t="shared" si="0"/>
        <v>306.53686927411997</v>
      </c>
      <c r="S13" s="59">
        <f ca="1">AVERAGE(OFFSET($R$3,0,0,'Données projet'!$E$9+1,1))-AVERAGE(OFFSET($H$3,0,0,'Données projet'!$E$9+1,1))</f>
        <v>323.17232038705157</v>
      </c>
      <c r="T13" s="59">
        <f t="shared" si="34"/>
        <v>402.34685738619197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6.7360323886639675</v>
      </c>
      <c r="AI13" s="13">
        <f>IF('Données projet'!$A$62&gt;35,AI12+AH13-AQ12,IF(A13&lt;'Données projet'!$A$62,$AF$205^A13,IF(A13='Données projet'!$A$62,'Données projet'!$B$62,AI12+AH13-AQ12)))</f>
        <v>12.853766432662937</v>
      </c>
      <c r="AJ13" s="13">
        <f>AI13*VLOOKUP('Données projet'!$B$10,Paramètres!$A$1:$I$89,3,0)*VLOOKUP('Données projet'!$B$10,Paramètres!$A$1:$I$89,5,0)</f>
        <v>7.6865523267324365</v>
      </c>
      <c r="AK13" s="13">
        <f t="shared" si="35"/>
        <v>2.7937304156871372</v>
      </c>
      <c r="AL13" s="20">
        <f t="shared" si="4"/>
        <v>18.25315910971409</v>
      </c>
      <c r="AM13" s="59">
        <f t="shared" si="5"/>
        <v>287.14204799860295</v>
      </c>
      <c r="AN13" s="59">
        <f ca="1">AVERAGE(OFFSET($AM$3,0,0,'Données projet'!$E$10+1,1))-AVERAGE(OFFSET($H$3,0,0,'Données projet'!$E$10+1,1))</f>
        <v>355.09162485318728</v>
      </c>
      <c r="AO13" s="59">
        <f t="shared" si="36"/>
        <v>320.06572891923685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71.373076923076894</v>
      </c>
      <c r="BB13" s="12">
        <f>VLOOKUP(A13,'Données projet'!$A$87:$I$107,9,0)</f>
        <v>14.575769230769218</v>
      </c>
      <c r="BC13" s="12">
        <f t="array" ref="BC13">INDEX(BB:BB,MIN(IF(ISNUMBER(BB13:BB209),ROW(BB13:BB209),"")))</f>
        <v>14.575769230769218</v>
      </c>
      <c r="BD13" s="12">
        <f>IF('Données projet'!$A$88&gt;35,BD12+BC13-BL12,IF(A13&lt;'Données projet'!$A$88,$BA$205^A13,IF(A13='Données projet'!$A$88,'Données projet'!$B$88,BD12+BC13-BL12)))</f>
        <v>71.373076923076894</v>
      </c>
      <c r="BE13" s="13">
        <f>BD13*VLOOKUP('Données projet'!$B$11,Paramètres!$A$1:$I$89,3,0)*VLOOKUP('Données projet'!$B$11,Paramètres!$A$1:$I$89,5,0)</f>
        <v>37.410911999999989</v>
      </c>
      <c r="BF13" s="13">
        <f t="shared" si="37"/>
        <v>11.30975921255453</v>
      </c>
      <c r="BG13" s="20">
        <f t="shared" si="7"/>
        <v>84.855169028532458</v>
      </c>
      <c r="BH13" s="59">
        <f t="shared" si="8"/>
        <v>353.74405791742129</v>
      </c>
      <c r="BI13" s="59">
        <f ca="1">AVERAGE(OFFSET($BH$3,0,0,'Données projet'!$E$11+1,1))-AVERAGE(OFFSET($H$3,0,0,'Données projet'!$E$11+1,1))</f>
        <v>119.99995828001613</v>
      </c>
      <c r="BJ13" s="59">
        <f t="shared" si="38"/>
        <v>317.56542444086261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9.4117948717948714</v>
      </c>
      <c r="N14" s="13">
        <f>IF('Données projet'!$A$36&gt;35,N13+M14-V13,IF(A14&lt;'Données projet'!$A$36,$K$205^A14,IF(A14='Données projet'!$A$36,'Données projet'!$B$36,N13+M14-V13)))</f>
        <v>37.713200413498193</v>
      </c>
      <c r="O14" s="13">
        <f>N14*VLOOKUP('Données projet'!$B$9,Paramètres!$A$1:$I$89,3,0)*VLOOKUP('Données projet'!$B$9,Paramètres!$A$1:$I$89,5,0)</f>
        <v>22.552493847271922</v>
      </c>
      <c r="P14" s="13">
        <f t="shared" si="33"/>
        <v>7.2316065521467667</v>
      </c>
      <c r="Q14" s="20">
        <f t="shared" si="2"/>
        <v>51.873974862320885</v>
      </c>
      <c r="R14" s="59">
        <f t="shared" si="0"/>
        <v>321.98508597343204</v>
      </c>
      <c r="S14" s="59">
        <f ca="1">AVERAGE(OFFSET($R$3,0,0,'Données projet'!$E$9+1,1))-AVERAGE(OFFSET($H$3,0,0,'Données projet'!$E$9+1,1))</f>
        <v>323.17232038705157</v>
      </c>
      <c r="T14" s="59">
        <f t="shared" si="34"/>
        <v>402.34685738619197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6.7360323886639675</v>
      </c>
      <c r="AI14" s="13">
        <f>IF('Données projet'!$A$62&gt;35,AI13+AH14-AQ13,IF(A14&lt;'Données projet'!$A$62,$AF$205^A14,IF(A14='Données projet'!$A$62,'Données projet'!$B$62,AI13+AH14-AQ13)))</f>
        <v>16.593325954642403</v>
      </c>
      <c r="AJ14" s="13">
        <f>AI14*VLOOKUP('Données projet'!$B$10,Paramètres!$A$1:$I$89,3,0)*VLOOKUP('Données projet'!$B$10,Paramètres!$A$1:$I$89,5,0)</f>
        <v>9.9228089208761574</v>
      </c>
      <c r="AK14" s="13">
        <f t="shared" si="35"/>
        <v>3.5008896561726774</v>
      </c>
      <c r="AL14" s="20">
        <f t="shared" si="4"/>
        <v>23.379608355026718</v>
      </c>
      <c r="AM14" s="59">
        <f t="shared" si="5"/>
        <v>293.49071946613788</v>
      </c>
      <c r="AN14" s="59">
        <f ca="1">AVERAGE(OFFSET($AM$3,0,0,'Données projet'!$E$10+1,1))-AVERAGE(OFFSET($H$3,0,0,'Données projet'!$E$10+1,1))</f>
        <v>355.09162485318728</v>
      </c>
      <c r="AO14" s="59">
        <f t="shared" si="36"/>
        <v>320.06572891923685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>
        <f>VLOOKUP(A14,'Données projet'!$A$87:$I$107,2,0)</f>
        <v>87.101282051282055</v>
      </c>
      <c r="BB14" s="12">
        <f>VLOOKUP(A14,'Données projet'!$A$87:$I$107,9,0)</f>
        <v>15.728205128205161</v>
      </c>
      <c r="BC14" s="12">
        <f t="array" ref="BC14">INDEX(BB:BB,MIN(IF(ISNUMBER(BB14:BB210),ROW(BB14:BB210),"")))</f>
        <v>15.728205128205161</v>
      </c>
      <c r="BD14" s="12">
        <f>IF('Données projet'!$A$88&gt;35,BD13+BC14-BL13,IF(A14&lt;'Données projet'!$A$88,$BA$205^A14,IF(A14='Données projet'!$A$88,'Données projet'!$B$88,BD13+BC14-BL13)))</f>
        <v>87.101282051282055</v>
      </c>
      <c r="BE14" s="13">
        <f>BD14*VLOOKUP('Données projet'!$B$11,Paramètres!$A$1:$I$89,3,0)*VLOOKUP('Données projet'!$B$11,Paramètres!$A$1:$I$89,5,0)</f>
        <v>45.655008000000009</v>
      </c>
      <c r="BF14" s="13">
        <f t="shared" si="37"/>
        <v>13.485778915655812</v>
      </c>
      <c r="BG14" s="20">
        <f t="shared" si="7"/>
        <v>103.00353721143388</v>
      </c>
      <c r="BH14" s="59">
        <f t="shared" si="8"/>
        <v>373.11464832254501</v>
      </c>
      <c r="BI14" s="59">
        <f ca="1">AVERAGE(OFFSET($BH$3,0,0,'Données projet'!$E$11+1,1))-AVERAGE(OFFSET($H$3,0,0,'Données projet'!$E$11+1,1))</f>
        <v>119.99995828001613</v>
      </c>
      <c r="BJ14" s="59">
        <f t="shared" si="38"/>
        <v>317.56542444086261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9.4117948717948714</v>
      </c>
      <c r="N15" s="13">
        <f>IF('Données projet'!$A$36&gt;35,N14+M15-V14,IF(A15&lt;'Données projet'!$A$36,$K$205^A15,IF(A15='Données projet'!$A$36,'Données projet'!$B$36,N14+M15-V14)))</f>
        <v>52.457908329489165</v>
      </c>
      <c r="O15" s="13">
        <f>N15*VLOOKUP('Données projet'!$B$9,Paramètres!$A$1:$I$89,3,0)*VLOOKUP('Données projet'!$B$9,Paramètres!$A$1:$I$89,5,0)</f>
        <v>31.369829181034525</v>
      </c>
      <c r="P15" s="13">
        <f t="shared" si="33"/>
        <v>9.6798851383070676</v>
      </c>
      <c r="Q15" s="20">
        <f t="shared" si="2"/>
        <v>71.4949191061866</v>
      </c>
      <c r="R15" s="59">
        <f t="shared" si="0"/>
        <v>342.82825243951993</v>
      </c>
      <c r="S15" s="59">
        <f ca="1">AVERAGE(OFFSET($R$3,0,0,'Données projet'!$E$9+1,1))-AVERAGE(OFFSET($H$3,0,0,'Données projet'!$E$9+1,1))</f>
        <v>323.17232038705157</v>
      </c>
      <c r="T15" s="59">
        <f t="shared" si="34"/>
        <v>402.34685738619197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6.7360323886639675</v>
      </c>
      <c r="AI15" s="13">
        <f>IF('Données projet'!$A$62&gt;35,AI14+AH15-AQ14,IF(A15&lt;'Données projet'!$A$62,$AF$205^A15,IF(A15='Données projet'!$A$62,'Données projet'!$B$62,AI14+AH15-AQ14)))</f>
        <v>21.420839384271193</v>
      </c>
      <c r="AJ15" s="13">
        <f>AI15*VLOOKUP('Données projet'!$B$10,Paramètres!$A$1:$I$89,3,0)*VLOOKUP('Données projet'!$B$10,Paramètres!$A$1:$I$89,5,0)</f>
        <v>12.809661951794174</v>
      </c>
      <c r="AK15" s="13">
        <f t="shared" si="35"/>
        <v>4.3870476248805641</v>
      </c>
      <c r="AL15" s="20">
        <f t="shared" si="4"/>
        <v>29.950935846041833</v>
      </c>
      <c r="AM15" s="59">
        <f t="shared" si="5"/>
        <v>301.28426917937514</v>
      </c>
      <c r="AN15" s="59">
        <f ca="1">AVERAGE(OFFSET($AM$3,0,0,'Données projet'!$E$10+1,1))-AVERAGE(OFFSET($H$3,0,0,'Données projet'!$E$10+1,1))</f>
        <v>355.09162485318728</v>
      </c>
      <c r="AO15" s="59">
        <f t="shared" si="36"/>
        <v>320.06572891923685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>
        <f>VLOOKUP(A15,'Données projet'!$A$87:$I$107,2,0)</f>
        <v>103.82538461538462</v>
      </c>
      <c r="BB15" s="12">
        <f>VLOOKUP(A15,'Données projet'!$A$87:$I$107,9,0)</f>
        <v>16.724102564102566</v>
      </c>
      <c r="BC15" s="12">
        <f t="array" ref="BC15">INDEX(BB:BB,MIN(IF(ISNUMBER(BB15:BB211),ROW(BB15:BB211),"")))</f>
        <v>16.724102564102566</v>
      </c>
      <c r="BD15" s="12">
        <f>IF('Données projet'!$A$88&gt;35,BD14+BC15-BL14,IF(A15&lt;'Données projet'!$A$88,$BA$205^A15,IF(A15='Données projet'!$A$88,'Données projet'!$B$88,BD14+BC15-BL14)))</f>
        <v>103.82538461538462</v>
      </c>
      <c r="BE15" s="13">
        <f>BD15*VLOOKUP('Données projet'!$B$11,Paramètres!$A$1:$I$89,3,0)*VLOOKUP('Données projet'!$B$11,Paramètres!$A$1:$I$89,5,0)</f>
        <v>54.421113600000012</v>
      </c>
      <c r="BF15" s="13">
        <f t="shared" si="37"/>
        <v>15.74984053678552</v>
      </c>
      <c r="BG15" s="20">
        <f t="shared" si="7"/>
        <v>122.21441178823478</v>
      </c>
      <c r="BH15" s="59">
        <f t="shared" si="8"/>
        <v>393.54774512156808</v>
      </c>
      <c r="BI15" s="59">
        <f ca="1">AVERAGE(OFFSET($BH$3,0,0,'Données projet'!$E$11+1,1))-AVERAGE(OFFSET($H$3,0,0,'Données projet'!$E$11+1,1))</f>
        <v>119.99995828001613</v>
      </c>
      <c r="BJ15" s="59">
        <f t="shared" si="38"/>
        <v>317.56542444086261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9.4117948717948714</v>
      </c>
      <c r="N16" s="13">
        <f>IF('Données projet'!$A$36&gt;35,N15+M16-V15,IF(A16&lt;'Données projet'!$A$36,$K$205^A16,IF(A16='Données projet'!$A$36,'Données projet'!$B$36,N15+M16-V15)))</f>
        <v>72.967346078646827</v>
      </c>
      <c r="O16" s="13">
        <f>N16*VLOOKUP('Données projet'!$B$9,Paramètres!$A$1:$I$89,3,0)*VLOOKUP('Données projet'!$B$9,Paramètres!$A$1:$I$89,5,0)</f>
        <v>43.634472955030802</v>
      </c>
      <c r="P16" s="13">
        <f t="shared" si="33"/>
        <v>12.957034597381723</v>
      </c>
      <c r="Q16" s="20">
        <f t="shared" si="2"/>
        <v>98.563542320451802</v>
      </c>
      <c r="R16" s="59">
        <f t="shared" si="0"/>
        <v>371.11909787600734</v>
      </c>
      <c r="S16" s="59">
        <f ca="1">AVERAGE(OFFSET($R$3,0,0,'Données projet'!$E$9+1,1))-AVERAGE(OFFSET($H$3,0,0,'Données projet'!$E$9+1,1))</f>
        <v>323.17232038705157</v>
      </c>
      <c r="T16" s="59">
        <f t="shared" si="34"/>
        <v>402.34685738619197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6.7360323886639675</v>
      </c>
      <c r="AI16" s="13">
        <f>IF('Données projet'!$A$62&gt;35,AI15+AH16-AQ15,IF(A16&lt;'Données projet'!$A$62,$AF$205^A16,IF(A16='Données projet'!$A$62,'Données projet'!$B$62,AI15+AH16-AQ15)))</f>
        <v>27.652826273708452</v>
      </c>
      <c r="AJ16" s="13">
        <f>AI16*VLOOKUP('Données projet'!$B$10,Paramètres!$A$1:$I$89,3,0)*VLOOKUP('Données projet'!$B$10,Paramètres!$A$1:$I$89,5,0)</f>
        <v>16.536390111677655</v>
      </c>
      <c r="AK16" s="13">
        <f t="shared" si="35"/>
        <v>5.4975131332790896</v>
      </c>
      <c r="AL16" s="20">
        <f t="shared" si="4"/>
        <v>38.375714818299656</v>
      </c>
      <c r="AM16" s="59">
        <f t="shared" si="5"/>
        <v>310.93127037385523</v>
      </c>
      <c r="AN16" s="59">
        <f ca="1">AVERAGE(OFFSET($AM$3,0,0,'Données projet'!$E$10+1,1))-AVERAGE(OFFSET($H$3,0,0,'Données projet'!$E$10+1,1))</f>
        <v>355.09162485318728</v>
      </c>
      <c r="AO16" s="59">
        <f t="shared" si="36"/>
        <v>320.06572891923685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>
        <f>VLOOKUP(A16,'Données projet'!$A$87:$I$107,2,0)</f>
        <v>121.38884615384613</v>
      </c>
      <c r="BB16" s="12">
        <f>VLOOKUP(A16,'Données projet'!$A$87:$I$107,9,0)</f>
        <v>17.56346153846151</v>
      </c>
      <c r="BC16" s="12">
        <f t="array" ref="BC16">INDEX(BB:BB,MIN(IF(ISNUMBER(BB16:BB212),ROW(BB16:BB212),"")))</f>
        <v>17.56346153846151</v>
      </c>
      <c r="BD16" s="12">
        <f>IF('Données projet'!$A$88&gt;35,BD15+BC16-BL15,IF(A16&lt;'Données projet'!$A$88,$BA$205^A16,IF(A16='Données projet'!$A$88,'Données projet'!$B$88,BD15+BC16-BL15)))</f>
        <v>121.38884615384613</v>
      </c>
      <c r="BE16" s="13">
        <f>BD16*VLOOKUP('Données projet'!$B$11,Paramètres!$A$1:$I$89,3,0)*VLOOKUP('Données projet'!$B$11,Paramètres!$A$1:$I$89,5,0)</f>
        <v>63.627177599999989</v>
      </c>
      <c r="BF16" s="13">
        <f t="shared" si="37"/>
        <v>18.082177096887371</v>
      </c>
      <c r="BG16" s="20">
        <f t="shared" si="7"/>
        <v>142.31045943041215</v>
      </c>
      <c r="BH16" s="59">
        <f t="shared" si="8"/>
        <v>414.86601498596769</v>
      </c>
      <c r="BI16" s="59">
        <f ca="1">AVERAGE(OFFSET($BH$3,0,0,'Données projet'!$E$11+1,1))-AVERAGE(OFFSET($H$3,0,0,'Données projet'!$E$11+1,1))</f>
        <v>119.99995828001613</v>
      </c>
      <c r="BJ16" s="59">
        <f t="shared" si="38"/>
        <v>317.56542444086261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9.4117948717948714</v>
      </c>
      <c r="N17" s="13">
        <f>IF('Données projet'!$A$36&gt;35,N16+M17-V16,IF(A17&lt;'Données projet'!$A$36,$K$205^A17,IF(A17='Données projet'!$A$36,'Données projet'!$B$36,N16+M17-V16)))</f>
        <v>101.49534671339541</v>
      </c>
      <c r="O17" s="13">
        <f>N17*VLOOKUP('Données projet'!$B$9,Paramètres!$A$1:$I$89,3,0)*VLOOKUP('Données projet'!$B$9,Paramètres!$A$1:$I$89,5,0)</f>
        <v>60.694217334610457</v>
      </c>
      <c r="P17" s="13">
        <f t="shared" si="33"/>
        <v>17.343671248056637</v>
      </c>
      <c r="Q17" s="20">
        <f t="shared" si="2"/>
        <v>135.91598928147849</v>
      </c>
      <c r="R17" s="59">
        <f t="shared" si="0"/>
        <v>409.69376705925629</v>
      </c>
      <c r="S17" s="59">
        <f ca="1">AVERAGE(OFFSET($R$3,0,0,'Données projet'!$E$9+1,1))-AVERAGE(OFFSET($H$3,0,0,'Données projet'!$E$9+1,1))</f>
        <v>323.17232038705157</v>
      </c>
      <c r="T17" s="59">
        <f t="shared" si="34"/>
        <v>402.34685738619197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6.7360323886639675</v>
      </c>
      <c r="AI17" s="13">
        <f>IF('Données projet'!$A$62&gt;35,AI16+AH17-AQ16,IF(A17&lt;'Données projet'!$A$62,$AF$205^A17,IF(A17='Données projet'!$A$62,'Données projet'!$B$62,AI16+AH17-AQ16)))</f>
        <v>35.697891534791381</v>
      </c>
      <c r="AJ17" s="13">
        <f>AI17*VLOOKUP('Données projet'!$B$10,Paramètres!$A$1:$I$89,3,0)*VLOOKUP('Données projet'!$B$10,Paramètres!$A$1:$I$89,5,0)</f>
        <v>21.347339137805246</v>
      </c>
      <c r="AK17" s="13">
        <f t="shared" si="35"/>
        <v>6.8890637245814856</v>
      </c>
      <c r="AL17" s="20">
        <f t="shared" si="4"/>
        <v>49.178401651990221</v>
      </c>
      <c r="AM17" s="59">
        <f t="shared" si="5"/>
        <v>322.95617942976799</v>
      </c>
      <c r="AN17" s="59">
        <f ca="1">AVERAGE(OFFSET($AM$3,0,0,'Données projet'!$E$10+1,1))-AVERAGE(OFFSET($H$3,0,0,'Données projet'!$E$10+1,1))</f>
        <v>355.09162485318728</v>
      </c>
      <c r="AO17" s="59">
        <f t="shared" si="36"/>
        <v>320.06572891923685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>
        <f>VLOOKUP(A17,'Données projet'!$A$87:$I$107,2,0)</f>
        <v>139.63512820512813</v>
      </c>
      <c r="BB17" s="12">
        <f>VLOOKUP(A17,'Données projet'!$A$87:$I$107,9,0)</f>
        <v>18.246282051281995</v>
      </c>
      <c r="BC17" s="12">
        <f t="array" ref="BC17">INDEX(BB:BB,MIN(IF(ISNUMBER(BB17:BB213),ROW(BB17:BB213),"")))</f>
        <v>18.246282051281995</v>
      </c>
      <c r="BD17" s="12">
        <f>IF('Données projet'!$A$88&gt;35,BD16+BC17-BL16,IF(A17&lt;'Données projet'!$A$88,$BA$205^A17,IF(A17='Données projet'!$A$88,'Données projet'!$B$88,BD16+BC17-BL16)))</f>
        <v>139.63512820512813</v>
      </c>
      <c r="BE17" s="13">
        <f>BD17*VLOOKUP('Données projet'!$B$11,Paramètres!$A$1:$I$89,3,0)*VLOOKUP('Données projet'!$B$11,Paramètres!$A$1:$I$89,5,0)</f>
        <v>73.191148799999965</v>
      </c>
      <c r="BF17" s="13">
        <f t="shared" si="37"/>
        <v>20.463864518460035</v>
      </c>
      <c r="BG17" s="20">
        <f t="shared" si="7"/>
        <v>163.11581486298448</v>
      </c>
      <c r="BH17" s="59">
        <f t="shared" si="8"/>
        <v>436.89359264076222</v>
      </c>
      <c r="BI17" s="59">
        <f ca="1">AVERAGE(OFFSET($BH$3,0,0,'Données projet'!$E$11+1,1))-AVERAGE(OFFSET($H$3,0,0,'Données projet'!$E$11+1,1))</f>
        <v>119.99995828001613</v>
      </c>
      <c r="BJ17" s="59">
        <f t="shared" si="38"/>
        <v>317.56542444086261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141.17692307692306</v>
      </c>
      <c r="L18" s="12">
        <f>VLOOKUP(A18,'Données projet'!$A$35:$I$55,9,0)</f>
        <v>9.4117948717948714</v>
      </c>
      <c r="M18" s="12">
        <f t="array" ref="M18">INDEX(L:L,MIN(IF(ISNUMBER(L18:L214),ROW(L18:L214),"")))</f>
        <v>9.4117948717948714</v>
      </c>
      <c r="N18" s="13">
        <f>IF('Données projet'!$A$36&gt;35,N17+M18-V17,IF(A18&lt;'Données projet'!$A$36,$K$205^A18,IF(A18='Données projet'!$A$36,'Données projet'!$B$36,N17+M18-V17)))</f>
        <v>141.17692307692306</v>
      </c>
      <c r="O18" s="13">
        <f>N18*VLOOKUP('Données projet'!$B$9,Paramètres!$A$1:$I$89,3,0)*VLOOKUP('Données projet'!$B$9,Paramètres!$A$1:$I$89,5,0)</f>
        <v>84.423799999999986</v>
      </c>
      <c r="P18" s="13">
        <f t="shared" si="33"/>
        <v>23.215414769475935</v>
      </c>
      <c r="Q18" s="20">
        <f t="shared" si="2"/>
        <v>187.47163239017053</v>
      </c>
      <c r="R18" s="59">
        <f t="shared" si="0"/>
        <v>462.4716323901705</v>
      </c>
      <c r="S18" s="59">
        <f ca="1">AVERAGE(OFFSET($R$3,0,0,'Données projet'!$E$9+1,1))-AVERAGE(OFFSET($H$3,0,0,'Données projet'!$E$9+1,1))</f>
        <v>323.17232038705157</v>
      </c>
      <c r="T18" s="59">
        <f t="shared" si="34"/>
        <v>402.34685738619197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49.784615384615385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0.25200000000000006</v>
      </c>
      <c r="Y18" s="16">
        <f>IF(ISNA(VLOOKUP(A18,'Données projet'!$A$35:$I$55,7,0)),0%,VLOOKUP(A18,'Données projet'!$A$35:$I$55,7,0))</f>
        <v>0.44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9.9131546026642408</v>
      </c>
      <c r="AB18" s="21">
        <f>EXP(-LN(2)/2)*AB17+(1-EXP(-LN(2)/2))/(LN(2)/2)*V18*Y18*VLOOKUP('Données projet'!$B$9,Paramètres!$A$1:$I$89,3,0)*0.475*44/12</f>
        <v>14.831482237492764</v>
      </c>
      <c r="AC18" s="22">
        <f t="shared" si="3"/>
        <v>24.744636840157007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6.7360323886639675</v>
      </c>
      <c r="AI18" s="13">
        <f>IF('Données projet'!$A$62&gt;35,AI17+AH18-AQ17,IF(A18&lt;'Données projet'!$A$62,$AF$205^A18,IF(A18='Données projet'!$A$62,'Données projet'!$B$62,AI17+AH18-AQ17)))</f>
        <v>46.083515927677063</v>
      </c>
      <c r="AJ18" s="13">
        <f>AI18*VLOOKUP('Données projet'!$B$10,Paramètres!$A$1:$I$89,3,0)*VLOOKUP('Données projet'!$B$10,Paramètres!$A$1:$I$89,5,0)</f>
        <v>27.557942524750885</v>
      </c>
      <c r="AK18" s="13">
        <f t="shared" si="35"/>
        <v>8.6328486809883493</v>
      </c>
      <c r="AL18" s="20">
        <f t="shared" si="4"/>
        <v>63.032294683329155</v>
      </c>
      <c r="AM18" s="59">
        <f t="shared" si="5"/>
        <v>338.03229468332916</v>
      </c>
      <c r="AN18" s="59">
        <f ca="1">AVERAGE(OFFSET($AM$3,0,0,'Données projet'!$E$10+1,1))-AVERAGE(OFFSET($H$3,0,0,'Données projet'!$E$10+1,1))</f>
        <v>355.09162485318728</v>
      </c>
      <c r="AO18" s="59">
        <f t="shared" si="36"/>
        <v>320.06572891923685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158.40769230769226</v>
      </c>
      <c r="BB18" s="12">
        <f>VLOOKUP(A18,'Données projet'!$A$87:$I$107,9,0)</f>
        <v>18.772564102564132</v>
      </c>
      <c r="BC18" s="12">
        <f t="array" ref="BC18">INDEX(BB:BB,MIN(IF(ISNUMBER(BB18:BB214),ROW(BB18:BB214),"")))</f>
        <v>18.772564102564132</v>
      </c>
      <c r="BD18" s="12">
        <f>IF('Données projet'!$A$88&gt;35,BD17+BC18-BL17,IF(A18&lt;'Données projet'!$A$88,$BA$205^A18,IF(A18='Données projet'!$A$88,'Données projet'!$B$88,BD17+BC18-BL17)))</f>
        <v>158.40769230769226</v>
      </c>
      <c r="BE18" s="13">
        <f>BD18*VLOOKUP('Données projet'!$B$11,Paramètres!$A$1:$I$89,3,0)*VLOOKUP('Données projet'!$B$11,Paramètres!$A$1:$I$89,5,0)</f>
        <v>83.030975999999981</v>
      </c>
      <c r="BF18" s="13">
        <f t="shared" si="37"/>
        <v>22.87666197822114</v>
      </c>
      <c r="BG18" s="20">
        <f t="shared" si="7"/>
        <v>184.45580281206844</v>
      </c>
      <c r="BH18" s="59">
        <f t="shared" si="8"/>
        <v>459.45580281206844</v>
      </c>
      <c r="BI18" s="59">
        <f ca="1">AVERAGE(OFFSET($BH$3,0,0,'Données projet'!$E$11+1,1))-AVERAGE(OFFSET($H$3,0,0,'Données projet'!$E$11+1,1))</f>
        <v>119.99995828001613</v>
      </c>
      <c r="BJ18" s="59">
        <f t="shared" si="38"/>
        <v>317.56542444086261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18.463076923076926</v>
      </c>
      <c r="N19" s="13">
        <f>IF('Données projet'!$A$36&gt;35,N18+M19-V18,IF(A19&lt;'Données projet'!$A$36,$K$205^A19,IF(A19='Données projet'!$A$36,'Données projet'!$B$36,N18+M19-V18)))</f>
        <v>109.85538461538459</v>
      </c>
      <c r="O19" s="13">
        <f>N19*VLOOKUP('Données projet'!$B$9,Paramètres!$A$1:$I$89,3,0)*VLOOKUP('Données projet'!$B$9,Paramètres!$A$1:$I$89,5,0)</f>
        <v>65.693519999999992</v>
      </c>
      <c r="P19" s="13">
        <f t="shared" si="33"/>
        <v>18.600086973007183</v>
      </c>
      <c r="Q19" s="20">
        <f t="shared" si="2"/>
        <v>146.81136547798749</v>
      </c>
      <c r="R19" s="59">
        <f t="shared" si="0"/>
        <v>423.03358770020975</v>
      </c>
      <c r="S19" s="59">
        <f ca="1">AVERAGE(OFFSET($R$3,0,0,'Données projet'!$E$9+1,1))-AVERAGE(OFFSET($H$3,0,0,'Données projet'!$E$9+1,1))</f>
        <v>323.17232038705157</v>
      </c>
      <c r="T19" s="59">
        <f t="shared" si="34"/>
        <v>402.34685738619197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9.6420788687442442</v>
      </c>
      <c r="AB19" s="21">
        <f>EXP(-LN(2)/2)*AB18+(1-EXP(-LN(2)/2))/(LN(2)/2)*V19*Y19*VLOOKUP('Données projet'!$B$9,Paramètres!$A$1:$I$89,3,0)*0.475*44/12</f>
        <v>10.487441665178963</v>
      </c>
      <c r="AC19" s="22">
        <f t="shared" si="3"/>
        <v>20.129520533923206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6.7360323886639675</v>
      </c>
      <c r="AI19" s="13">
        <f>IF('Données projet'!$A$62&gt;35,AI18+AH19-AQ18,IF(A19&lt;'Données projet'!$A$62,$AF$205^A19,IF(A19='Données projet'!$A$62,'Données projet'!$B$62,AI18+AH19-AQ18)))</f>
        <v>59.490640733968959</v>
      </c>
      <c r="AJ19" s="13">
        <f>AI19*VLOOKUP('Données projet'!$B$10,Paramètres!$A$1:$I$89,3,0)*VLOOKUP('Données projet'!$B$10,Paramètres!$A$1:$I$89,5,0)</f>
        <v>35.575403158913439</v>
      </c>
      <c r="AK19" s="13">
        <f t="shared" si="35"/>
        <v>10.818026850719807</v>
      </c>
      <c r="AL19" s="20">
        <f t="shared" si="4"/>
        <v>80.801890600111236</v>
      </c>
      <c r="AM19" s="59">
        <f t="shared" si="5"/>
        <v>357.02411282233345</v>
      </c>
      <c r="AN19" s="59">
        <f ca="1">AVERAGE(OFFSET($AM$3,0,0,'Données projet'!$E$10+1,1))-AVERAGE(OFFSET($H$3,0,0,'Données projet'!$E$10+1,1))</f>
        <v>355.09162485318728</v>
      </c>
      <c r="AO19" s="59">
        <f t="shared" si="36"/>
        <v>320.06572891923685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>
        <f>VLOOKUP(A19,'Données projet'!$A$87:$I$107,2,0)</f>
        <v>177.54999999999995</v>
      </c>
      <c r="BB19" s="12">
        <f>VLOOKUP(A19,'Données projet'!$A$87:$I$107,9,0)</f>
        <v>19.142307692307696</v>
      </c>
      <c r="BC19" s="12">
        <f t="array" ref="BC19">INDEX(BB:BB,MIN(IF(ISNUMBER(BB19:BB215),ROW(BB19:BB215),"")))</f>
        <v>19.142307692307696</v>
      </c>
      <c r="BD19" s="12">
        <f>IF('Données projet'!$A$88&gt;35,BD18+BC19-BL18,IF(A19&lt;'Données projet'!$A$88,$BA$205^A19,IF(A19='Données projet'!$A$88,'Données projet'!$B$88,BD18+BC19-BL18)))</f>
        <v>177.54999999999995</v>
      </c>
      <c r="BE19" s="13">
        <f>BD19*VLOOKUP('Données projet'!$B$11,Paramètres!$A$1:$I$89,3,0)*VLOOKUP('Données projet'!$B$11,Paramètres!$A$1:$I$89,5,0)</f>
        <v>93.064607999999993</v>
      </c>
      <c r="BF19" s="13">
        <f t="shared" si="37"/>
        <v>25.302888128569681</v>
      </c>
      <c r="BG19" s="20">
        <f t="shared" si="7"/>
        <v>206.15672242392552</v>
      </c>
      <c r="BH19" s="59">
        <f t="shared" si="8"/>
        <v>482.37894464614772</v>
      </c>
      <c r="BI19" s="59">
        <f ca="1">AVERAGE(OFFSET($BH$3,0,0,'Données projet'!$E$11+1,1))-AVERAGE(OFFSET($H$3,0,0,'Données projet'!$E$11+1,1))</f>
        <v>119.99995828001613</v>
      </c>
      <c r="BJ19" s="59">
        <f t="shared" si="38"/>
        <v>317.56542444086261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18.463076923076926</v>
      </c>
      <c r="N20" s="13">
        <f>IF('Données projet'!$A$36&gt;35,N19+M20-V19,IF(A20&lt;'Données projet'!$A$36,$K$205^A20,IF(A20='Données projet'!$A$36,'Données projet'!$B$36,N19+M20-V19)))</f>
        <v>128.31846153846152</v>
      </c>
      <c r="O20" s="13">
        <f>N20*VLOOKUP('Données projet'!$B$9,Paramètres!$A$1:$I$89,3,0)*VLOOKUP('Données projet'!$B$9,Paramètres!$A$1:$I$89,5,0)</f>
        <v>76.734439999999992</v>
      </c>
      <c r="P20" s="13">
        <f t="shared" si="33"/>
        <v>21.336811414414317</v>
      </c>
      <c r="Q20" s="20">
        <f t="shared" si="2"/>
        <v>170.80742954677157</v>
      </c>
      <c r="R20" s="59">
        <f t="shared" si="0"/>
        <v>448.25187399121603</v>
      </c>
      <c r="S20" s="59">
        <f ca="1">AVERAGE(OFFSET($R$3,0,0,'Données projet'!$E$9+1,1))-AVERAGE(OFFSET($H$3,0,0,'Données projet'!$E$9+1,1))</f>
        <v>323.17232038705157</v>
      </c>
      <c r="T20" s="59">
        <f t="shared" si="34"/>
        <v>402.34685738619197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9.378415715023543</v>
      </c>
      <c r="AB20" s="21">
        <f>EXP(-LN(2)/2)*AB19+(1-EXP(-LN(2)/2))/(LN(2)/2)*V20*Y20*VLOOKUP('Données projet'!$B$9,Paramètres!$A$1:$I$89,3,0)*0.475*44/12</f>
        <v>7.4157411187463831</v>
      </c>
      <c r="AC20" s="22">
        <f t="shared" si="3"/>
        <v>16.794156833769925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6.7360323886639675</v>
      </c>
      <c r="AI20" s="13">
        <f>IF('Données projet'!$A$62&gt;35,AI19+AH20-AQ19,IF(A20&lt;'Données projet'!$A$62,$AF$205^A20,IF(A20='Données projet'!$A$62,'Données projet'!$B$62,AI19+AH20-AQ19)))</f>
        <v>76.798314184456885</v>
      </c>
      <c r="AJ20" s="13">
        <f>AI20*VLOOKUP('Données projet'!$B$10,Paramètres!$A$1:$I$89,3,0)*VLOOKUP('Données projet'!$B$10,Paramètres!$A$1:$I$89,5,0)</f>
        <v>45.92539188230522</v>
      </c>
      <c r="AK20" s="13">
        <f t="shared" si="35"/>
        <v>13.556325295104831</v>
      </c>
      <c r="AL20" s="20">
        <f t="shared" si="4"/>
        <v>103.59732408398916</v>
      </c>
      <c r="AM20" s="59">
        <f t="shared" si="5"/>
        <v>381.04176852843364</v>
      </c>
      <c r="AN20" s="59">
        <f ca="1">AVERAGE(OFFSET($AM$3,0,0,'Données projet'!$E$10+1,1))-AVERAGE(OFFSET($H$3,0,0,'Données projet'!$E$10+1,1))</f>
        <v>355.09162485318728</v>
      </c>
      <c r="AO20" s="59">
        <f t="shared" si="36"/>
        <v>320.06572891923685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>
        <f>VLOOKUP(A20,'Données projet'!$A$87:$I$107,2,0)</f>
        <v>196.90551282051274</v>
      </c>
      <c r="BB20" s="12">
        <f>VLOOKUP(A20,'Données projet'!$A$87:$I$107,9,0)</f>
        <v>19.355512820512786</v>
      </c>
      <c r="BC20" s="12">
        <f t="array" ref="BC20">INDEX(BB:BB,MIN(IF(ISNUMBER(BB20:BB216),ROW(BB20:BB216),"")))</f>
        <v>19.355512820512786</v>
      </c>
      <c r="BD20" s="12">
        <f>IF('Données projet'!$A$88&gt;35,BD19+BC20-BL19,IF(A20&lt;'Données projet'!$A$88,$BA$205^A20,IF(A20='Données projet'!$A$88,'Données projet'!$B$88,BD19+BC20-BL19)))</f>
        <v>196.90551282051274</v>
      </c>
      <c r="BE20" s="13">
        <f>BD20*VLOOKUP('Données projet'!$B$11,Paramètres!$A$1:$I$89,3,0)*VLOOKUP('Données projet'!$B$11,Paramètres!$A$1:$I$89,5,0)</f>
        <v>103.20999359999998</v>
      </c>
      <c r="BF20" s="13">
        <f t="shared" si="37"/>
        <v>27.725322347466896</v>
      </c>
      <c r="BG20" s="20">
        <f t="shared" si="7"/>
        <v>228.04567527517145</v>
      </c>
      <c r="BH20" s="59">
        <f t="shared" si="8"/>
        <v>505.4901197196159</v>
      </c>
      <c r="BI20" s="59">
        <f ca="1">AVERAGE(OFFSET($BH$3,0,0,'Données projet'!$E$11+1,1))-AVERAGE(OFFSET($H$3,0,0,'Données projet'!$E$11+1,1))</f>
        <v>119.99995828001613</v>
      </c>
      <c r="BJ20" s="59">
        <f t="shared" si="38"/>
        <v>317.56542444086261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18.463076923076926</v>
      </c>
      <c r="N21" s="13">
        <f>IF('Données projet'!$A$36&gt;35,N20+M21-V20,IF(A21&lt;'Données projet'!$A$36,$K$205^A21,IF(A21='Données projet'!$A$36,'Données projet'!$B$36,N20+M21-V20)))</f>
        <v>146.78153846153845</v>
      </c>
      <c r="O21" s="13">
        <f>N21*VLOOKUP('Données projet'!$B$9,Paramètres!$A$1:$I$89,3,0)*VLOOKUP('Données projet'!$B$9,Paramètres!$A$1:$I$89,5,0)</f>
        <v>87.775359999999992</v>
      </c>
      <c r="P21" s="13">
        <f t="shared" si="33"/>
        <v>24.02791634919064</v>
      </c>
      <c r="Q21" s="20">
        <f t="shared" si="2"/>
        <v>194.72403964150703</v>
      </c>
      <c r="R21" s="59">
        <f t="shared" si="0"/>
        <v>473.39070630817372</v>
      </c>
      <c r="S21" s="59">
        <f ca="1">AVERAGE(OFFSET($R$3,0,0,'Données projet'!$E$9+1,1))-AVERAGE(OFFSET($H$3,0,0,'Données projet'!$E$9+1,1))</f>
        <v>323.17232038705157</v>
      </c>
      <c r="T21" s="59">
        <f t="shared" si="34"/>
        <v>402.34685738619197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9.1219624441067761</v>
      </c>
      <c r="AB21" s="21">
        <f>EXP(-LN(2)/2)*AB20+(1-EXP(-LN(2)/2))/(LN(2)/2)*V21*Y21*VLOOKUP('Données projet'!$B$9,Paramètres!$A$1:$I$89,3,0)*0.475*44/12</f>
        <v>5.2437208325894824</v>
      </c>
      <c r="AC21" s="22">
        <f t="shared" si="3"/>
        <v>14.365683276696259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6.7360323886639675</v>
      </c>
      <c r="AI21" s="13">
        <f>IF('Données projet'!$A$62&gt;35,AI20+AH21-AQ20,IF(A21&lt;'Données projet'!$A$62,$AF$205^A21,IF(A21='Données projet'!$A$62,'Données projet'!$B$62,AI20+AH21-AQ20)))</f>
        <v>99.141326918115112</v>
      </c>
      <c r="AJ21" s="13">
        <f>AI21*VLOOKUP('Données projet'!$B$10,Paramètres!$A$1:$I$89,3,0)*VLOOKUP('Données projet'!$B$10,Paramètres!$A$1:$I$89,5,0)</f>
        <v>59.286513497032843</v>
      </c>
      <c r="AK21" s="13">
        <f t="shared" si="35"/>
        <v>16.987751837061783</v>
      </c>
      <c r="AL21" s="20">
        <f t="shared" si="4"/>
        <v>132.84434545688146</v>
      </c>
      <c r="AM21" s="59">
        <f t="shared" si="5"/>
        <v>411.51101212354814</v>
      </c>
      <c r="AN21" s="59">
        <f ca="1">AVERAGE(OFFSET($AM$3,0,0,'Données projet'!$E$10+1,1))-AVERAGE(OFFSET($H$3,0,0,'Données projet'!$E$10+1,1))</f>
        <v>355.09162485318728</v>
      </c>
      <c r="AO21" s="59">
        <f t="shared" si="36"/>
        <v>320.06572891923685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>
        <f>VLOOKUP(A21,'Données projet'!$A$87:$I$107,2,0)</f>
        <v>216.31769230769225</v>
      </c>
      <c r="BB21" s="12">
        <f>VLOOKUP(A21,'Données projet'!$A$87:$I$107,9,0)</f>
        <v>19.412179487179515</v>
      </c>
      <c r="BC21" s="12">
        <f t="array" ref="BC21">INDEX(BB:BB,MIN(IF(ISNUMBER(BB21:BB217),ROW(BB21:BB217),"")))</f>
        <v>19.412179487179515</v>
      </c>
      <c r="BD21" s="12">
        <f>IF('Données projet'!$A$88&gt;35,BD20+BC21-BL20,IF(A21&lt;'Données projet'!$A$88,$BA$205^A21,IF(A21='Données projet'!$A$88,'Données projet'!$B$88,BD20+BC21-BL20)))</f>
        <v>216.31769230769225</v>
      </c>
      <c r="BE21" s="13">
        <f>BD21*VLOOKUP('Données projet'!$B$11,Paramètres!$A$1:$I$89,3,0)*VLOOKUP('Données projet'!$B$11,Paramètres!$A$1:$I$89,5,0)</f>
        <v>113.38508159999999</v>
      </c>
      <c r="BF21" s="13">
        <f t="shared" si="37"/>
        <v>30.127123869305528</v>
      </c>
      <c r="BG21" s="20">
        <f t="shared" si="7"/>
        <v>249.95042452570706</v>
      </c>
      <c r="BH21" s="59">
        <f t="shared" si="8"/>
        <v>528.61709119237378</v>
      </c>
      <c r="BI21" s="59">
        <f ca="1">AVERAGE(OFFSET($BH$3,0,0,'Données projet'!$E$11+1,1))-AVERAGE(OFFSET($H$3,0,0,'Données projet'!$E$11+1,1))</f>
        <v>119.99995828001613</v>
      </c>
      <c r="BJ21" s="59">
        <f t="shared" si="38"/>
        <v>317.56542444086261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18.463076923076926</v>
      </c>
      <c r="N22" s="13">
        <f>IF('Données projet'!$A$36&gt;35,N21+M22-V21,IF(A22&lt;'Données projet'!$A$36,$K$205^A22,IF(A22='Données projet'!$A$36,'Données projet'!$B$36,N21+M22-V21)))</f>
        <v>165.24461538461537</v>
      </c>
      <c r="O22" s="13">
        <f>N22*VLOOKUP('Données projet'!$B$9,Paramètres!$A$1:$I$89,3,0)*VLOOKUP('Données projet'!$B$9,Paramètres!$A$1:$I$89,5,0)</f>
        <v>98.816280000000006</v>
      </c>
      <c r="P22" s="13">
        <f t="shared" si="33"/>
        <v>26.679797439959771</v>
      </c>
      <c r="Q22" s="20">
        <f t="shared" si="2"/>
        <v>218.57233487459663</v>
      </c>
      <c r="R22" s="59">
        <f t="shared" si="0"/>
        <v>498.46122376348546</v>
      </c>
      <c r="S22" s="59">
        <f ca="1">AVERAGE(OFFSET($R$3,0,0,'Données projet'!$E$9+1,1))-AVERAGE(OFFSET($H$3,0,0,'Données projet'!$E$9+1,1))</f>
        <v>323.17232038705157</v>
      </c>
      <c r="T22" s="59">
        <f t="shared" si="34"/>
        <v>402.34685738619197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8.8725219013695202</v>
      </c>
      <c r="AB22" s="21">
        <f>EXP(-LN(2)/2)*AB21+(1-EXP(-LN(2)/2))/(LN(2)/2)*V22*Y22*VLOOKUP('Données projet'!$B$9,Paramètres!$A$1:$I$89,3,0)*0.475*44/12</f>
        <v>3.707870559373192</v>
      </c>
      <c r="AC22" s="22">
        <f t="shared" si="3"/>
        <v>12.580392460742711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>
        <f>VLOOKUP(A22,'Données projet'!$A$61:$I$81,2,0)</f>
        <v>127.98461538461538</v>
      </c>
      <c r="AG22" s="12">
        <f>VLOOKUP(A22,'Données projet'!$A$61:$I$81,9,0)</f>
        <v>6.7360323886639675</v>
      </c>
      <c r="AH22" s="12">
        <f t="array" ref="AH22">INDEX(AG:AG,MIN(IF(ISNUMBER(AG22:AG218),ROW(AG22:AG218),"")))</f>
        <v>6.7360323886639675</v>
      </c>
      <c r="AI22" s="13">
        <f>IF('Données projet'!$A$62&gt;35,AI21+AH22-AQ21,IF(A22&lt;'Données projet'!$A$62,$AF$205^A22,IF(A22='Données projet'!$A$62,'Données projet'!$B$62,AI21+AH22-AQ21)))</f>
        <v>127.98461538461538</v>
      </c>
      <c r="AJ22" s="13">
        <f>AI22*VLOOKUP('Données projet'!$B$10,Paramètres!$A$1:$I$89,3,0)*VLOOKUP('Données projet'!$B$10,Paramètres!$A$1:$I$89,5,0)</f>
        <v>76.534800000000004</v>
      </c>
      <c r="AK22" s="13">
        <f t="shared" si="35"/>
        <v>21.287753590702248</v>
      </c>
      <c r="AL22" s="20">
        <f t="shared" si="4"/>
        <v>170.37428083713976</v>
      </c>
      <c r="AM22" s="59">
        <f t="shared" si="5"/>
        <v>450.26316972602865</v>
      </c>
      <c r="AN22" s="59">
        <f ca="1">AVERAGE(OFFSET($AM$3,0,0,'Données projet'!$E$10+1,1))-AVERAGE(OFFSET($H$3,0,0,'Données projet'!$E$10+1,1))</f>
        <v>355.09162485318728</v>
      </c>
      <c r="AO22" s="59">
        <f t="shared" si="36"/>
        <v>320.06572891923685</v>
      </c>
      <c r="AP22" s="15">
        <f>IF(ISNA(VLOOKUP(A22,'Données projet'!$A$61:$I$81,3,0)),0,VLOOKUP(A22,'Données projet'!$A$61:$I$81,3,0))</f>
        <v>1</v>
      </c>
      <c r="AQ22" s="15">
        <f>IF(ISNA(VLOOKUP(A22,'Données projet'!$A$61:$I$81,4,0)),0,VLOOKUP(A22,'Données projet'!$A$61:$I$81,4,0))</f>
        <v>46.53846153846154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0.25200000000000006</v>
      </c>
      <c r="AT22" s="16">
        <f>IF(ISNA(VLOOKUP(A22,'Données projet'!$A$61:$I$81,7,0)),0%,VLOOKUP(A22,'Données projet'!$A$61:$I$81,7,0))</f>
        <v>0.44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9.2667777110813798</v>
      </c>
      <c r="AW22" s="21">
        <f>EXP(-LN(2)/2)*AW21+(1-EXP(-LN(2)/2))/(LN(2)/2)*AQ22*AT22*VLOOKUP('Données projet'!$B$10,Paramètres!$A$1:$I$89,3,0)*0.475*44/12</f>
        <v>13.864410929671079</v>
      </c>
      <c r="AX22" s="21">
        <f t="shared" si="6"/>
        <v>23.131188640752459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>
        <f>VLOOKUP(A22,'Données projet'!$A$87:$I$107,2,0)</f>
        <v>235.63</v>
      </c>
      <c r="BB22" s="12">
        <f>VLOOKUP(A22,'Données projet'!$A$87:$I$107,9,0)</f>
        <v>19.312307692307741</v>
      </c>
      <c r="BC22" s="12">
        <f t="array" ref="BC22">INDEX(BB:BB,MIN(IF(ISNUMBER(BB22:BB218),ROW(BB22:BB218),"")))</f>
        <v>19.312307692307741</v>
      </c>
      <c r="BD22" s="12">
        <f>IF('Données projet'!$A$88&gt;35,BD21+BC22-BL21,IF(A22&lt;'Données projet'!$A$88,$BA$205^A22,IF(A22='Données projet'!$A$88,'Données projet'!$B$88,BD21+BC22-BL21)))</f>
        <v>235.63</v>
      </c>
      <c r="BE22" s="13">
        <f>BD22*VLOOKUP('Données projet'!$B$11,Paramètres!$A$1:$I$89,3,0)*VLOOKUP('Données projet'!$B$11,Paramètres!$A$1:$I$89,5,0)</f>
        <v>123.50782080000002</v>
      </c>
      <c r="BF22" s="13">
        <f t="shared" si="37"/>
        <v>32.49176390339327</v>
      </c>
      <c r="BG22" s="20">
        <f t="shared" si="7"/>
        <v>271.69927669174325</v>
      </c>
      <c r="BH22" s="59">
        <f t="shared" si="8"/>
        <v>551.58816558063211</v>
      </c>
      <c r="BI22" s="59">
        <f ca="1">AVERAGE(OFFSET($BH$3,0,0,'Données projet'!$E$11+1,1))-AVERAGE(OFFSET($H$3,0,0,'Données projet'!$E$11+1,1))</f>
        <v>119.99995828001613</v>
      </c>
      <c r="BJ22" s="59">
        <f t="shared" si="38"/>
        <v>317.56542444086261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183.7076923076923</v>
      </c>
      <c r="L23" s="12">
        <f>VLOOKUP(A23,'Données projet'!$A$35:$I$55,9,0)</f>
        <v>18.463076923076926</v>
      </c>
      <c r="M23" s="12">
        <f t="array" ref="M23">INDEX(L:L,MIN(IF(ISNUMBER(L23:L219),ROW(L23:L219),"")))</f>
        <v>18.463076923076926</v>
      </c>
      <c r="N23" s="13">
        <f>IF('Données projet'!$A$36&gt;35,N22+M23-V22,IF(A23&lt;'Données projet'!$A$36,$K$205^A23,IF(A23='Données projet'!$A$36,'Données projet'!$B$36,N22+M23-V22)))</f>
        <v>183.7076923076923</v>
      </c>
      <c r="O23" s="13">
        <f>N23*VLOOKUP('Données projet'!$B$9,Paramètres!$A$1:$I$89,3,0)*VLOOKUP('Données projet'!$B$9,Paramètres!$A$1:$I$89,5,0)</f>
        <v>109.85720000000001</v>
      </c>
      <c r="P23" s="13">
        <f t="shared" si="33"/>
        <v>29.297337235526424</v>
      </c>
      <c r="Q23" s="20">
        <f t="shared" si="2"/>
        <v>242.36081901854183</v>
      </c>
      <c r="R23" s="59">
        <f t="shared" si="0"/>
        <v>523.47193012965295</v>
      </c>
      <c r="S23" s="59">
        <f ca="1">AVERAGE(OFFSET($R$3,0,0,'Données projet'!$E$9+1,1))-AVERAGE(OFFSET($H$3,0,0,'Données projet'!$E$9+1,1))</f>
        <v>323.17232038705157</v>
      </c>
      <c r="T23" s="59">
        <f t="shared" si="34"/>
        <v>402.34685738619197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48.723076923076924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0.25200000000000006</v>
      </c>
      <c r="Y23" s="16">
        <f>IF(ISNA(VLOOKUP(A23,'Données projet'!$A$35:$I$55,7,0)),0%,VLOOKUP(A23,'Données projet'!$A$35:$I$55,7,0))</f>
        <v>0.44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18.331682492314798</v>
      </c>
      <c r="AB23" s="21">
        <f>EXP(-LN(2)/2)*AB22+(1-EXP(-LN(2)/2))/(LN(2)/2)*V23*Y23*VLOOKUP('Données projet'!$B$9,Paramètres!$A$1:$I$89,3,0)*0.475*44/12</f>
        <v>17.137096586300796</v>
      </c>
      <c r="AC23" s="22">
        <f t="shared" si="3"/>
        <v>35.468779078615597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15.7</v>
      </c>
      <c r="AI23" s="13">
        <f>IF('Données projet'!$A$62&gt;35,AI22+AH23-AQ22,IF(A23&lt;'Données projet'!$A$62,$AF$205^A23,IF(A23='Données projet'!$A$62,'Données projet'!$B$62,AI22+AH23-AQ22)))</f>
        <v>97.146153846153823</v>
      </c>
      <c r="AJ23" s="13">
        <f>AI23*VLOOKUP('Données projet'!$B$10,Paramètres!$A$1:$I$89,3,0)*VLOOKUP('Données projet'!$B$10,Paramètres!$A$1:$I$89,5,0)</f>
        <v>58.093399999999988</v>
      </c>
      <c r="AK23" s="13">
        <f t="shared" si="35"/>
        <v>16.68531848887627</v>
      </c>
      <c r="AL23" s="20">
        <f t="shared" si="4"/>
        <v>130.23960136812613</v>
      </c>
      <c r="AM23" s="59">
        <f t="shared" si="5"/>
        <v>411.35071247923725</v>
      </c>
      <c r="AN23" s="59">
        <f ca="1">AVERAGE(OFFSET($AM$3,0,0,'Données projet'!$E$10+1,1))-AVERAGE(OFFSET($H$3,0,0,'Données projet'!$E$10+1,1))</f>
        <v>355.09162485318728</v>
      </c>
      <c r="AO23" s="59">
        <f t="shared" si="36"/>
        <v>320.06572891923685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9.0133771872531998</v>
      </c>
      <c r="AW23" s="21">
        <f>EXP(-LN(2)/2)*AW22+(1-EXP(-LN(2)/2))/(LN(2)/2)*AQ23*AT23*VLOOKUP('Données projet'!$B$10,Paramètres!$A$1:$I$89,3,0)*0.475*44/12</f>
        <v>9.8036189855273062</v>
      </c>
      <c r="AX23" s="21">
        <f t="shared" si="6"/>
        <v>18.816996172780506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254.68589743589735</v>
      </c>
      <c r="BB23" s="12">
        <f>VLOOKUP(A23,'Données projet'!$A$87:$I$107,9,0)</f>
        <v>19.05589743589735</v>
      </c>
      <c r="BC23" s="12">
        <f t="array" ref="BC23">INDEX(BB:BB,MIN(IF(ISNUMBER(BB23:BB219),ROW(BB23:BB219),"")))</f>
        <v>19.05589743589735</v>
      </c>
      <c r="BD23" s="12">
        <f>IF('Données projet'!$A$88&gt;35,BD22+BC23-BL22,IF(A23&lt;'Données projet'!$A$88,$BA$205^A23,IF(A23='Données projet'!$A$88,'Données projet'!$B$88,BD22+BC23-BL22)))</f>
        <v>254.68589743589735</v>
      </c>
      <c r="BE23" s="13">
        <f>BD23*VLOOKUP('Données projet'!$B$11,Paramètres!$A$1:$I$89,3,0)*VLOOKUP('Données projet'!$B$11,Paramètres!$A$1:$I$89,5,0)</f>
        <v>133.49615999999997</v>
      </c>
      <c r="BF23" s="13">
        <f t="shared" si="37"/>
        <v>34.802967270670749</v>
      </c>
      <c r="BG23" s="20">
        <f t="shared" si="7"/>
        <v>293.12097999641816</v>
      </c>
      <c r="BH23" s="59">
        <f t="shared" si="8"/>
        <v>574.2320911075293</v>
      </c>
      <c r="BI23" s="59">
        <f ca="1">AVERAGE(OFFSET($BH$3,0,0,'Données projet'!$E$11+1,1))-AVERAGE(OFFSET($H$3,0,0,'Données projet'!$E$11+1,1))</f>
        <v>119.99995828001613</v>
      </c>
      <c r="BJ23" s="59">
        <f t="shared" si="38"/>
        <v>317.56542444086261</v>
      </c>
      <c r="BK23" s="15" t="str">
        <f>IF(ISNA(VLOOKUP(A23,'Données projet'!$A$87:$I$107,3,0)),0,VLOOKUP(A23,'Données projet'!$A$87:$I$107,3,0))</f>
        <v>CR</v>
      </c>
      <c r="BL23" s="15">
        <f>IF(ISNA(VLOOKUP(A23,'Données projet'!$A$87:$I$107,4,0)),0,VLOOKUP(A23,'Données projet'!$A$87:$I$107,4,0))</f>
        <v>254.68589743589735</v>
      </c>
      <c r="BM23" s="16">
        <f>IF(ISNA(VLOOKUP(A23,'Données projet'!$A$87:$I$107,5,0)),0%,VLOOKUP(A23,'Données projet'!$A$87:$I$107,5,0)*VLOOKUP('Données projet'!$B$11,Paramètres!$A$1:$I$89,7,0))</f>
        <v>0.42</v>
      </c>
      <c r="BN23" s="16">
        <f>IF(ISNA(VLOOKUP(A23,'Données projet'!$A$87:$I$107,6,0)),0%,VLOOKUP(A23,'Données projet'!$A$87:$I$107,6,0)*VLOOKUP('Données projet'!$B$11,Paramètres!$A$1:$I$89,7,0))</f>
        <v>0.09</v>
      </c>
      <c r="BO23" s="16">
        <f>IF(ISNA(VLOOKUP(A23,'Données projet'!$A$87:$I$107,7,0)),0%,VLOOKUP(A23,'Données projet'!$A$87:$I$107,7,0))</f>
        <v>0.15</v>
      </c>
      <c r="BP23" s="21">
        <f>EXP(-LN(2)/35)*BP22+(1-EXP(-LN(2)/35))/(LN(2)/35)*BL23*BM23*VLOOKUP('Données projet'!$B$11,Paramètres!$A$1:$I$89,3,0)*0.475*44/12</f>
        <v>61.981941277784379</v>
      </c>
      <c r="BQ23" s="21">
        <f>EXP(-LN(2)/25)*BQ22+(1-EXP(-LN(2)/25))/(LN(2)/25)*Calculateur!BL23*Calculateur!BN23*VLOOKUP('Données projet'!$B$11,Paramètres!$A$1:$I$89,3,0)*0.475*44/12</f>
        <v>13.229548876714839</v>
      </c>
      <c r="BR23" s="21">
        <f>EXP(-LN(2)/2)*BR22+(1-EXP(-LN(2)/2))/(LN(2)/2)*BL23*BO23*VLOOKUP('Données projet'!$B$11,Paramètres!$A$1:$I$89,3,0)*0.475*44/12</f>
        <v>18.89358299347008</v>
      </c>
      <c r="BS23" s="22">
        <f t="shared" si="9"/>
        <v>94.105073147969293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19.071794871794875</v>
      </c>
      <c r="N24" s="13">
        <f>IF('Données projet'!$A$36&gt;35,N23+M24-V23,IF(A24&lt;'Données projet'!$A$36,$K$205^A24,IF(A24='Données projet'!$A$36,'Données projet'!$B$36,N23+M24-V23)))</f>
        <v>154.05641025641026</v>
      </c>
      <c r="O24" s="13">
        <f>N24*VLOOKUP('Données projet'!$B$9,Paramètres!$A$1:$I$89,3,0)*VLOOKUP('Données projet'!$B$9,Paramètres!$A$1:$I$89,5,0)</f>
        <v>92.125733333333343</v>
      </c>
      <c r="P24" s="13">
        <f t="shared" si="33"/>
        <v>25.077202059466597</v>
      </c>
      <c r="Q24" s="20">
        <f t="shared" si="2"/>
        <v>204.12844580912656</v>
      </c>
      <c r="R24" s="59">
        <f t="shared" si="0"/>
        <v>486.46177914245987</v>
      </c>
      <c r="S24" s="59">
        <f ca="1">AVERAGE(OFFSET($R$3,0,0,'Données projet'!$E$9+1,1))-AVERAGE(OFFSET($H$3,0,0,'Données projet'!$E$9+1,1))</f>
        <v>323.17232038705157</v>
      </c>
      <c r="T24" s="59">
        <f t="shared" si="34"/>
        <v>402.34685738619197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17.830401670541164</v>
      </c>
      <c r="AB24" s="21">
        <f>EXP(-LN(2)/2)*AB23+(1-EXP(-LN(2)/2))/(LN(2)/2)*V24*Y24*VLOOKUP('Données projet'!$B$9,Paramètres!$A$1:$I$89,3,0)*0.475*44/12</f>
        <v>12.117757206022128</v>
      </c>
      <c r="AC24" s="22">
        <f t="shared" si="3"/>
        <v>29.948158876563291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15.7</v>
      </c>
      <c r="AI24" s="13">
        <f>IF('Données projet'!$A$62&gt;35,AI23+AH24-AQ23,IF(A24&lt;'Données projet'!$A$62,$AF$205^A24,IF(A24='Données projet'!$A$62,'Données projet'!$B$62,AI23+AH24-AQ23)))</f>
        <v>112.84615384615383</v>
      </c>
      <c r="AJ24" s="13">
        <f>AI24*VLOOKUP('Données projet'!$B$10,Paramètres!$A$1:$I$89,3,0)*VLOOKUP('Données projet'!$B$10,Paramètres!$A$1:$I$89,5,0)</f>
        <v>67.481999999999985</v>
      </c>
      <c r="AK24" s="13">
        <f t="shared" si="35"/>
        <v>19.046822454976283</v>
      </c>
      <c r="AL24" s="20">
        <f t="shared" si="4"/>
        <v>150.70436577575032</v>
      </c>
      <c r="AM24" s="59">
        <f t="shared" si="5"/>
        <v>433.03769910908363</v>
      </c>
      <c r="AN24" s="59">
        <f ca="1">AVERAGE(OFFSET($AM$3,0,0,'Données projet'!$E$10+1,1))-AVERAGE(OFFSET($H$3,0,0,'Données projet'!$E$10+1,1))</f>
        <v>355.09162485318728</v>
      </c>
      <c r="AO24" s="59">
        <f t="shared" si="36"/>
        <v>320.06572891923685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8.7669059140748544</v>
      </c>
      <c r="AW24" s="21">
        <f>EXP(-LN(2)/2)*AW23+(1-EXP(-LN(2)/2))/(LN(2)/2)*AQ24*AT24*VLOOKUP('Données projet'!$B$10,Paramètres!$A$1:$I$89,3,0)*0.475*44/12</f>
        <v>6.9322054648355405</v>
      </c>
      <c r="AX24" s="21">
        <f t="shared" si="6"/>
        <v>15.699111378910395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>
        <f>BD24*VLOOKUP('Données projet'!$B$11,Paramètres!$A$1:$I$89,3,0)*VLOOKUP('Données projet'!$B$11,Paramètres!$A$1:$I$89,5,0)</f>
        <v>0</v>
      </c>
      <c r="BF24" s="13" t="e">
        <f t="shared" si="37"/>
        <v>#NUM!</v>
      </c>
      <c r="BG24" s="20" t="e">
        <f t="shared" si="7"/>
        <v>#NUM!</v>
      </c>
      <c r="BH24" s="59" t="e">
        <f t="shared" si="8"/>
        <v>#NUM!</v>
      </c>
      <c r="BI24" s="59">
        <f ca="1">AVERAGE(OFFSET($BH$3,0,0,'Données projet'!$E$11+1,1))-AVERAGE(OFFSET($H$3,0,0,'Données projet'!$E$11+1,1))</f>
        <v>119.99995828001613</v>
      </c>
      <c r="BJ24" s="59">
        <f t="shared" si="38"/>
        <v>317.56542444086261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60.766513214578247</v>
      </c>
      <c r="BQ24" s="21">
        <f>EXP(-LN(2)/25)*BQ23+(1-EXP(-LN(2)/25))/(LN(2)/25)*Calculateur!BL24*Calculateur!BN24*VLOOKUP('Données projet'!$B$11,Paramètres!$A$1:$I$89,3,0)*0.475*44/12</f>
        <v>12.867786166969333</v>
      </c>
      <c r="BR24" s="21">
        <f>EXP(-LN(2)/2)*BR23+(1-EXP(-LN(2)/2))/(LN(2)/2)*BL24*BO24*VLOOKUP('Données projet'!$B$11,Paramètres!$A$1:$I$89,3,0)*0.475*44/12</f>
        <v>13.359780655593525</v>
      </c>
      <c r="BS24" s="22">
        <f t="shared" si="9"/>
        <v>86.994080037141103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19.071794871794875</v>
      </c>
      <c r="N25" s="13">
        <f>IF('Données projet'!$A$36&gt;35,N24+M25-V24,IF(A25&lt;'Données projet'!$A$36,$K$205^A25,IF(A25='Données projet'!$A$36,'Données projet'!$B$36,N24+M25-V24)))</f>
        <v>173.12820512820514</v>
      </c>
      <c r="O25" s="13">
        <f>N25*VLOOKUP('Données projet'!$B$9,Paramètres!$A$1:$I$89,3,0)*VLOOKUP('Données projet'!$B$9,Paramètres!$A$1:$I$89,5,0)</f>
        <v>103.53066666666668</v>
      </c>
      <c r="P25" s="13">
        <f t="shared" si="33"/>
        <v>27.80142408921413</v>
      </c>
      <c r="Q25" s="20">
        <f t="shared" si="2"/>
        <v>228.73672473315909</v>
      </c>
      <c r="R25" s="59">
        <f t="shared" si="0"/>
        <v>512.29228028871466</v>
      </c>
      <c r="S25" s="59">
        <f ca="1">AVERAGE(OFFSET($R$3,0,0,'Données projet'!$E$9+1,1))-AVERAGE(OFFSET($H$3,0,0,'Données projet'!$E$9+1,1))</f>
        <v>323.17232038705157</v>
      </c>
      <c r="T25" s="59">
        <f t="shared" si="34"/>
        <v>402.34685738619197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17.342828399200144</v>
      </c>
      <c r="AB25" s="21">
        <f>EXP(-LN(2)/2)*AB24+(1-EXP(-LN(2)/2))/(LN(2)/2)*V25*Y25*VLOOKUP('Données projet'!$B$9,Paramètres!$A$1:$I$89,3,0)*0.475*44/12</f>
        <v>8.5685482931503998</v>
      </c>
      <c r="AC25" s="22">
        <f t="shared" si="3"/>
        <v>25.911376692350544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15.7</v>
      </c>
      <c r="AI25" s="13">
        <f>IF('Données projet'!$A$62&gt;35,AI24+AH25-AQ24,IF(A25&lt;'Données projet'!$A$62,$AF$205^A25,IF(A25='Données projet'!$A$62,'Données projet'!$B$62,AI24+AH25-AQ24)))</f>
        <v>128.54615384615383</v>
      </c>
      <c r="AJ25" s="13">
        <f>AI25*VLOOKUP('Données projet'!$B$10,Paramètres!$A$1:$I$89,3,0)*VLOOKUP('Données projet'!$B$10,Paramètres!$A$1:$I$89,5,0)</f>
        <v>76.870599999999996</v>
      </c>
      <c r="AK25" s="13">
        <f t="shared" si="35"/>
        <v>21.370261683634599</v>
      </c>
      <c r="AL25" s="20">
        <f t="shared" si="4"/>
        <v>171.10283409899691</v>
      </c>
      <c r="AM25" s="59">
        <f t="shared" si="5"/>
        <v>454.65838965455248</v>
      </c>
      <c r="AN25" s="59">
        <f ca="1">AVERAGE(OFFSET($AM$3,0,0,'Données projet'!$E$10+1,1))-AVERAGE(OFFSET($H$3,0,0,'Données projet'!$E$10+1,1))</f>
        <v>355.09162485318728</v>
      </c>
      <c r="AO25" s="59">
        <f t="shared" si="36"/>
        <v>320.06572891923685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8.5271744108229317</v>
      </c>
      <c r="AW25" s="21">
        <f>EXP(-LN(2)/2)*AW24+(1-EXP(-LN(2)/2))/(LN(2)/2)*AQ25*AT25*VLOOKUP('Données projet'!$B$10,Paramètres!$A$1:$I$89,3,0)*0.475*44/12</f>
        <v>4.901809492763654</v>
      </c>
      <c r="AX25" s="21">
        <f t="shared" si="6"/>
        <v>13.428983903586586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>
        <f>BD25*VLOOKUP('Données projet'!$B$11,Paramètres!$A$1:$I$89,3,0)*VLOOKUP('Données projet'!$B$11,Paramètres!$A$1:$I$89,5,0)</f>
        <v>0</v>
      </c>
      <c r="BF25" s="13" t="e">
        <f t="shared" si="37"/>
        <v>#NUM!</v>
      </c>
      <c r="BG25" s="20" t="e">
        <f t="shared" si="7"/>
        <v>#NUM!</v>
      </c>
      <c r="BH25" s="59" t="e">
        <f t="shared" si="8"/>
        <v>#NUM!</v>
      </c>
      <c r="BI25" s="59">
        <f ca="1">AVERAGE(OFFSET($BH$3,0,0,'Données projet'!$E$11+1,1))-AVERAGE(OFFSET($H$3,0,0,'Données projet'!$E$11+1,1))</f>
        <v>119.99995828001613</v>
      </c>
      <c r="BJ25" s="59">
        <f t="shared" si="38"/>
        <v>317.56542444086261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59.57491895435367</v>
      </c>
      <c r="BQ25" s="21">
        <f>EXP(-LN(2)/25)*BQ24+(1-EXP(-LN(2)/25))/(LN(2)/25)*Calculateur!BL25*Calculateur!BN25*VLOOKUP('Données projet'!$B$11,Paramètres!$A$1:$I$89,3,0)*0.475*44/12</f>
        <v>12.515915877546092</v>
      </c>
      <c r="BR25" s="21">
        <f>EXP(-LN(2)/2)*BR24+(1-EXP(-LN(2)/2))/(LN(2)/2)*BL25*BO25*VLOOKUP('Données projet'!$B$11,Paramètres!$A$1:$I$89,3,0)*0.475*44/12</f>
        <v>9.4467914967350417</v>
      </c>
      <c r="BS25" s="22">
        <f t="shared" si="9"/>
        <v>81.537626328634815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19.071794871794875</v>
      </c>
      <c r="N26" s="13">
        <f>IF('Données projet'!$A$36&gt;35,N25+M26-V25,IF(A26&lt;'Données projet'!$A$36,$K$205^A26,IF(A26='Données projet'!$A$36,'Données projet'!$B$36,N25+M26-V25)))</f>
        <v>192.20000000000002</v>
      </c>
      <c r="O26" s="13">
        <f>N26*VLOOKUP('Données projet'!$B$9,Paramètres!$A$1:$I$89,3,0)*VLOOKUP('Données projet'!$B$9,Paramètres!$A$1:$I$89,5,0)</f>
        <v>114.93560000000001</v>
      </c>
      <c r="P26" s="13">
        <f t="shared" si="33"/>
        <v>30.49086327624272</v>
      </c>
      <c r="Q26" s="20">
        <f t="shared" si="2"/>
        <v>253.28442353945601</v>
      </c>
      <c r="R26" s="59">
        <f t="shared" si="0"/>
        <v>538.06220131723376</v>
      </c>
      <c r="S26" s="59">
        <f ca="1">AVERAGE(OFFSET($R$3,0,0,'Données projet'!$E$9+1,1))-AVERAGE(OFFSET($H$3,0,0,'Données projet'!$E$9+1,1))</f>
        <v>323.17232038705157</v>
      </c>
      <c r="T26" s="59">
        <f t="shared" si="34"/>
        <v>402.34685738619197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16.86858784460431</v>
      </c>
      <c r="AB26" s="21">
        <f>EXP(-LN(2)/2)*AB25+(1-EXP(-LN(2)/2))/(LN(2)/2)*V26*Y26*VLOOKUP('Données projet'!$B$9,Paramètres!$A$1:$I$89,3,0)*0.475*44/12</f>
        <v>6.0588786030110651</v>
      </c>
      <c r="AC26" s="22">
        <f t="shared" si="3"/>
        <v>22.927466447615373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15.7</v>
      </c>
      <c r="AI26" s="13">
        <f>IF('Données projet'!$A$62&gt;35,AI25+AH26-AQ25,IF(A26&lt;'Données projet'!$A$62,$AF$205^A26,IF(A26='Données projet'!$A$62,'Données projet'!$B$62,AI25+AH26-AQ25)))</f>
        <v>144.24615384615382</v>
      </c>
      <c r="AJ26" s="13">
        <f>AI26*VLOOKUP('Données projet'!$B$10,Paramètres!$A$1:$I$89,3,0)*VLOOKUP('Données projet'!$B$10,Paramètres!$A$1:$I$89,5,0)</f>
        <v>86.259199999999993</v>
      </c>
      <c r="AK26" s="13">
        <f t="shared" si="35"/>
        <v>23.660817147545782</v>
      </c>
      <c r="AL26" s="20">
        <f t="shared" si="4"/>
        <v>191.44402986530886</v>
      </c>
      <c r="AM26" s="59">
        <f t="shared" si="5"/>
        <v>476.22180764308666</v>
      </c>
      <c r="AN26" s="59">
        <f ca="1">AVERAGE(OFFSET($AM$3,0,0,'Données projet'!$E$10+1,1))-AVERAGE(OFFSET($H$3,0,0,'Données projet'!$E$10+1,1))</f>
        <v>355.09162485318728</v>
      </c>
      <c r="AO26" s="59">
        <f t="shared" si="36"/>
        <v>320.06572891923685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8.2939983781343649</v>
      </c>
      <c r="AW26" s="21">
        <f>EXP(-LN(2)/2)*AW25+(1-EXP(-LN(2)/2))/(LN(2)/2)*AQ26*AT26*VLOOKUP('Données projet'!$B$10,Paramètres!$A$1:$I$89,3,0)*0.475*44/12</f>
        <v>3.4661027324177707</v>
      </c>
      <c r="AX26" s="21">
        <f t="shared" si="6"/>
        <v>11.760101110552135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>
        <f>BD26*VLOOKUP('Données projet'!$B$11,Paramètres!$A$1:$I$89,3,0)*VLOOKUP('Données projet'!$B$11,Paramètres!$A$1:$I$89,5,0)</f>
        <v>0</v>
      </c>
      <c r="BF26" s="13" t="e">
        <f t="shared" si="37"/>
        <v>#NUM!</v>
      </c>
      <c r="BG26" s="20" t="e">
        <f t="shared" si="7"/>
        <v>#NUM!</v>
      </c>
      <c r="BH26" s="59" t="e">
        <f t="shared" si="8"/>
        <v>#NUM!</v>
      </c>
      <c r="BI26" s="59">
        <f ca="1">AVERAGE(OFFSET($BH$3,0,0,'Données projet'!$E$11+1,1))-AVERAGE(OFFSET($H$3,0,0,'Données projet'!$E$11+1,1))</f>
        <v>119.99995828001613</v>
      </c>
      <c r="BJ26" s="59">
        <f t="shared" si="38"/>
        <v>317.56542444086261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58.406691130771364</v>
      </c>
      <c r="BQ26" s="21">
        <f>EXP(-LN(2)/25)*BQ25+(1-EXP(-LN(2)/25))/(LN(2)/25)*Calculateur!BL26*Calculateur!BN26*VLOOKUP('Données projet'!$B$11,Paramètres!$A$1:$I$89,3,0)*0.475*44/12</f>
        <v>12.173667499691184</v>
      </c>
      <c r="BR26" s="21">
        <f>EXP(-LN(2)/2)*BR25+(1-EXP(-LN(2)/2))/(LN(2)/2)*BL26*BO26*VLOOKUP('Données projet'!$B$11,Paramètres!$A$1:$I$89,3,0)*0.475*44/12</f>
        <v>6.6798903277967634</v>
      </c>
      <c r="BS26" s="22">
        <f t="shared" si="9"/>
        <v>77.260248958259311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19.071794871794875</v>
      </c>
      <c r="N27" s="13">
        <f>IF('Données projet'!$A$36&gt;35,N26+M27-V26,IF(A27&lt;'Données projet'!$A$36,$K$205^A27,IF(A27='Données projet'!$A$36,'Données projet'!$B$36,N26+M27-V26)))</f>
        <v>211.2717948717949</v>
      </c>
      <c r="O27" s="13">
        <f>N27*VLOOKUP('Données projet'!$B$9,Paramètres!$A$1:$I$89,3,0)*VLOOKUP('Données projet'!$B$9,Paramètres!$A$1:$I$89,5,0)</f>
        <v>126.34053333333337</v>
      </c>
      <c r="P27" s="13">
        <f t="shared" si="33"/>
        <v>33.149363946532553</v>
      </c>
      <c r="Q27" s="20">
        <f t="shared" si="2"/>
        <v>277.77823776243309</v>
      </c>
      <c r="R27" s="59">
        <f t="shared" si="0"/>
        <v>563.77823776243304</v>
      </c>
      <c r="S27" s="59">
        <f ca="1">AVERAGE(OFFSET($R$3,0,0,'Données projet'!$E$9+1,1))-AVERAGE(OFFSET($H$3,0,0,'Données projet'!$E$9+1,1))</f>
        <v>323.17232038705157</v>
      </c>
      <c r="T27" s="59">
        <f t="shared" si="34"/>
        <v>402.34685738619197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16.407315422913126</v>
      </c>
      <c r="AB27" s="21">
        <f>EXP(-LN(2)/2)*AB26+(1-EXP(-LN(2)/2))/(LN(2)/2)*V27*Y27*VLOOKUP('Données projet'!$B$9,Paramètres!$A$1:$I$89,3,0)*0.475*44/12</f>
        <v>4.2842741465751999</v>
      </c>
      <c r="AC27" s="22">
        <f t="shared" si="3"/>
        <v>20.691589569488325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>
        <f>VLOOKUP(A27,'Données projet'!$A$61:$I$81,2,0)</f>
        <v>159.94615384615383</v>
      </c>
      <c r="AG27" s="12">
        <f>VLOOKUP(A27,'Données projet'!$A$61:$I$81,9,0)</f>
        <v>15.7</v>
      </c>
      <c r="AH27" s="12">
        <f t="array" ref="AH27">INDEX(AG:AG,MIN(IF(ISNUMBER(AG27:AG223),ROW(AG27:AG223),"")))</f>
        <v>15.7</v>
      </c>
      <c r="AI27" s="13">
        <f>IF('Données projet'!$A$62&gt;35,AI26+AH27-AQ26,IF(A27&lt;'Données projet'!$A$62,$AF$205^A27,IF(A27='Données projet'!$A$62,'Données projet'!$B$62,AI26+AH27-AQ26)))</f>
        <v>159.94615384615381</v>
      </c>
      <c r="AJ27" s="13">
        <f>AI27*VLOOKUP('Données projet'!$B$10,Paramètres!$A$1:$I$89,3,0)*VLOOKUP('Données projet'!$B$10,Paramètres!$A$1:$I$89,5,0)</f>
        <v>95.647799999999989</v>
      </c>
      <c r="AK27" s="13">
        <f t="shared" si="35"/>
        <v>25.922476046044615</v>
      </c>
      <c r="AL27" s="20">
        <f t="shared" si="4"/>
        <v>211.73489744686097</v>
      </c>
      <c r="AM27" s="59">
        <f t="shared" si="5"/>
        <v>497.73489744686094</v>
      </c>
      <c r="AN27" s="59">
        <f ca="1">AVERAGE(OFFSET($AM$3,0,0,'Données projet'!$E$10+1,1))-AVERAGE(OFFSET($H$3,0,0,'Données projet'!$E$10+1,1))</f>
        <v>355.09162485318728</v>
      </c>
      <c r="AO27" s="59">
        <f t="shared" si="36"/>
        <v>320.06572891923685</v>
      </c>
      <c r="AP27" s="15">
        <f>IF(ISNA(VLOOKUP(A27,'Données projet'!$A$61:$I$81,3,0)),0,VLOOKUP(A27,'Données projet'!$A$61:$I$81,3,0))</f>
        <v>2</v>
      </c>
      <c r="AQ27" s="15">
        <f>IF(ISNA(VLOOKUP(A27,'Données projet'!$A$61:$I$81,4,0)),0,VLOOKUP(A27,'Données projet'!$A$61:$I$81,4,0))</f>
        <v>40.41538461538461</v>
      </c>
      <c r="AR27" s="16">
        <f>IF(ISNA(VLOOKUP(A27,'Données projet'!$A$61:$I$81,5,0)),0%,VLOOKUP(A27,'Données projet'!$A$61:$I$81,5,0)*VLOOKUP('Données projet'!$B$10,Paramètres!$A$1:$I$89,7,0))</f>
        <v>0.315</v>
      </c>
      <c r="AS27" s="16">
        <f>IF(ISNA(VLOOKUP(A27,'Données projet'!$A$61:$I$81,6,0)),0%,VLOOKUP(A27,'Données projet'!$A$61:$I$81,6,0)*VLOOKUP('Données projet'!$B$10,Paramètres!$A$1:$I$89,7,0))</f>
        <v>7.5600000000000001E-2</v>
      </c>
      <c r="AT27" s="16">
        <f>IF(ISNA(VLOOKUP(A27,'Données projet'!$A$61:$I$81,7,0)),0%,VLOOKUP(A27,'Données projet'!$A$61:$I$81,7,0))</f>
        <v>0.13200000000000001</v>
      </c>
      <c r="AU27" s="21">
        <f>EXP(-LN(2)/35)*AU26+(1-EXP(-LN(2)/35))/(LN(2)/35)*AQ27*AR27*VLOOKUP('Données projet'!$B$10,Paramètres!$A$1:$I$89,3,0)*0.475*44/12</f>
        <v>10.099196221226169</v>
      </c>
      <c r="AV27" s="21">
        <f>EXP(-LN(2)/25)*AV26+(1-EXP(-LN(2)/25))/(LN(2)/25)*Calculateur!AQ27*Calculateur!AS27*VLOOKUP('Données projet'!$B$10,Paramètres!$A$1:$I$89,3,0)*0.475*44/12</f>
        <v>10.481462197347724</v>
      </c>
      <c r="AW27" s="21">
        <f>EXP(-LN(2)/2)*AW26+(1-EXP(-LN(2)/2))/(LN(2)/2)*AQ27*AT27*VLOOKUP('Données projet'!$B$10,Paramètres!$A$1:$I$89,3,0)*0.475*44/12</f>
        <v>6.0629848302409268</v>
      </c>
      <c r="AX27" s="21">
        <f t="shared" si="6"/>
        <v>26.643643248814818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>
        <f>BD27*VLOOKUP('Données projet'!$B$11,Paramètres!$A$1:$I$89,3,0)*VLOOKUP('Données projet'!$B$11,Paramètres!$A$1:$I$89,5,0)</f>
        <v>0</v>
      </c>
      <c r="BF27" s="13" t="e">
        <f t="shared" si="37"/>
        <v>#NUM!</v>
      </c>
      <c r="BG27" s="20" t="e">
        <f t="shared" si="7"/>
        <v>#NUM!</v>
      </c>
      <c r="BH27" s="59" t="e">
        <f t="shared" si="8"/>
        <v>#NUM!</v>
      </c>
      <c r="BI27" s="59">
        <f ca="1">AVERAGE(OFFSET($BH$3,0,0,'Données projet'!$E$11+1,1))-AVERAGE(OFFSET($H$3,0,0,'Données projet'!$E$11+1,1))</f>
        <v>119.99995828001613</v>
      </c>
      <c r="BJ27" s="59">
        <f t="shared" si="38"/>
        <v>317.56542444086261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57.261371542260896</v>
      </c>
      <c r="BQ27" s="21">
        <f>EXP(-LN(2)/25)*BQ26+(1-EXP(-LN(2)/25))/(LN(2)/25)*Calculateur!BL27*Calculateur!BN27*VLOOKUP('Données projet'!$B$11,Paramètres!$A$1:$I$89,3,0)*0.475*44/12</f>
        <v>11.840777921726778</v>
      </c>
      <c r="BR27" s="21">
        <f>EXP(-LN(2)/2)*BR26+(1-EXP(-LN(2)/2))/(LN(2)/2)*BL27*BO27*VLOOKUP('Données projet'!$B$11,Paramètres!$A$1:$I$89,3,0)*0.475*44/12</f>
        <v>4.7233957483675217</v>
      </c>
      <c r="BS27" s="22">
        <f t="shared" si="9"/>
        <v>73.825545212355195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19.071794871794875</v>
      </c>
      <c r="N28" s="13">
        <f>IF('Données projet'!$A$36&gt;35,N27+M28-V27,IF(A28&lt;'Données projet'!$A$36,$K$205^A28,IF(A28='Données projet'!$A$36,'Données projet'!$B$36,N27+M28-V27)))</f>
        <v>230.34358974358977</v>
      </c>
      <c r="O28" s="13">
        <f>N28*VLOOKUP('Données projet'!$B$9,Paramètres!$A$1:$I$89,3,0)*VLOOKUP('Données projet'!$B$9,Paramètres!$A$1:$I$89,5,0)</f>
        <v>137.74546666666669</v>
      </c>
      <c r="P28" s="13">
        <f t="shared" si="33"/>
        <v>35.780036573255778</v>
      </c>
      <c r="Q28" s="20">
        <f t="shared" si="2"/>
        <v>302.22358480953159</v>
      </c>
      <c r="R28" s="59">
        <f t="shared" si="0"/>
        <v>589.44580703175382</v>
      </c>
      <c r="S28" s="59">
        <f ca="1">AVERAGE(OFFSET($R$3,0,0,'Données projet'!$E$9+1,1))-AVERAGE(OFFSET($H$3,0,0,'Données projet'!$E$9+1,1))</f>
        <v>323.17232038705157</v>
      </c>
      <c r="T28" s="59">
        <f t="shared" si="34"/>
        <v>402.34685738619197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15.958656519850347</v>
      </c>
      <c r="AB28" s="21">
        <f>EXP(-LN(2)/2)*AB27+(1-EXP(-LN(2)/2))/(LN(2)/2)*V28*Y28*VLOOKUP('Données projet'!$B$9,Paramètres!$A$1:$I$89,3,0)*0.475*44/12</f>
        <v>3.0294393015055325</v>
      </c>
      <c r="AC28" s="22">
        <f t="shared" si="3"/>
        <v>18.988095821355881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16.020512820512824</v>
      </c>
      <c r="AI28" s="13">
        <f>IF('Données projet'!$A$62&gt;35,AI27+AH28-AQ27,IF(A28&lt;'Données projet'!$A$62,$AF$205^A28,IF(A28='Données projet'!$A$62,'Données projet'!$B$62,AI27+AH28-AQ27)))</f>
        <v>135.55128205128204</v>
      </c>
      <c r="AJ28" s="13">
        <f>AI28*VLOOKUP('Données projet'!$B$10,Paramètres!$A$1:$I$89,3,0)*VLOOKUP('Données projet'!$B$10,Paramètres!$A$1:$I$89,5,0)</f>
        <v>81.059666666666672</v>
      </c>
      <c r="AK28" s="13">
        <f t="shared" si="35"/>
        <v>22.396079377742645</v>
      </c>
      <c r="AL28" s="20">
        <f t="shared" si="4"/>
        <v>180.18542436067958</v>
      </c>
      <c r="AM28" s="59">
        <f t="shared" si="5"/>
        <v>467.4076465829018</v>
      </c>
      <c r="AN28" s="59">
        <f ca="1">AVERAGE(OFFSET($AM$3,0,0,'Données projet'!$E$10+1,1))-AVERAGE(OFFSET($H$3,0,0,'Données projet'!$E$10+1,1))</f>
        <v>355.09162485318728</v>
      </c>
      <c r="AO28" s="59">
        <f t="shared" si="36"/>
        <v>320.06572891923685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9.9011571432293799</v>
      </c>
      <c r="AV28" s="21">
        <f>EXP(-LN(2)/25)*AV27+(1-EXP(-LN(2)/25))/(LN(2)/25)*Calculateur!AQ28*Calculateur!AS28*VLOOKUP('Données projet'!$B$10,Paramètres!$A$1:$I$89,3,0)*0.475*44/12</f>
        <v>10.19484606236511</v>
      </c>
      <c r="AW28" s="21">
        <f>EXP(-LN(2)/2)*AW27+(1-EXP(-LN(2)/2))/(LN(2)/2)*AQ28*AT28*VLOOKUP('Données projet'!$B$10,Paramètres!$A$1:$I$89,3,0)*0.475*44/12</f>
        <v>4.2871776876945287</v>
      </c>
      <c r="AX28" s="21">
        <f t="shared" si="6"/>
        <v>24.383180893289023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>
        <f>BD28*VLOOKUP('Données projet'!$B$11,Paramètres!$A$1:$I$89,3,0)*VLOOKUP('Données projet'!$B$11,Paramètres!$A$1:$I$89,5,0)</f>
        <v>0</v>
      </c>
      <c r="BF28" s="13" t="e">
        <f t="shared" si="37"/>
        <v>#NUM!</v>
      </c>
      <c r="BG28" s="20" t="e">
        <f t="shared" si="7"/>
        <v>#NUM!</v>
      </c>
      <c r="BH28" s="59" t="e">
        <f t="shared" si="8"/>
        <v>#NUM!</v>
      </c>
      <c r="BI28" s="59">
        <f ca="1">AVERAGE(OFFSET($BH$3,0,0,'Données projet'!$E$11+1,1))-AVERAGE(OFFSET($H$3,0,0,'Données projet'!$E$11+1,1))</f>
        <v>119.99995828001613</v>
      </c>
      <c r="BJ28" s="59">
        <f t="shared" si="38"/>
        <v>317.56542444086261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56.138510972305149</v>
      </c>
      <c r="BQ28" s="21">
        <f>EXP(-LN(2)/25)*BQ27+(1-EXP(-LN(2)/25))/(LN(2)/25)*Calculateur!BL28*Calculateur!BN28*VLOOKUP('Données projet'!$B$11,Paramètres!$A$1:$I$89,3,0)*0.475*44/12</f>
        <v>11.51699122677771</v>
      </c>
      <c r="BR28" s="21">
        <f>EXP(-LN(2)/2)*BR27+(1-EXP(-LN(2)/2))/(LN(2)/2)*BL28*BO28*VLOOKUP('Données projet'!$B$11,Paramètres!$A$1:$I$89,3,0)*0.475*44/12</f>
        <v>3.3399451638983821</v>
      </c>
      <c r="BS28" s="22">
        <f t="shared" si="9"/>
        <v>70.995447362981238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>
        <f>VLOOKUP(A29,'Données projet'!$A$35:$I$55,2,0)</f>
        <v>249.41538461538462</v>
      </c>
      <c r="L29" s="12">
        <f>VLOOKUP(A29,'Données projet'!$A$35:$I$55,9,0)</f>
        <v>19.071794871794875</v>
      </c>
      <c r="M29" s="12">
        <f t="array" ref="M29">INDEX(L:L,MIN(IF(ISNUMBER(L29:L225),ROW(L29:L225),"")))</f>
        <v>19.071794871794875</v>
      </c>
      <c r="N29" s="13">
        <f>IF('Données projet'!$A$36&gt;35,N28+M29-V28,IF(A29&lt;'Données projet'!$A$36,$K$205^A29,IF(A29='Données projet'!$A$36,'Données projet'!$B$36,N28+M29-V28)))</f>
        <v>249.41538461538465</v>
      </c>
      <c r="O29" s="13">
        <f>N29*VLOOKUP('Données projet'!$B$9,Paramètres!$A$1:$I$89,3,0)*VLOOKUP('Données projet'!$B$9,Paramètres!$A$1:$I$89,5,0)</f>
        <v>149.15040000000002</v>
      </c>
      <c r="P29" s="13">
        <f t="shared" si="33"/>
        <v>38.385447191571515</v>
      </c>
      <c r="Q29" s="20">
        <f t="shared" si="2"/>
        <v>326.62493385865372</v>
      </c>
      <c r="R29" s="59">
        <f t="shared" si="0"/>
        <v>615.06937830309812</v>
      </c>
      <c r="S29" s="59">
        <f ca="1">AVERAGE(OFFSET($R$3,0,0,'Données projet'!$E$9+1,1))-AVERAGE(OFFSET($H$3,0,0,'Données projet'!$E$9+1,1))</f>
        <v>323.17232038705157</v>
      </c>
      <c r="T29" s="59">
        <f t="shared" si="34"/>
        <v>402.34685738619197</v>
      </c>
      <c r="U29" s="15">
        <f>IF(ISNA(VLOOKUP(A29,'Données projet'!$A$35:$I$55,3,0)),0,VLOOKUP(A29,'Données projet'!$A$35:$I$55,3,0))</f>
        <v>3</v>
      </c>
      <c r="V29" s="15">
        <f>IF(ISNA(VLOOKUP(A29,'Données projet'!$A$35:$I$55,4,0)),0,VLOOKUP(A29,'Données projet'!$A$35:$I$55,4,0))</f>
        <v>46.984615384615381</v>
      </c>
      <c r="W29" s="16">
        <f>IF(ISNA(VLOOKUP(A29,'Données projet'!$A$35:$I$55,5,0)),0%,VLOOKUP(A29,'Données projet'!$A$35:$I$55,5,0)*VLOOKUP('Données projet'!$B$9,Paramètres!$A$1:$I$89,7,0))</f>
        <v>0.315</v>
      </c>
      <c r="X29" s="16">
        <f>IF(ISNA(VLOOKUP(A29,'Données projet'!$A$35:$I$55,6,0)),0%,VLOOKUP(A29,'Données projet'!$A$35:$I$55,6,0)*VLOOKUP('Données projet'!$B$9,Paramètres!$A$1:$I$89,7,0))</f>
        <v>7.5600000000000001E-2</v>
      </c>
      <c r="Y29" s="16">
        <f>IF(ISNA(VLOOKUP(A29,'Données projet'!$A$35:$I$55,7,0)),0%,VLOOKUP(A29,'Données projet'!$A$35:$I$55,7,0))</f>
        <v>0.13200000000000001</v>
      </c>
      <c r="Z29" s="21">
        <f>EXP(-LN(2)/35)*Z28+(1-EXP(-LN(2)/35))/(LN(2)/35)*V29*W29*VLOOKUP('Données projet'!$B$9,Paramètres!$A$1:$I$89,3,0)*0.475*44/12</f>
        <v>11.740748100352008</v>
      </c>
      <c r="AA29" s="21">
        <f>EXP(-LN(2)/25)*AA28+(1-EXP(-LN(2)/25))/(LN(2)/25)*Calculateur!V29*Calculateur!X29*VLOOKUP('Données projet'!$B$9,Paramètres!$A$1:$I$89,3,0)*0.475*44/12</f>
        <v>18.328951090447006</v>
      </c>
      <c r="AB29" s="21">
        <f>EXP(-LN(2)/2)*AB28+(1-EXP(-LN(2)/2))/(LN(2)/2)*V29*Y29*VLOOKUP('Données projet'!$B$9,Paramètres!$A$1:$I$89,3,0)*0.475*44/12</f>
        <v>6.3413348563502918</v>
      </c>
      <c r="AC29" s="22">
        <f t="shared" si="3"/>
        <v>36.411034047149307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16.020512820512824</v>
      </c>
      <c r="AI29" s="13">
        <f>IF('Données projet'!$A$62&gt;35,AI28+AH29-AQ28,IF(A29&lt;'Données projet'!$A$62,$AF$205^A29,IF(A29='Données projet'!$A$62,'Données projet'!$B$62,AI28+AH29-AQ28)))</f>
        <v>151.57179487179488</v>
      </c>
      <c r="AJ29" s="13">
        <f>AI29*VLOOKUP('Données projet'!$B$10,Paramètres!$A$1:$I$89,3,0)*VLOOKUP('Données projet'!$B$10,Paramètres!$A$1:$I$89,5,0)</f>
        <v>90.639933333333346</v>
      </c>
      <c r="AK29" s="13">
        <f t="shared" si="35"/>
        <v>24.719497804626467</v>
      </c>
      <c r="AL29" s="20">
        <f t="shared" si="4"/>
        <v>200.91767589861334</v>
      </c>
      <c r="AM29" s="59">
        <f t="shared" si="5"/>
        <v>489.36212034305777</v>
      </c>
      <c r="AN29" s="59">
        <f ca="1">AVERAGE(OFFSET($AM$3,0,0,'Données projet'!$E$10+1,1))-AVERAGE(OFFSET($H$3,0,0,'Données projet'!$E$10+1,1))</f>
        <v>355.09162485318728</v>
      </c>
      <c r="AO29" s="59">
        <f t="shared" si="36"/>
        <v>320.06572891923685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9.7070014907601969</v>
      </c>
      <c r="AV29" s="21">
        <f>EXP(-LN(2)/25)*AV28+(1-EXP(-LN(2)/25))/(LN(2)/25)*Calculateur!AQ29*Calculateur!AS29*VLOOKUP('Données projet'!$B$10,Paramètres!$A$1:$I$89,3,0)*0.475*44/12</f>
        <v>9.916067460666083</v>
      </c>
      <c r="AW29" s="21">
        <f>EXP(-LN(2)/2)*AW28+(1-EXP(-LN(2)/2))/(LN(2)/2)*AQ29*AT29*VLOOKUP('Données projet'!$B$10,Paramètres!$A$1:$I$89,3,0)*0.475*44/12</f>
        <v>3.0314924151204639</v>
      </c>
      <c r="AX29" s="21">
        <f t="shared" si="6"/>
        <v>22.654561366546744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>
        <f>BD29*VLOOKUP('Données projet'!$B$11,Paramètres!$A$1:$I$89,3,0)*VLOOKUP('Données projet'!$B$11,Paramètres!$A$1:$I$89,5,0)</f>
        <v>0</v>
      </c>
      <c r="BF29" s="13" t="e">
        <f t="shared" si="37"/>
        <v>#NUM!</v>
      </c>
      <c r="BG29" s="20" t="e">
        <f t="shared" si="7"/>
        <v>#NUM!</v>
      </c>
      <c r="BH29" s="59" t="e">
        <f t="shared" si="8"/>
        <v>#NUM!</v>
      </c>
      <c r="BI29" s="59">
        <f ca="1">AVERAGE(OFFSET($BH$3,0,0,'Données projet'!$E$11+1,1))-AVERAGE(OFFSET($H$3,0,0,'Données projet'!$E$11+1,1))</f>
        <v>119.99995828001613</v>
      </c>
      <c r="BJ29" s="59">
        <f t="shared" si="38"/>
        <v>317.56542444086261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55.037669013248909</v>
      </c>
      <c r="BQ29" s="21">
        <f>EXP(-LN(2)/25)*BQ28+(1-EXP(-LN(2)/25))/(LN(2)/25)*Calculateur!BL29*Calculateur!BN29*VLOOKUP('Données projet'!$B$11,Paramètres!$A$1:$I$89,3,0)*0.475*44/12</f>
        <v>11.202058496029228</v>
      </c>
      <c r="BR29" s="21">
        <f>EXP(-LN(2)/2)*BR28+(1-EXP(-LN(2)/2))/(LN(2)/2)*BL29*BO29*VLOOKUP('Données projet'!$B$11,Paramètres!$A$1:$I$89,3,0)*0.475*44/12</f>
        <v>2.3616978741837609</v>
      </c>
      <c r="BS29" s="22">
        <f t="shared" si="9"/>
        <v>68.601425383461901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19.393589743589743</v>
      </c>
      <c r="N30" s="13">
        <f>IF('Données projet'!$A$36&gt;35,N29+M30-V29,IF(A30&lt;'Données projet'!$A$36,$K$205^A30,IF(A30='Données projet'!$A$36,'Données projet'!$B$36,N29+M30-V29)))</f>
        <v>221.82435897435903</v>
      </c>
      <c r="O30" s="13">
        <f>N30*VLOOKUP('Données projet'!$B$9,Paramètres!$A$1:$I$89,3,0)*VLOOKUP('Données projet'!$B$9,Paramètres!$A$1:$I$89,5,0)</f>
        <v>132.6509666666667</v>
      </c>
      <c r="P30" s="13">
        <f t="shared" si="33"/>
        <v>34.608198355283058</v>
      </c>
      <c r="Q30" s="20">
        <f t="shared" si="2"/>
        <v>291.30971241322919</v>
      </c>
      <c r="R30" s="59">
        <f t="shared" si="0"/>
        <v>580.97637907989588</v>
      </c>
      <c r="S30" s="59">
        <f ca="1">AVERAGE(OFFSET($R$3,0,0,'Données projet'!$E$9+1,1))-AVERAGE(OFFSET($H$3,0,0,'Données projet'!$E$9+1,1))</f>
        <v>323.17232038705157</v>
      </c>
      <c r="T30" s="59">
        <f t="shared" si="34"/>
        <v>402.34685738619197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11.510519191253341</v>
      </c>
      <c r="AA30" s="21">
        <f>EXP(-LN(2)/25)*AA29+(1-EXP(-LN(2)/25))/(LN(2)/25)*Calculateur!V30*Calculateur!X30*VLOOKUP('Données projet'!$B$9,Paramètres!$A$1:$I$89,3,0)*0.475*44/12</f>
        <v>17.827744959001087</v>
      </c>
      <c r="AB30" s="21">
        <f>EXP(-LN(2)/2)*AB29+(1-EXP(-LN(2)/2))/(LN(2)/2)*V30*Y30*VLOOKUP('Données projet'!$B$9,Paramètres!$A$1:$I$89,3,0)*0.475*44/12</f>
        <v>4.4840008786999128</v>
      </c>
      <c r="AC30" s="22">
        <f t="shared" si="3"/>
        <v>33.822265028954341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16.020512820512824</v>
      </c>
      <c r="AI30" s="13">
        <f>IF('Données projet'!$A$62&gt;35,AI29+AH30-AQ29,IF(A30&lt;'Données projet'!$A$62,$AF$205^A30,IF(A30='Données projet'!$A$62,'Données projet'!$B$62,AI29+AH30-AQ29)))</f>
        <v>167.59230769230771</v>
      </c>
      <c r="AJ30" s="13">
        <f>AI30*VLOOKUP('Données projet'!$B$10,Paramètres!$A$1:$I$89,3,0)*VLOOKUP('Données projet'!$B$10,Paramètres!$A$1:$I$89,5,0)</f>
        <v>100.22020000000002</v>
      </c>
      <c r="AK30" s="13">
        <f t="shared" si="35"/>
        <v>27.014450444334749</v>
      </c>
      <c r="AL30" s="20">
        <f t="shared" si="4"/>
        <v>221.60034952388301</v>
      </c>
      <c r="AM30" s="59">
        <f t="shared" si="5"/>
        <v>511.26701619054973</v>
      </c>
      <c r="AN30" s="59">
        <f ca="1">AVERAGE(OFFSET($AM$3,0,0,'Données projet'!$E$10+1,1))-AVERAGE(OFFSET($H$3,0,0,'Données projet'!$E$10+1,1))</f>
        <v>355.09162485318728</v>
      </c>
      <c r="AO30" s="59">
        <f t="shared" si="36"/>
        <v>320.06572891923685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9.5166531122126798</v>
      </c>
      <c r="AV30" s="21">
        <f>EXP(-LN(2)/25)*AV29+(1-EXP(-LN(2)/25))/(LN(2)/25)*Calculateur!AQ30*Calculateur!AS30*VLOOKUP('Données projet'!$B$10,Paramètres!$A$1:$I$89,3,0)*0.475*44/12</f>
        <v>9.6449120744908452</v>
      </c>
      <c r="AW30" s="21">
        <f>EXP(-LN(2)/2)*AW29+(1-EXP(-LN(2)/2))/(LN(2)/2)*AQ30*AT30*VLOOKUP('Données projet'!$B$10,Paramètres!$A$1:$I$89,3,0)*0.475*44/12</f>
        <v>2.1435888438472643</v>
      </c>
      <c r="AX30" s="21">
        <f t="shared" si="6"/>
        <v>21.305154030550792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>
        <f>BD30*VLOOKUP('Données projet'!$B$11,Paramètres!$A$1:$I$89,3,0)*VLOOKUP('Données projet'!$B$11,Paramètres!$A$1:$I$89,5,0)</f>
        <v>0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119.99995828001613</v>
      </c>
      <c r="BJ30" s="59">
        <f t="shared" si="38"/>
        <v>317.56542444086261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53.958413893562465</v>
      </c>
      <c r="BQ30" s="21">
        <f>EXP(-LN(2)/25)*BQ29+(1-EXP(-LN(2)/25))/(LN(2)/25)*Calculateur!BL30*Calculateur!BN30*VLOOKUP('Données projet'!$B$11,Paramètres!$A$1:$I$89,3,0)*0.475*44/12</f>
        <v>10.895737617364654</v>
      </c>
      <c r="BR30" s="21">
        <f>EXP(-LN(2)/2)*BR29+(1-EXP(-LN(2)/2))/(LN(2)/2)*BL30*BO30*VLOOKUP('Données projet'!$B$11,Paramètres!$A$1:$I$89,3,0)*0.475*44/12</f>
        <v>1.6699725819491911</v>
      </c>
      <c r="BS30" s="22">
        <f t="shared" si="9"/>
        <v>66.52412409287632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19.393589743589743</v>
      </c>
      <c r="N31" s="13">
        <f>IF('Données projet'!$A$36&gt;35,N30+M31-V30,IF(A31&lt;'Données projet'!$A$36,$K$205^A31,IF(A31='Données projet'!$A$36,'Données projet'!$B$36,N30+M31-V30)))</f>
        <v>241.21794871794879</v>
      </c>
      <c r="O31" s="13">
        <f>N31*VLOOKUP('Données projet'!$B$9,Paramètres!$A$1:$I$89,3,0)*VLOOKUP('Données projet'!$B$9,Paramètres!$A$1:$I$89,5,0)</f>
        <v>144.24833333333339</v>
      </c>
      <c r="P31" s="13">
        <f t="shared" si="33"/>
        <v>37.268539287745227</v>
      </c>
      <c r="Q31" s="20">
        <f t="shared" si="2"/>
        <v>316.14188648171188</v>
      </c>
      <c r="R31" s="59">
        <f t="shared" si="0"/>
        <v>607.03077537060074</v>
      </c>
      <c r="S31" s="59">
        <f ca="1">AVERAGE(OFFSET($R$3,0,0,'Données projet'!$E$9+1,1))-AVERAGE(OFFSET($H$3,0,0,'Données projet'!$E$9+1,1))</f>
        <v>323.17232038705157</v>
      </c>
      <c r="T31" s="59">
        <f t="shared" si="34"/>
        <v>402.34685738619197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11.28480493063633</v>
      </c>
      <c r="AA31" s="21">
        <f>EXP(-LN(2)/25)*AA30+(1-EXP(-LN(2)/25))/(LN(2)/25)*Calculateur!V31*Calculateur!X31*VLOOKUP('Données projet'!$B$9,Paramètres!$A$1:$I$89,3,0)*0.475*44/12</f>
        <v>17.340244335576841</v>
      </c>
      <c r="AB31" s="21">
        <f>EXP(-LN(2)/2)*AB30+(1-EXP(-LN(2)/2))/(LN(2)/2)*V31*Y31*VLOOKUP('Données projet'!$B$9,Paramètres!$A$1:$I$89,3,0)*0.475*44/12</f>
        <v>3.1706674281751464</v>
      </c>
      <c r="AC31" s="22">
        <f t="shared" si="3"/>
        <v>31.795716694388318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16.020512820512824</v>
      </c>
      <c r="AI31" s="13">
        <f>IF('Données projet'!$A$62&gt;35,AI30+AH31-AQ30,IF(A31&lt;'Données projet'!$A$62,$AF$205^A31,IF(A31='Données projet'!$A$62,'Données projet'!$B$62,AI30+AH31-AQ30)))</f>
        <v>183.61282051282055</v>
      </c>
      <c r="AJ31" s="13">
        <f>AI31*VLOOKUP('Données projet'!$B$10,Paramètres!$A$1:$I$89,3,0)*VLOOKUP('Données projet'!$B$10,Paramètres!$A$1:$I$89,5,0)</f>
        <v>109.80046666666669</v>
      </c>
      <c r="AK31" s="13">
        <f t="shared" si="35"/>
        <v>29.283967996494283</v>
      </c>
      <c r="AL31" s="20">
        <f t="shared" si="4"/>
        <v>242.23872370500536</v>
      </c>
      <c r="AM31" s="59">
        <f t="shared" si="5"/>
        <v>533.12761259389424</v>
      </c>
      <c r="AN31" s="59">
        <f ca="1">AVERAGE(OFFSET($AM$3,0,0,'Données projet'!$E$10+1,1))-AVERAGE(OFFSET($H$3,0,0,'Données projet'!$E$10+1,1))</f>
        <v>355.09162485318728</v>
      </c>
      <c r="AO31" s="59">
        <f t="shared" si="36"/>
        <v>320.06572891923685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9.3300373492674318</v>
      </c>
      <c r="AV31" s="21">
        <f>EXP(-LN(2)/25)*AV30+(1-EXP(-LN(2)/25))/(LN(2)/25)*Calculateur!AQ31*Calculateur!AS31*VLOOKUP('Données projet'!$B$10,Paramètres!$A$1:$I$89,3,0)*0.475*44/12</f>
        <v>9.3811714466100113</v>
      </c>
      <c r="AW31" s="21">
        <f>EXP(-LN(2)/2)*AW30+(1-EXP(-LN(2)/2))/(LN(2)/2)*AQ31*AT31*VLOOKUP('Données projet'!$B$10,Paramètres!$A$1:$I$89,3,0)*0.475*44/12</f>
        <v>1.5157462075602319</v>
      </c>
      <c r="AX31" s="21">
        <f t="shared" si="6"/>
        <v>20.226955003437673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>
        <f>BD31*VLOOKUP('Données projet'!$B$11,Paramètres!$A$1:$I$89,3,0)*VLOOKUP('Données projet'!$B$11,Paramètres!$A$1:$I$89,5,0)</f>
        <v>0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119.99995828001613</v>
      </c>
      <c r="BJ31" s="59">
        <f t="shared" si="38"/>
        <v>317.56542444086261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52.900322308492449</v>
      </c>
      <c r="BQ31" s="21">
        <f>EXP(-LN(2)/25)*BQ30+(1-EXP(-LN(2)/25))/(LN(2)/25)*Calculateur!BL31*Calculateur!BN31*VLOOKUP('Données projet'!$B$11,Paramètres!$A$1:$I$89,3,0)*0.475*44/12</f>
        <v>10.597793099235879</v>
      </c>
      <c r="BR31" s="21">
        <f>EXP(-LN(2)/2)*BR30+(1-EXP(-LN(2)/2))/(LN(2)/2)*BL31*BO31*VLOOKUP('Données projet'!$B$11,Paramètres!$A$1:$I$89,3,0)*0.475*44/12</f>
        <v>1.1808489370918804</v>
      </c>
      <c r="BS31" s="22">
        <f t="shared" si="9"/>
        <v>64.678964344820201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19.393589743589743</v>
      </c>
      <c r="N32" s="13">
        <f>IF('Données projet'!$A$36&gt;35,N31+M32-V31,IF(A32&lt;'Données projet'!$A$36,$K$205^A32,IF(A32='Données projet'!$A$36,'Données projet'!$B$36,N31+M32-V31)))</f>
        <v>260.61153846153854</v>
      </c>
      <c r="O32" s="13">
        <f>N32*VLOOKUP('Données projet'!$B$9,Paramètres!$A$1:$I$89,3,0)*VLOOKUP('Données projet'!$B$9,Paramètres!$A$1:$I$89,5,0)</f>
        <v>155.84570000000005</v>
      </c>
      <c r="P32" s="13">
        <f t="shared" si="33"/>
        <v>39.904071626695313</v>
      </c>
      <c r="Q32" s="20">
        <f t="shared" si="2"/>
        <v>340.93085224982775</v>
      </c>
      <c r="R32" s="59">
        <f t="shared" si="0"/>
        <v>633.04196336093889</v>
      </c>
      <c r="S32" s="59">
        <f ca="1">AVERAGE(OFFSET($R$3,0,0,'Données projet'!$E$9+1,1))-AVERAGE(OFFSET($H$3,0,0,'Données projet'!$E$9+1,1))</f>
        <v>323.17232038705157</v>
      </c>
      <c r="T32" s="59">
        <f t="shared" si="34"/>
        <v>402.34685738619197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11.063516788997914</v>
      </c>
      <c r="AA32" s="21">
        <f>EXP(-LN(2)/25)*AA31+(1-EXP(-LN(2)/25))/(LN(2)/25)*Calculateur!V32*Calculateur!X32*VLOOKUP('Données projet'!$B$9,Paramètres!$A$1:$I$89,3,0)*0.475*44/12</f>
        <v>16.866074442336675</v>
      </c>
      <c r="AB32" s="21">
        <f>EXP(-LN(2)/2)*AB31+(1-EXP(-LN(2)/2))/(LN(2)/2)*V32*Y32*VLOOKUP('Données projet'!$B$9,Paramètres!$A$1:$I$89,3,0)*0.475*44/12</f>
        <v>2.2420004393499569</v>
      </c>
      <c r="AC32" s="22">
        <f t="shared" si="3"/>
        <v>30.171591670684549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16.020512820512824</v>
      </c>
      <c r="AI32" s="13">
        <f>IF('Données projet'!$A$62&gt;35,AI31+AH32-AQ31,IF(A32&lt;'Données projet'!$A$62,$AF$205^A32,IF(A32='Données projet'!$A$62,'Données projet'!$B$62,AI31+AH32-AQ31)))</f>
        <v>199.63333333333338</v>
      </c>
      <c r="AJ32" s="13">
        <f>AI32*VLOOKUP('Données projet'!$B$10,Paramètres!$A$1:$I$89,3,0)*VLOOKUP('Données projet'!$B$10,Paramètres!$A$1:$I$89,5,0)</f>
        <v>119.38073333333337</v>
      </c>
      <c r="AK32" s="13">
        <f t="shared" si="35"/>
        <v>31.530522050233152</v>
      </c>
      <c r="AL32" s="20">
        <f t="shared" si="4"/>
        <v>262.83710312637839</v>
      </c>
      <c r="AM32" s="59">
        <f t="shared" si="5"/>
        <v>554.94821423748954</v>
      </c>
      <c r="AN32" s="59">
        <f ca="1">AVERAGE(OFFSET($AM$3,0,0,'Données projet'!$E$10+1,1))-AVERAGE(OFFSET($H$3,0,0,'Données projet'!$E$10+1,1))</f>
        <v>355.09162485318728</v>
      </c>
      <c r="AO32" s="59">
        <f t="shared" si="36"/>
        <v>320.06572891923685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9.1470810076091649</v>
      </c>
      <c r="AV32" s="21">
        <f>EXP(-LN(2)/25)*AV31+(1-EXP(-LN(2)/25))/(LN(2)/25)*Calculateur!AQ32*Calculateur!AS32*VLOOKUP('Données projet'!$B$10,Paramètres!$A$1:$I$89,3,0)*0.475*44/12</f>
        <v>9.1246428200680949</v>
      </c>
      <c r="AW32" s="21">
        <f>EXP(-LN(2)/2)*AW31+(1-EXP(-LN(2)/2))/(LN(2)/2)*AQ32*AT32*VLOOKUP('Données projet'!$B$10,Paramètres!$A$1:$I$89,3,0)*0.475*44/12</f>
        <v>1.0717944219236322</v>
      </c>
      <c r="AX32" s="21">
        <f t="shared" si="6"/>
        <v>19.343518249600891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>
        <f>BD32*VLOOKUP('Données projet'!$B$11,Paramètres!$A$1:$I$89,3,0)*VLOOKUP('Données projet'!$B$11,Paramètres!$A$1:$I$89,5,0)</f>
        <v>0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119.99995828001613</v>
      </c>
      <c r="BJ32" s="59">
        <f t="shared" si="38"/>
        <v>317.56542444086261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51.862979254033519</v>
      </c>
      <c r="BQ32" s="21">
        <f>EXP(-LN(2)/25)*BQ31+(1-EXP(-LN(2)/25))/(LN(2)/25)*Calculateur!BL32*Calculateur!BN32*VLOOKUP('Données projet'!$B$11,Paramètres!$A$1:$I$89,3,0)*0.475*44/12</f>
        <v>10.307995889623557</v>
      </c>
      <c r="BR32" s="21">
        <f>EXP(-LN(2)/2)*BR31+(1-EXP(-LN(2)/2))/(LN(2)/2)*BL32*BO32*VLOOKUP('Données projet'!$B$11,Paramètres!$A$1:$I$89,3,0)*0.475*44/12</f>
        <v>0.83498629097459554</v>
      </c>
      <c r="BS32" s="22">
        <f t="shared" si="9"/>
        <v>63.005961434631672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19.393589743589743</v>
      </c>
      <c r="N33" s="13">
        <f>IF('Données projet'!$A$36&gt;35,N32+M33-V32,IF(A33&lt;'Données projet'!$A$36,$K$205^A33,IF(A33='Données projet'!$A$36,'Données projet'!$B$36,N32+M33-V32)))</f>
        <v>280.0051282051283</v>
      </c>
      <c r="O33" s="13">
        <f>N33*VLOOKUP('Données projet'!$B$9,Paramètres!$A$1:$I$89,3,0)*VLOOKUP('Données projet'!$B$9,Paramètres!$A$1:$I$89,5,0)</f>
        <v>167.44306666666677</v>
      </c>
      <c r="P33" s="13">
        <f t="shared" si="33"/>
        <v>42.516851449807113</v>
      </c>
      <c r="Q33" s="20">
        <f t="shared" si="2"/>
        <v>365.68019071952534</v>
      </c>
      <c r="R33" s="59">
        <f t="shared" si="0"/>
        <v>659.01352405285866</v>
      </c>
      <c r="S33" s="59">
        <f ca="1">AVERAGE(OFFSET($R$3,0,0,'Données projet'!$E$9+1,1))-AVERAGE(OFFSET($H$3,0,0,'Données projet'!$E$9+1,1))</f>
        <v>323.17232038705157</v>
      </c>
      <c r="T33" s="59">
        <f t="shared" si="34"/>
        <v>402.34685738619197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10.846567972844589</v>
      </c>
      <c r="AA33" s="21">
        <f>EXP(-LN(2)/25)*AA32+(1-EXP(-LN(2)/25))/(LN(2)/25)*Calculateur!V33*Calculateur!X33*VLOOKUP('Données projet'!$B$9,Paramètres!$A$1:$I$89,3,0)*0.475*44/12</f>
        <v>16.404870749762672</v>
      </c>
      <c r="AB33" s="21">
        <f>EXP(-LN(2)/2)*AB32+(1-EXP(-LN(2)/2))/(LN(2)/2)*V33*Y33*VLOOKUP('Données projet'!$B$9,Paramètres!$A$1:$I$89,3,0)*0.475*44/12</f>
        <v>1.5853337140875734</v>
      </c>
      <c r="AC33" s="22">
        <f t="shared" si="3"/>
        <v>28.836772436694837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215.65384615384616</v>
      </c>
      <c r="AG33" s="12">
        <f>VLOOKUP(A33,'Données projet'!$A$61:$I$81,9,0)</f>
        <v>16.020512820512824</v>
      </c>
      <c r="AH33" s="12">
        <f t="array" ref="AH33">INDEX(AG:AG,MIN(IF(ISNUMBER(AG33:AG229),ROW(AG33:AG229),"")))</f>
        <v>16.020512820512824</v>
      </c>
      <c r="AI33" s="13">
        <f>IF('Données projet'!$A$62&gt;35,AI32+AH33-AQ32,IF(A33&lt;'Données projet'!$A$62,$AF$205^A33,IF(A33='Données projet'!$A$62,'Données projet'!$B$62,AI32+AH33-AQ32)))</f>
        <v>215.65384615384622</v>
      </c>
      <c r="AJ33" s="13">
        <f>AI33*VLOOKUP('Données projet'!$B$10,Paramètres!$A$1:$I$89,3,0)*VLOOKUP('Données projet'!$B$10,Paramètres!$A$1:$I$89,5,0)</f>
        <v>128.96100000000004</v>
      </c>
      <c r="AK33" s="13">
        <f t="shared" si="35"/>
        <v>33.756164929705356</v>
      </c>
      <c r="AL33" s="20">
        <f t="shared" si="4"/>
        <v>283.39906225257022</v>
      </c>
      <c r="AM33" s="59">
        <f t="shared" si="5"/>
        <v>576.73239558590353</v>
      </c>
      <c r="AN33" s="59">
        <f ca="1">AVERAGE(OFFSET($AM$3,0,0,'Données projet'!$E$10+1,1))-AVERAGE(OFFSET($H$3,0,0,'Données projet'!$E$10+1,1))</f>
        <v>355.09162485318728</v>
      </c>
      <c r="AO33" s="59">
        <f t="shared" si="36"/>
        <v>320.06572891923685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55.869230769230761</v>
      </c>
      <c r="AR33" s="16">
        <f>IF(ISNA(VLOOKUP(A33,'Données projet'!$A$61:$I$81,5,0)),0%,VLOOKUP(A33,'Données projet'!$A$61:$I$81,5,0)*VLOOKUP('Données projet'!$B$10,Paramètres!$A$1:$I$89,7,0))</f>
        <v>0.315</v>
      </c>
      <c r="AS33" s="16">
        <f>IF(ISNA(VLOOKUP(A33,'Données projet'!$A$61:$I$81,6,0)),0%,VLOOKUP(A33,'Données projet'!$A$61:$I$81,6,0)*VLOOKUP('Données projet'!$B$10,Paramètres!$A$1:$I$89,7,0))</f>
        <v>7.5600000000000001E-2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22.92859206837181</v>
      </c>
      <c r="AV33" s="21">
        <f>EXP(-LN(2)/25)*AV32+(1-EXP(-LN(2)/25))/(LN(2)/25)*Calculateur!AQ33*Calculateur!AS33*VLOOKUP('Données projet'!$B$10,Paramètres!$A$1:$I$89,3,0)*0.475*44/12</f>
        <v>12.212547487214213</v>
      </c>
      <c r="AW33" s="21">
        <f>EXP(-LN(2)/2)*AW32+(1-EXP(-LN(2)/2))/(LN(2)/2)*AQ33*AT33*VLOOKUP('Données projet'!$B$10,Paramètres!$A$1:$I$89,3,0)*0.475*44/12</f>
        <v>5.7511235128148783</v>
      </c>
      <c r="AX33" s="21">
        <f t="shared" si="6"/>
        <v>40.892263068400901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>
        <f>BD33*VLOOKUP('Données projet'!$B$11,Paramètres!$A$1:$I$89,3,0)*VLOOKUP('Données projet'!$B$11,Paramètres!$A$1:$I$89,5,0)</f>
        <v>0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119.99995828001613</v>
      </c>
      <c r="BJ33" s="59">
        <f t="shared" si="38"/>
        <v>317.56542444086261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50.845977864155735</v>
      </c>
      <c r="BQ33" s="21">
        <f>EXP(-LN(2)/25)*BQ32+(1-EXP(-LN(2)/25))/(LN(2)/25)*Calculateur!BL33*Calculateur!BN33*VLOOKUP('Données projet'!$B$11,Paramètres!$A$1:$I$89,3,0)*0.475*44/12</f>
        <v>10.026123199947856</v>
      </c>
      <c r="BR33" s="21">
        <f>EXP(-LN(2)/2)*BR32+(1-EXP(-LN(2)/2))/(LN(2)/2)*BL33*BO33*VLOOKUP('Données projet'!$B$11,Paramètres!$A$1:$I$89,3,0)*0.475*44/12</f>
        <v>0.59042446854594022</v>
      </c>
      <c r="BS33" s="22">
        <f t="shared" si="9"/>
        <v>61.462525532649529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19.393589743589743</v>
      </c>
      <c r="N34" s="13">
        <f>IF('Données projet'!$A$36&gt;35,N33+M34-V33,IF(A34&lt;'Données projet'!$A$36,$K$205^A34,IF(A34='Données projet'!$A$36,'Données projet'!$B$36,N33+M34-V33)))</f>
        <v>299.39871794871806</v>
      </c>
      <c r="O34" s="13">
        <f>N34*VLOOKUP('Données projet'!$B$9,Paramètres!$A$1:$I$89,3,0)*VLOOKUP('Données projet'!$B$9,Paramètres!$A$1:$I$89,5,0)</f>
        <v>179.04043333333343</v>
      </c>
      <c r="P34" s="13">
        <f t="shared" si="33"/>
        <v>45.108633894312518</v>
      </c>
      <c r="Q34" s="20">
        <f t="shared" si="2"/>
        <v>390.39295875481668</v>
      </c>
      <c r="R34" s="59">
        <f t="shared" si="0"/>
        <v>683.72629208814999</v>
      </c>
      <c r="S34" s="59">
        <f ca="1">AVERAGE(OFFSET($R$3,0,0,'Données projet'!$E$9+1,1))-AVERAGE(OFFSET($H$3,0,0,'Données projet'!$E$9+1,1))</f>
        <v>323.17232038705157</v>
      </c>
      <c r="T34" s="59">
        <f t="shared" si="34"/>
        <v>402.34685738619197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10.633873390650319</v>
      </c>
      <c r="AA34" s="21">
        <f>EXP(-LN(2)/25)*AA33+(1-EXP(-LN(2)/25))/(LN(2)/25)*Calculateur!V34*Calculateur!X34*VLOOKUP('Données projet'!$B$9,Paramètres!$A$1:$I$89,3,0)*0.475*44/12</f>
        <v>15.956278696415753</v>
      </c>
      <c r="AB34" s="21">
        <f>EXP(-LN(2)/2)*AB33+(1-EXP(-LN(2)/2))/(LN(2)/2)*V34*Y34*VLOOKUP('Données projet'!$B$9,Paramètres!$A$1:$I$89,3,0)*0.475*44/12</f>
        <v>1.1210002196749784</v>
      </c>
      <c r="AC34" s="22">
        <f t="shared" si="3"/>
        <v>27.711152306741052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15.48351648351648</v>
      </c>
      <c r="AI34" s="13">
        <f>IF('Données projet'!$A$62&gt;35,AI33+AH34-AQ33,IF(A34&lt;'Données projet'!$A$62,$AF$205^A34,IF(A34='Données projet'!$A$62,'Données projet'!$B$62,AI33+AH34-AQ33)))</f>
        <v>175.26813186813192</v>
      </c>
      <c r="AJ34" s="13">
        <f>AI34*VLOOKUP('Données projet'!$B$10,Paramètres!$A$1:$I$89,3,0)*VLOOKUP('Données projet'!$B$10,Paramètres!$A$1:$I$89,5,0)</f>
        <v>104.8103428571429</v>
      </c>
      <c r="AK34" s="13">
        <f t="shared" si="35"/>
        <v>28.104843056220705</v>
      </c>
      <c r="AL34" s="20">
        <f t="shared" si="4"/>
        <v>231.49394879910827</v>
      </c>
      <c r="AM34" s="59">
        <f t="shared" si="5"/>
        <v>524.82728213244161</v>
      </c>
      <c r="AN34" s="59">
        <f ca="1">AVERAGE(OFFSET($AM$3,0,0,'Données projet'!$E$10+1,1))-AVERAGE(OFFSET($H$3,0,0,'Données projet'!$E$10+1,1))</f>
        <v>355.09162485318728</v>
      </c>
      <c r="AO34" s="59">
        <f t="shared" si="36"/>
        <v>320.06572891923685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22.478976362971292</v>
      </c>
      <c r="AV34" s="21">
        <f>EXP(-LN(2)/25)*AV33+(1-EXP(-LN(2)/25))/(LN(2)/25)*Calculateur!AQ34*Calculateur!AS34*VLOOKUP('Données projet'!$B$10,Paramètres!$A$1:$I$89,3,0)*0.475*44/12</f>
        <v>11.878594733946381</v>
      </c>
      <c r="AW34" s="21">
        <f>EXP(-LN(2)/2)*AW33+(1-EXP(-LN(2)/2))/(LN(2)/2)*AQ34*AT34*VLOOKUP('Données projet'!$B$10,Paramètres!$A$1:$I$89,3,0)*0.475*44/12</f>
        <v>4.0666584353527986</v>
      </c>
      <c r="AX34" s="21">
        <f t="shared" si="6"/>
        <v>38.424229532270473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119.99995828001613</v>
      </c>
      <c r="BJ34" s="59">
        <f t="shared" si="38"/>
        <v>317.56542444086261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49.848919251223862</v>
      </c>
      <c r="BQ34" s="21">
        <f>EXP(-LN(2)/25)*BQ33+(1-EXP(-LN(2)/25))/(LN(2)/25)*Calculateur!BL34*Calculateur!BN34*VLOOKUP('Données projet'!$B$11,Paramètres!$A$1:$I$89,3,0)*0.475*44/12</f>
        <v>9.7519583337943772</v>
      </c>
      <c r="BR34" s="21">
        <f>EXP(-LN(2)/2)*BR33+(1-EXP(-LN(2)/2))/(LN(2)/2)*BL34*BO34*VLOOKUP('Données projet'!$B$11,Paramètres!$A$1:$I$89,3,0)*0.475*44/12</f>
        <v>0.41749314548729777</v>
      </c>
      <c r="BS34" s="22">
        <f t="shared" si="9"/>
        <v>60.018370730505538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318.7923076923077</v>
      </c>
      <c r="L35" s="12">
        <f>VLOOKUP(A35,'Données projet'!$A$35:$I$55,9,0)</f>
        <v>19.393589743589743</v>
      </c>
      <c r="M35" s="12">
        <f t="array" ref="M35">INDEX(L:L,MIN(IF(ISNUMBER(L35:L231),ROW(L35:L231),"")))</f>
        <v>19.393589743589743</v>
      </c>
      <c r="N35" s="13">
        <f>IF('Données projet'!$A$36&gt;35,N34+M35-V34,IF(A35&lt;'Données projet'!$A$36,$K$205^A35,IF(A35='Données projet'!$A$36,'Données projet'!$B$36,N34+M35-V34)))</f>
        <v>318.79230769230782</v>
      </c>
      <c r="O35" s="13">
        <f>N35*VLOOKUP('Données projet'!$B$9,Paramètres!$A$1:$I$89,3,0)*VLOOKUP('Données projet'!$B$9,Paramètres!$A$1:$I$89,5,0)</f>
        <v>190.63780000000008</v>
      </c>
      <c r="P35" s="13">
        <f t="shared" si="33"/>
        <v>47.680933861376609</v>
      </c>
      <c r="Q35" s="20">
        <f t="shared" ref="Q35:Q66" si="53">(O35+P35)*0.475*44/12</f>
        <v>415.07179480856439</v>
      </c>
      <c r="R35" s="59">
        <f t="shared" si="0"/>
        <v>708.40512814189765</v>
      </c>
      <c r="S35" s="59">
        <f ca="1">AVERAGE(OFFSET($R$3,0,0,'Données projet'!$E$9+1,1))-AVERAGE(OFFSET($H$3,0,0,'Données projet'!$E$9+1,1))</f>
        <v>323.17232038705157</v>
      </c>
      <c r="T35" s="59">
        <f t="shared" si="34"/>
        <v>402.34685738619197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64.523076923076914</v>
      </c>
      <c r="W35" s="16">
        <f>IF(ISNA(VLOOKUP(A35,'Données projet'!$A$35:$I$55,5,0)),0%,VLOOKUP(A35,'Données projet'!$A$35:$I$55,5,0)*VLOOKUP('Données projet'!$B$9,Paramètres!$A$1:$I$89,7,0))</f>
        <v>0.315</v>
      </c>
      <c r="X35" s="16">
        <f>IF(ISNA(VLOOKUP(A35,'Données projet'!$A$35:$I$55,6,0)),0%,VLOOKUP(A35,'Données projet'!$A$35:$I$55,6,0)*VLOOKUP('Données projet'!$B$9,Paramètres!$A$1:$I$89,7,0))</f>
        <v>7.5600000000000001E-2</v>
      </c>
      <c r="Y35" s="16">
        <f>IF(ISNA(VLOOKUP(A35,'Données projet'!$A$35:$I$55,7,0)),0%,VLOOKUP(A35,'Données projet'!$A$35:$I$55,7,0))</f>
        <v>0.13200000000000001</v>
      </c>
      <c r="Z35" s="21">
        <f>EXP(-LN(2)/35)*Z34+(1-EXP(-LN(2)/35))/(LN(2)/35)*V35*W35*VLOOKUP('Données projet'!$B$9,Paramètres!$A$1:$I$89,3,0)*0.475*44/12</f>
        <v>26.548695242558715</v>
      </c>
      <c r="AA35" s="21">
        <f>EXP(-LN(2)/25)*AA34+(1-EXP(-LN(2)/25))/(LN(2)/25)*Calculateur!V35*Calculateur!X35*VLOOKUP('Données projet'!$B$9,Paramètres!$A$1:$I$89,3,0)*0.475*44/12</f>
        <v>19.374320264649796</v>
      </c>
      <c r="AB35" s="21">
        <f>EXP(-LN(2)/2)*AB34+(1-EXP(-LN(2)/2))/(LN(2)/2)*V35*Y35*VLOOKUP('Données projet'!$B$9,Paramètres!$A$1:$I$89,3,0)*0.475*44/12</f>
        <v>6.5593451485188776</v>
      </c>
      <c r="AC35" s="22">
        <f t="shared" si="3"/>
        <v>52.482360655727391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15.48351648351648</v>
      </c>
      <c r="AI35" s="13">
        <f>IF('Données projet'!$A$62&gt;35,AI34+AH35-AQ34,IF(A35&lt;'Données projet'!$A$62,$AF$205^A35,IF(A35='Données projet'!$A$62,'Données projet'!$B$62,AI34+AH35-AQ34)))</f>
        <v>190.75164835164838</v>
      </c>
      <c r="AJ35" s="13">
        <f>AI35*VLOOKUP('Données projet'!$B$10,Paramètres!$A$1:$I$89,3,0)*VLOOKUP('Données projet'!$B$10,Paramètres!$A$1:$I$89,5,0)</f>
        <v>114.06948571428575</v>
      </c>
      <c r="AK35" s="13">
        <f t="shared" si="35"/>
        <v>30.287750600607666</v>
      </c>
      <c r="AL35" s="20">
        <f t="shared" si="4"/>
        <v>251.42218658177271</v>
      </c>
      <c r="AM35" s="59">
        <f t="shared" si="5"/>
        <v>544.75551991510599</v>
      </c>
      <c r="AN35" s="59">
        <f ca="1">AVERAGE(OFFSET($AM$3,0,0,'Données projet'!$E$10+1,1))-AVERAGE(OFFSET($H$3,0,0,'Données projet'!$E$10+1,1))</f>
        <v>355.09162485318728</v>
      </c>
      <c r="AO35" s="59">
        <f t="shared" si="36"/>
        <v>320.06572891923685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22.038177347315173</v>
      </c>
      <c r="AV35" s="21">
        <f>EXP(-LN(2)/25)*AV34+(1-EXP(-LN(2)/25))/(LN(2)/25)*Calculateur!AQ35*Calculateur!AS35*VLOOKUP('Données projet'!$B$10,Paramètres!$A$1:$I$89,3,0)*0.475*44/12</f>
        <v>11.553773936278469</v>
      </c>
      <c r="AW35" s="21">
        <f>EXP(-LN(2)/2)*AW34+(1-EXP(-LN(2)/2))/(LN(2)/2)*AQ35*AT35*VLOOKUP('Données projet'!$B$10,Paramètres!$A$1:$I$89,3,0)*0.475*44/12</f>
        <v>2.8755617564074392</v>
      </c>
      <c r="AX35" s="21">
        <f t="shared" si="6"/>
        <v>36.46751304000108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119.99995828001613</v>
      </c>
      <c r="BJ35" s="59">
        <f t="shared" si="38"/>
        <v>317.56542444086261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48.871412349545878</v>
      </c>
      <c r="BQ35" s="21">
        <f>EXP(-LN(2)/25)*BQ34+(1-EXP(-LN(2)/25))/(LN(2)/25)*Calculateur!BL35*Calculateur!BN35*VLOOKUP('Données projet'!$B$11,Paramètres!$A$1:$I$89,3,0)*0.475*44/12</f>
        <v>9.48529052032357</v>
      </c>
      <c r="BR35" s="21">
        <f>EXP(-LN(2)/2)*BR34+(1-EXP(-LN(2)/2))/(LN(2)/2)*BL35*BO35*VLOOKUP('Données projet'!$B$11,Paramètres!$A$1:$I$89,3,0)*0.475*44/12</f>
        <v>0.29521223427297011</v>
      </c>
      <c r="BS35" s="22">
        <f t="shared" si="9"/>
        <v>58.651915104142418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18.055769230769229</v>
      </c>
      <c r="N36" s="13">
        <f>IF('Données projet'!$A$36&gt;35,N35+M36-V35,IF(A36&lt;'Données projet'!$A$36,$K$205^A36,IF(A36='Données projet'!$A$36,'Données projet'!$B$36,N35+M36-V35)))</f>
        <v>272.3250000000001</v>
      </c>
      <c r="O36" s="13">
        <f>N36*VLOOKUP('Données projet'!$B$9,Paramètres!$A$1:$I$89,3,0)*VLOOKUP('Données projet'!$B$9,Paramètres!$A$1:$I$89,5,0)</f>
        <v>162.85035000000008</v>
      </c>
      <c r="P36" s="13">
        <f t="shared" si="33"/>
        <v>41.484757610477807</v>
      </c>
      <c r="Q36" s="20">
        <f t="shared" si="53"/>
        <v>355.88364575491568</v>
      </c>
      <c r="R36" s="59">
        <f t="shared" si="0"/>
        <v>649.21697908824899</v>
      </c>
      <c r="S36" s="59">
        <f ca="1">AVERAGE(OFFSET($R$3,0,0,'Données projet'!$E$9+1,1))-AVERAGE(OFFSET($H$3,0,0,'Données projet'!$E$9+1,1))</f>
        <v>323.17232038705157</v>
      </c>
      <c r="T36" s="59">
        <f t="shared" si="34"/>
        <v>402.34685738619197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26.0280915219573</v>
      </c>
      <c r="AA36" s="21">
        <f>EXP(-LN(2)/25)*AA35+(1-EXP(-LN(2)/25))/(LN(2)/25)*Calculateur!V36*Calculateur!X36*VLOOKUP('Données projet'!$B$9,Paramètres!$A$1:$I$89,3,0)*0.475*44/12</f>
        <v>18.844528458161726</v>
      </c>
      <c r="AB36" s="21">
        <f>EXP(-LN(2)/2)*AB35+(1-EXP(-LN(2)/2))/(LN(2)/2)*V36*Y36*VLOOKUP('Données projet'!$B$9,Paramètres!$A$1:$I$89,3,0)*0.475*44/12</f>
        <v>4.6381574346607808</v>
      </c>
      <c r="AC36" s="22">
        <f t="shared" si="3"/>
        <v>49.51077741477981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15.48351648351648</v>
      </c>
      <c r="AI36" s="13">
        <f>IF('Données projet'!$A$62&gt;35,AI35+AH36-AQ35,IF(A36&lt;'Données projet'!$A$62,$AF$205^A36,IF(A36='Données projet'!$A$62,'Données projet'!$B$62,AI35+AH36-AQ35)))</f>
        <v>206.23516483516485</v>
      </c>
      <c r="AJ36" s="13">
        <f>AI36*VLOOKUP('Données projet'!$B$10,Paramètres!$A$1:$I$89,3,0)*VLOOKUP('Données projet'!$B$10,Paramètres!$A$1:$I$89,5,0)</f>
        <v>123.3286285714286</v>
      </c>
      <c r="AK36" s="13">
        <f t="shared" si="35"/>
        <v>32.450106672465495</v>
      </c>
      <c r="AL36" s="20">
        <f t="shared" si="4"/>
        <v>271.31463054978218</v>
      </c>
      <c r="AM36" s="59">
        <f t="shared" si="5"/>
        <v>564.64796388311549</v>
      </c>
      <c r="AN36" s="59">
        <f ca="1">AVERAGE(OFFSET($AM$3,0,0,'Données projet'!$E$10+1,1))-AVERAGE(OFFSET($H$3,0,0,'Données projet'!$E$10+1,1))</f>
        <v>355.09162485318728</v>
      </c>
      <c r="AO36" s="59">
        <f t="shared" si="36"/>
        <v>320.06572891923685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21.606022131495219</v>
      </c>
      <c r="AV36" s="21">
        <f>EXP(-LN(2)/25)*AV35+(1-EXP(-LN(2)/25))/(LN(2)/25)*Calculateur!AQ36*Calculateur!AS36*VLOOKUP('Données projet'!$B$10,Paramètres!$A$1:$I$89,3,0)*0.475*44/12</f>
        <v>11.23783538040437</v>
      </c>
      <c r="AW36" s="21">
        <f>EXP(-LN(2)/2)*AW35+(1-EXP(-LN(2)/2))/(LN(2)/2)*AQ36*AT36*VLOOKUP('Données projet'!$B$10,Paramètres!$A$1:$I$89,3,0)*0.475*44/12</f>
        <v>2.0333292176763993</v>
      </c>
      <c r="AX36" s="21">
        <f t="shared" si="6"/>
        <v>34.877186729575982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119.99995828001613</v>
      </c>
      <c r="BJ36" s="59">
        <f t="shared" si="38"/>
        <v>317.56542444086261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47.913073761989459</v>
      </c>
      <c r="BQ36" s="21">
        <f>EXP(-LN(2)/25)*BQ35+(1-EXP(-LN(2)/25))/(LN(2)/25)*Calculateur!BL36*Calculateur!BN36*VLOOKUP('Données projet'!$B$11,Paramètres!$A$1:$I$89,3,0)*0.475*44/12</f>
        <v>9.2259147522355729</v>
      </c>
      <c r="BR36" s="21">
        <f>EXP(-LN(2)/2)*BR35+(1-EXP(-LN(2)/2))/(LN(2)/2)*BL36*BO36*VLOOKUP('Données projet'!$B$11,Paramètres!$A$1:$I$89,3,0)*0.475*44/12</f>
        <v>0.20874657274364888</v>
      </c>
      <c r="BS36" s="22">
        <f t="shared" si="9"/>
        <v>57.347735086968683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18.055769230769229</v>
      </c>
      <c r="N37" s="13">
        <f>IF('Données projet'!$A$36&gt;35,N36+M37-V36,IF(A37&lt;'Données projet'!$A$36,$K$205^A37,IF(A37='Données projet'!$A$36,'Données projet'!$B$36,N36+M37-V36)))</f>
        <v>290.38076923076932</v>
      </c>
      <c r="O37" s="13">
        <f>N37*VLOOKUP('Données projet'!$B$9,Paramètres!$A$1:$I$89,3,0)*VLOOKUP('Données projet'!$B$9,Paramètres!$A$1:$I$89,5,0)</f>
        <v>173.64770000000004</v>
      </c>
      <c r="P37" s="13">
        <f t="shared" si="33"/>
        <v>43.905974872685142</v>
      </c>
      <c r="Q37" s="20">
        <f t="shared" si="53"/>
        <v>378.90598373659333</v>
      </c>
      <c r="R37" s="59">
        <f t="shared" si="0"/>
        <v>672.23931706992664</v>
      </c>
      <c r="S37" s="59">
        <f ca="1">AVERAGE(OFFSET($R$3,0,0,'Données projet'!$E$9+1,1))-AVERAGE(OFFSET($H$3,0,0,'Données projet'!$E$9+1,1))</f>
        <v>323.17232038705157</v>
      </c>
      <c r="T37" s="59">
        <f t="shared" si="34"/>
        <v>402.34685738619197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25.517696522779964</v>
      </c>
      <c r="AA37" s="21">
        <f>EXP(-LN(2)/25)*AA36+(1-EXP(-LN(2)/25))/(LN(2)/25)*Calculateur!V37*Calculateur!X37*VLOOKUP('Données projet'!$B$9,Paramètres!$A$1:$I$89,3,0)*0.475*44/12</f>
        <v>18.329223836482612</v>
      </c>
      <c r="AB37" s="21">
        <f>EXP(-LN(2)/2)*AB36+(1-EXP(-LN(2)/2))/(LN(2)/2)*V37*Y37*VLOOKUP('Données projet'!$B$9,Paramètres!$A$1:$I$89,3,0)*0.475*44/12</f>
        <v>3.2796725742594397</v>
      </c>
      <c r="AC37" s="22">
        <f t="shared" si="3"/>
        <v>47.126592933522019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15.48351648351648</v>
      </c>
      <c r="AI37" s="13">
        <f>IF('Données projet'!$A$62&gt;35,AI36+AH37-AQ36,IF(A37&lt;'Données projet'!$A$62,$AF$205^A37,IF(A37='Données projet'!$A$62,'Données projet'!$B$62,AI36+AH37-AQ36)))</f>
        <v>221.71868131868132</v>
      </c>
      <c r="AJ37" s="13">
        <f>AI37*VLOOKUP('Données projet'!$B$10,Paramètres!$A$1:$I$89,3,0)*VLOOKUP('Données projet'!$B$10,Paramètres!$A$1:$I$89,5,0)</f>
        <v>132.58777142857144</v>
      </c>
      <c r="AK37" s="13">
        <f t="shared" si="35"/>
        <v>34.593629659414489</v>
      </c>
      <c r="AL37" s="20">
        <f t="shared" si="4"/>
        <v>291.17427356157549</v>
      </c>
      <c r="AM37" s="59">
        <f t="shared" si="5"/>
        <v>584.5076068949088</v>
      </c>
      <c r="AN37" s="59">
        <f ca="1">AVERAGE(OFFSET($AM$3,0,0,'Données projet'!$E$10+1,1))-AVERAGE(OFFSET($H$3,0,0,'Données projet'!$E$10+1,1))</f>
        <v>355.09162485318728</v>
      </c>
      <c r="AO37" s="59">
        <f t="shared" si="36"/>
        <v>320.06572891923685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21.182341215868842</v>
      </c>
      <c r="AV37" s="21">
        <f>EXP(-LN(2)/25)*AV36+(1-EXP(-LN(2)/25))/(LN(2)/25)*Calculateur!AQ37*Calculateur!AS37*VLOOKUP('Données projet'!$B$10,Paramètres!$A$1:$I$89,3,0)*0.475*44/12</f>
        <v>10.930536180955134</v>
      </c>
      <c r="AW37" s="21">
        <f>EXP(-LN(2)/2)*AW36+(1-EXP(-LN(2)/2))/(LN(2)/2)*AQ37*AT37*VLOOKUP('Données projet'!$B$10,Paramètres!$A$1:$I$89,3,0)*0.475*44/12</f>
        <v>1.4377808782037196</v>
      </c>
      <c r="AX37" s="21">
        <f t="shared" si="6"/>
        <v>33.550658275027693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119.99995828001613</v>
      </c>
      <c r="BJ37" s="59">
        <f t="shared" si="38"/>
        <v>317.56542444086261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46.973527609606201</v>
      </c>
      <c r="BQ37" s="21">
        <f>EXP(-LN(2)/25)*BQ36+(1-EXP(-LN(2)/25))/(LN(2)/25)*Calculateur!BL37*Calculateur!BN37*VLOOKUP('Données projet'!$B$11,Paramètres!$A$1:$I$89,3,0)*0.475*44/12</f>
        <v>8.9736316281659203</v>
      </c>
      <c r="BR37" s="21">
        <f>EXP(-LN(2)/2)*BR36+(1-EXP(-LN(2)/2))/(LN(2)/2)*BL37*BO37*VLOOKUP('Données projet'!$B$11,Paramètres!$A$1:$I$89,3,0)*0.475*44/12</f>
        <v>0.14760611713648505</v>
      </c>
      <c r="BS37" s="22">
        <f t="shared" si="9"/>
        <v>56.094765354908603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18.055769230769229</v>
      </c>
      <c r="N38" s="13">
        <f>IF('Données projet'!$A$36&gt;35,N37+M38-V37,IF(A38&lt;'Données projet'!$A$36,$K$205^A38,IF(A38='Données projet'!$A$36,'Données projet'!$B$36,N37+M38-V37)))</f>
        <v>308.43653846153853</v>
      </c>
      <c r="O38" s="13">
        <f>N38*VLOOKUP('Données projet'!$B$9,Paramètres!$A$1:$I$89,3,0)*VLOOKUP('Données projet'!$B$9,Paramètres!$A$1:$I$89,5,0)</f>
        <v>184.44505000000007</v>
      </c>
      <c r="P38" s="13">
        <f t="shared" si="33"/>
        <v>46.309719450497106</v>
      </c>
      <c r="Q38" s="20">
        <f t="shared" si="53"/>
        <v>401.89789012628256</v>
      </c>
      <c r="R38" s="59">
        <f t="shared" si="0"/>
        <v>695.23122345961588</v>
      </c>
      <c r="S38" s="59">
        <f ca="1">AVERAGE(OFFSET($R$3,0,0,'Données projet'!$E$9+1,1))-AVERAGE(OFFSET($H$3,0,0,'Données projet'!$E$9+1,1))</f>
        <v>323.17232038705157</v>
      </c>
      <c r="T38" s="59">
        <f t="shared" si="34"/>
        <v>402.34685738619197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25.017310058226286</v>
      </c>
      <c r="AA38" s="21">
        <f>EXP(-LN(2)/25)*AA37+(1-EXP(-LN(2)/25))/(LN(2)/25)*Calculateur!V38*Calculateur!X38*VLOOKUP('Données projet'!$B$9,Paramètres!$A$1:$I$89,3,0)*0.475*44/12</f>
        <v>17.828010246782004</v>
      </c>
      <c r="AB38" s="21">
        <f>EXP(-LN(2)/2)*AB37+(1-EXP(-LN(2)/2))/(LN(2)/2)*V38*Y38*VLOOKUP('Données projet'!$B$9,Paramètres!$A$1:$I$89,3,0)*0.475*44/12</f>
        <v>2.3190787173303908</v>
      </c>
      <c r="AC38" s="22">
        <f t="shared" si="3"/>
        <v>45.164399022338678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15.48351648351648</v>
      </c>
      <c r="AI38" s="13">
        <f>IF('Données projet'!$A$62&gt;35,AI37+AH38-AQ37,IF(A38&lt;'Données projet'!$A$62,$AF$205^A38,IF(A38='Données projet'!$A$62,'Données projet'!$B$62,AI37+AH38-AQ37)))</f>
        <v>237.20219780219779</v>
      </c>
      <c r="AJ38" s="13">
        <f>AI38*VLOOKUP('Données projet'!$B$10,Paramètres!$A$1:$I$89,3,0)*VLOOKUP('Données projet'!$B$10,Paramètres!$A$1:$I$89,5,0)</f>
        <v>141.84691428571429</v>
      </c>
      <c r="AK38" s="13">
        <f t="shared" si="35"/>
        <v>36.719784353381193</v>
      </c>
      <c r="AL38" s="20">
        <f t="shared" si="4"/>
        <v>311.00366679642457</v>
      </c>
      <c r="AM38" s="59">
        <f t="shared" si="5"/>
        <v>604.33700012975783</v>
      </c>
      <c r="AN38" s="59">
        <f ca="1">AVERAGE(OFFSET($AM$3,0,0,'Données projet'!$E$10+1,1))-AVERAGE(OFFSET($H$3,0,0,'Données projet'!$E$10+1,1))</f>
        <v>355.09162485318728</v>
      </c>
      <c r="AO38" s="59">
        <f t="shared" si="36"/>
        <v>320.06572891923685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20.766968424578057</v>
      </c>
      <c r="AV38" s="21">
        <f>EXP(-LN(2)/25)*AV37+(1-EXP(-LN(2)/25))/(LN(2)/25)*Calculateur!AQ38*Calculateur!AS38*VLOOKUP('Données projet'!$B$10,Paramètres!$A$1:$I$89,3,0)*0.475*44/12</f>
        <v>10.631640094274999</v>
      </c>
      <c r="AW38" s="21">
        <f>EXP(-LN(2)/2)*AW37+(1-EXP(-LN(2)/2))/(LN(2)/2)*AQ38*AT38*VLOOKUP('Données projet'!$B$10,Paramètres!$A$1:$I$89,3,0)*0.475*44/12</f>
        <v>1.0166646088381996</v>
      </c>
      <c r="AX38" s="21">
        <f t="shared" si="6"/>
        <v>32.415273127691258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119.99995828001613</v>
      </c>
      <c r="BJ38" s="59">
        <f t="shared" si="38"/>
        <v>317.56542444086261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46.052405384204611</v>
      </c>
      <c r="BQ38" s="21">
        <f>EXP(-LN(2)/25)*BQ37+(1-EXP(-LN(2)/25))/(LN(2)/25)*Calculateur!BL38*Calculateur!BN38*VLOOKUP('Données projet'!$B$11,Paramètres!$A$1:$I$89,3,0)*0.475*44/12</f>
        <v>8.7282471993909461</v>
      </c>
      <c r="BR38" s="21">
        <f>EXP(-LN(2)/2)*BR37+(1-EXP(-LN(2)/2))/(LN(2)/2)*BL38*BO38*VLOOKUP('Données projet'!$B$11,Paramètres!$A$1:$I$89,3,0)*0.475*44/12</f>
        <v>0.10437328637182444</v>
      </c>
      <c r="BS38" s="22">
        <f t="shared" si="9"/>
        <v>54.885025869967379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18.055769230769229</v>
      </c>
      <c r="N39" s="13">
        <f>IF('Données projet'!$A$36&gt;35,N38+M39-V38,IF(A39&lt;'Données projet'!$A$36,$K$205^A39,IF(A39='Données projet'!$A$36,'Données projet'!$B$36,N38+M39-V38)))</f>
        <v>326.49230769230775</v>
      </c>
      <c r="O39" s="13">
        <f>N39*VLOOKUP('Données projet'!$B$9,Paramètres!$A$1:$I$89,3,0)*VLOOKUP('Données projet'!$B$9,Paramètres!$A$1:$I$89,5,0)</f>
        <v>195.24240000000006</v>
      </c>
      <c r="P39" s="13">
        <f t="shared" si="33"/>
        <v>48.697130705157392</v>
      </c>
      <c r="Q39" s="20">
        <f t="shared" si="53"/>
        <v>424.86134931148257</v>
      </c>
      <c r="R39" s="59">
        <f t="shared" si="0"/>
        <v>718.19468264481588</v>
      </c>
      <c r="S39" s="59">
        <f ca="1">AVERAGE(OFFSET($R$3,0,0,'Données projet'!$E$9+1,1))-AVERAGE(OFFSET($H$3,0,0,'Données projet'!$E$9+1,1))</f>
        <v>323.17232038705157</v>
      </c>
      <c r="T39" s="59">
        <f t="shared" si="34"/>
        <v>402.34685738619197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24.526735867036898</v>
      </c>
      <c r="AA39" s="21">
        <f>EXP(-LN(2)/25)*AA38+(1-EXP(-LN(2)/25))/(LN(2)/25)*Calculateur!V39*Calculateur!X39*VLOOKUP('Données projet'!$B$9,Paramètres!$A$1:$I$89,3,0)*0.475*44/12</f>
        <v>17.340502369049439</v>
      </c>
      <c r="AB39" s="21">
        <f>EXP(-LN(2)/2)*AB38+(1-EXP(-LN(2)/2))/(LN(2)/2)*V39*Y39*VLOOKUP('Données projet'!$B$9,Paramètres!$A$1:$I$89,3,0)*0.475*44/12</f>
        <v>1.6398362871297201</v>
      </c>
      <c r="AC39" s="22">
        <f t="shared" si="3"/>
        <v>43.507074523216055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15.48351648351648</v>
      </c>
      <c r="AI39" s="13">
        <f>IF('Données projet'!$A$62&gt;35,AI38+AH39-AQ38,IF(A39&lt;'Données projet'!$A$62,$AF$205^A39,IF(A39='Données projet'!$A$62,'Données projet'!$B$62,AI38+AH39-AQ38)))</f>
        <v>252.68571428571425</v>
      </c>
      <c r="AJ39" s="13">
        <f>AI39*VLOOKUP('Données projet'!$B$10,Paramètres!$A$1:$I$89,3,0)*VLOOKUP('Données projet'!$B$10,Paramètres!$A$1:$I$89,5,0)</f>
        <v>151.10605714285714</v>
      </c>
      <c r="AK39" s="13">
        <f t="shared" si="35"/>
        <v>38.829833501111224</v>
      </c>
      <c r="AL39" s="20">
        <f t="shared" si="4"/>
        <v>330.80500953824486</v>
      </c>
      <c r="AM39" s="59">
        <f t="shared" si="5"/>
        <v>624.13834287157817</v>
      </c>
      <c r="AN39" s="59">
        <f ca="1">AVERAGE(OFFSET($AM$3,0,0,'Données projet'!$E$10+1,1))-AVERAGE(OFFSET($H$3,0,0,'Données projet'!$E$10+1,1))</f>
        <v>355.09162485318728</v>
      </c>
      <c r="AO39" s="59">
        <f t="shared" si="36"/>
        <v>320.06572891923685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20.359740840372098</v>
      </c>
      <c r="AV39" s="21">
        <f>EXP(-LN(2)/25)*AV38+(1-EXP(-LN(2)/25))/(LN(2)/25)*Calculateur!AQ39*Calculateur!AS39*VLOOKUP('Données projet'!$B$10,Paramètres!$A$1:$I$89,3,0)*0.475*44/12</f>
        <v>10.340917336803395</v>
      </c>
      <c r="AW39" s="21">
        <f>EXP(-LN(2)/2)*AW38+(1-EXP(-LN(2)/2))/(LN(2)/2)*AQ39*AT39*VLOOKUP('Données projet'!$B$10,Paramètres!$A$1:$I$89,3,0)*0.475*44/12</f>
        <v>0.71889043910185979</v>
      </c>
      <c r="AX39" s="21">
        <f t="shared" si="6"/>
        <v>31.41954861627735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119.99995828001613</v>
      </c>
      <c r="BJ39" s="59">
        <f t="shared" si="38"/>
        <v>317.56542444086261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45.149345803814064</v>
      </c>
      <c r="BQ39" s="21">
        <f>EXP(-LN(2)/25)*BQ38+(1-EXP(-LN(2)/25))/(LN(2)/25)*Calculateur!BL39*Calculateur!BN39*VLOOKUP('Données projet'!$B$11,Paramètres!$A$1:$I$89,3,0)*0.475*44/12</f>
        <v>8.4895728207250283</v>
      </c>
      <c r="BR39" s="21">
        <f>EXP(-LN(2)/2)*BR38+(1-EXP(-LN(2)/2))/(LN(2)/2)*BL39*BO39*VLOOKUP('Données projet'!$B$11,Paramètres!$A$1:$I$89,3,0)*0.475*44/12</f>
        <v>7.3803058568242527E-2</v>
      </c>
      <c r="BS39" s="22">
        <f t="shared" si="9"/>
        <v>53.71272168310734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18.055769230769229</v>
      </c>
      <c r="N40" s="13">
        <f>IF('Données projet'!$A$36&gt;35,N39+M40-V39,IF(A40&lt;'Données projet'!$A$36,$K$205^A40,IF(A40='Données projet'!$A$36,'Données projet'!$B$36,N39+M40-V39)))</f>
        <v>344.54807692307696</v>
      </c>
      <c r="O40" s="13">
        <f>N40*VLOOKUP('Données projet'!$B$9,Paramètres!$A$1:$I$89,3,0)*VLOOKUP('Données projet'!$B$9,Paramètres!$A$1:$I$89,5,0)</f>
        <v>206.03975000000003</v>
      </c>
      <c r="P40" s="13">
        <f t="shared" si="33"/>
        <v>51.069214862008621</v>
      </c>
      <c r="Q40" s="20">
        <f t="shared" si="53"/>
        <v>447.79811380133168</v>
      </c>
      <c r="R40" s="59">
        <f t="shared" si="0"/>
        <v>741.131447134665</v>
      </c>
      <c r="S40" s="59">
        <f ca="1">AVERAGE(OFFSET($R$3,0,0,'Données projet'!$E$9+1,1))-AVERAGE(OFFSET($H$3,0,0,'Données projet'!$E$9+1,1))</f>
        <v>323.17232038705157</v>
      </c>
      <c r="T40" s="59">
        <f t="shared" si="34"/>
        <v>402.34685738619197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24.045781536516021</v>
      </c>
      <c r="AA40" s="21">
        <f>EXP(-LN(2)/25)*AA39+(1-EXP(-LN(2)/25))/(LN(2)/25)*Calculateur!V40*Calculateur!X40*VLOOKUP('Données projet'!$B$9,Paramètres!$A$1:$I$89,3,0)*0.475*44/12</f>
        <v>16.866325419870396</v>
      </c>
      <c r="AB40" s="21">
        <f>EXP(-LN(2)/2)*AB39+(1-EXP(-LN(2)/2))/(LN(2)/2)*V40*Y40*VLOOKUP('Données projet'!$B$9,Paramètres!$A$1:$I$89,3,0)*0.475*44/12</f>
        <v>1.1595393586651956</v>
      </c>
      <c r="AC40" s="22">
        <f t="shared" si="3"/>
        <v>42.071646315051609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>
        <f>VLOOKUP(A40,'Données projet'!$A$61:$I$81,2,0)</f>
        <v>268.16923076923075</v>
      </c>
      <c r="AG40" s="12">
        <f>VLOOKUP(A40,'Données projet'!$A$61:$I$81,9,0)</f>
        <v>15.48351648351648</v>
      </c>
      <c r="AH40" s="12">
        <f t="array" ref="AH40">INDEX(AG:AG,MIN(IF(ISNUMBER(AG40:AG236),ROW(AG40:AG236),"")))</f>
        <v>15.48351648351648</v>
      </c>
      <c r="AI40" s="13">
        <f>IF('Données projet'!$A$62&gt;35,AI39+AH40-AQ39,IF(A40&lt;'Données projet'!$A$62,$AF$205^A40,IF(A40='Données projet'!$A$62,'Données projet'!$B$62,AI39+AH40-AQ39)))</f>
        <v>268.16923076923075</v>
      </c>
      <c r="AJ40" s="13">
        <f>AI40*VLOOKUP('Données projet'!$B$10,Paramètres!$A$1:$I$89,3,0)*VLOOKUP('Données projet'!$B$10,Paramètres!$A$1:$I$89,5,0)</f>
        <v>160.36520000000002</v>
      </c>
      <c r="AK40" s="13">
        <f t="shared" si="35"/>
        <v>40.924876352970031</v>
      </c>
      <c r="AL40" s="20">
        <f t="shared" si="4"/>
        <v>350.58021631475617</v>
      </c>
      <c r="AM40" s="59">
        <f t="shared" si="5"/>
        <v>643.91354964808943</v>
      </c>
      <c r="AN40" s="59">
        <f ca="1">AVERAGE(OFFSET($AM$3,0,0,'Données projet'!$E$10+1,1))-AVERAGE(OFFSET($H$3,0,0,'Données projet'!$E$10+1,1))</f>
        <v>355.09162485318728</v>
      </c>
      <c r="AO40" s="59">
        <f t="shared" si="36"/>
        <v>320.06572891923685</v>
      </c>
      <c r="AP40" s="15">
        <f>IF(ISNA(VLOOKUP(A40,'Données projet'!$A$61:$I$81,3,0)),0,VLOOKUP(A40,'Données projet'!$A$61:$I$81,3,0))</f>
        <v>4</v>
      </c>
      <c r="AQ40" s="15">
        <f>IF(ISNA(VLOOKUP(A40,'Données projet'!$A$61:$I$81,4,0)),0,VLOOKUP(A40,'Données projet'!$A$61:$I$81,4,0))</f>
        <v>43.623076923076923</v>
      </c>
      <c r="AR40" s="16">
        <f>IF(ISNA(VLOOKUP(A40,'Données projet'!$A$61:$I$81,5,0)),0%,VLOOKUP(A40,'Données projet'!$A$61:$I$81,5,0)*VLOOKUP('Données projet'!$B$10,Paramètres!$A$1:$I$89,7,0))</f>
        <v>0.315</v>
      </c>
      <c r="AS40" s="16">
        <f>IF(ISNA(VLOOKUP(A40,'Données projet'!$A$61:$I$81,6,0)),0%,VLOOKUP(A40,'Données projet'!$A$61:$I$81,6,0)*VLOOKUP('Données projet'!$B$10,Paramètres!$A$1:$I$89,7,0))</f>
        <v>7.5600000000000001E-2</v>
      </c>
      <c r="AT40" s="16">
        <f>IF(ISNA(VLOOKUP(A40,'Données projet'!$A$61:$I$81,7,0)),0%,VLOOKUP(A40,'Données projet'!$A$61:$I$81,7,0))</f>
        <v>0.13200000000000001</v>
      </c>
      <c r="AU40" s="21">
        <f>EXP(-LN(2)/35)*AU39+(1-EXP(-LN(2)/35))/(LN(2)/35)*AQ40*AR40*VLOOKUP('Données projet'!$B$10,Paramètres!$A$1:$I$89,3,0)*0.475*44/12</f>
        <v>30.861248982537887</v>
      </c>
      <c r="AV40" s="21">
        <f>EXP(-LN(2)/25)*AV39+(1-EXP(-LN(2)/25))/(LN(2)/25)*Calculateur!AQ40*Calculateur!AS40*VLOOKUP('Données projet'!$B$10,Paramètres!$A$1:$I$89,3,0)*0.475*44/12</f>
        <v>12.664023568731189</v>
      </c>
      <c r="AW40" s="21">
        <f>EXP(-LN(2)/2)*AW39+(1-EXP(-LN(2)/2))/(LN(2)/2)*AQ40*AT40*VLOOKUP('Données projet'!$B$10,Paramètres!$A$1:$I$89,3,0)*0.475*44/12</f>
        <v>4.4070963233694158</v>
      </c>
      <c r="AX40" s="21">
        <f t="shared" si="6"/>
        <v>47.932368874638492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119.99995828001613</v>
      </c>
      <c r="BJ40" s="59">
        <f t="shared" si="38"/>
        <v>317.56542444086261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44.263994670983024</v>
      </c>
      <c r="BQ40" s="21">
        <f>EXP(-LN(2)/25)*BQ39+(1-EXP(-LN(2)/25))/(LN(2)/25)*Calculateur!BL40*Calculateur!BN40*VLOOKUP('Données projet'!$B$11,Paramètres!$A$1:$I$89,3,0)*0.475*44/12</f>
        <v>8.2574250054950706</v>
      </c>
      <c r="BR40" s="21">
        <f>EXP(-LN(2)/2)*BR39+(1-EXP(-LN(2)/2))/(LN(2)/2)*BL40*BO40*VLOOKUP('Données projet'!$B$11,Paramètres!$A$1:$I$89,3,0)*0.475*44/12</f>
        <v>5.2186643185912221E-2</v>
      </c>
      <c r="BS40" s="22">
        <f t="shared" si="9"/>
        <v>52.573606319664009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18.055769230769229</v>
      </c>
      <c r="N41" s="13">
        <f>IF('Données projet'!$A$36&gt;35,N40+M41-V40,IF(A41&lt;'Données projet'!$A$36,$K$205^A41,IF(A41='Données projet'!$A$36,'Données projet'!$B$36,N40+M41-V40)))</f>
        <v>362.60384615384618</v>
      </c>
      <c r="O41" s="13">
        <f>N41*VLOOKUP('Données projet'!$B$9,Paramètres!$A$1:$I$89,3,0)*VLOOKUP('Données projet'!$B$9,Paramètres!$A$1:$I$89,5,0)</f>
        <v>216.83710000000005</v>
      </c>
      <c r="P41" s="13">
        <f t="shared" si="33"/>
        <v>53.426866729052094</v>
      </c>
      <c r="Q41" s="20">
        <f t="shared" si="53"/>
        <v>470.70974205309909</v>
      </c>
      <c r="R41" s="59">
        <f t="shared" si="0"/>
        <v>764.04307538643241</v>
      </c>
      <c r="S41" s="59">
        <f ca="1">AVERAGE(OFFSET($R$3,0,0,'Données projet'!$E$9+1,1))-AVERAGE(OFFSET($H$3,0,0,'Données projet'!$E$9+1,1))</f>
        <v>323.17232038705157</v>
      </c>
      <c r="T41" s="59">
        <f t="shared" si="34"/>
        <v>402.34685738619197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23.574258427063484</v>
      </c>
      <c r="AA41" s="21">
        <f>EXP(-LN(2)/25)*AA40+(1-EXP(-LN(2)/25))/(LN(2)/25)*Calculateur!V41*Calculateur!X41*VLOOKUP('Données projet'!$B$9,Paramètres!$A$1:$I$89,3,0)*0.475*44/12</f>
        <v>16.405114864302536</v>
      </c>
      <c r="AB41" s="21">
        <f>EXP(-LN(2)/2)*AB40+(1-EXP(-LN(2)/2))/(LN(2)/2)*V41*Y41*VLOOKUP('Données projet'!$B$9,Paramètres!$A$1:$I$89,3,0)*0.475*44/12</f>
        <v>0.81991814356486015</v>
      </c>
      <c r="AC41" s="22">
        <f t="shared" si="3"/>
        <v>40.799291434930879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15.364102564102561</v>
      </c>
      <c r="AI41" s="13">
        <f>IF('Données projet'!$A$62&gt;35,AI40+AH41-AQ40,IF(A41&lt;'Données projet'!$A$62,$AF$205^A41,IF(A41='Données projet'!$A$62,'Données projet'!$B$62,AI40+AH41-AQ40)))</f>
        <v>239.91025641025638</v>
      </c>
      <c r="AJ41" s="13">
        <f>AI41*VLOOKUP('Données projet'!$B$10,Paramètres!$A$1:$I$89,3,0)*VLOOKUP('Données projet'!$B$10,Paramètres!$A$1:$I$89,5,0)</f>
        <v>143.46633333333332</v>
      </c>
      <c r="AK41" s="13">
        <f t="shared" si="35"/>
        <v>37.089959908428597</v>
      </c>
      <c r="AL41" s="20">
        <f t="shared" si="4"/>
        <v>314.46887739606865</v>
      </c>
      <c r="AM41" s="59">
        <f t="shared" si="5"/>
        <v>607.80221072940196</v>
      </c>
      <c r="AN41" s="59">
        <f ca="1">AVERAGE(OFFSET($AM$3,0,0,'Données projet'!$E$10+1,1))-AVERAGE(OFFSET($H$3,0,0,'Données projet'!$E$10+1,1))</f>
        <v>355.09162485318728</v>
      </c>
      <c r="AO41" s="59">
        <f t="shared" si="36"/>
        <v>320.06572891923685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30.256078713493533</v>
      </c>
      <c r="AV41" s="21">
        <f>EXP(-LN(2)/25)*AV40+(1-EXP(-LN(2)/25))/(LN(2)/25)*Calculateur!AQ41*Calculateur!AS41*VLOOKUP('Données projet'!$B$10,Paramètres!$A$1:$I$89,3,0)*0.475*44/12</f>
        <v>12.317725178272179</v>
      </c>
      <c r="AW41" s="21">
        <f>EXP(-LN(2)/2)*AW40+(1-EXP(-LN(2)/2))/(LN(2)/2)*AQ41*AT41*VLOOKUP('Données projet'!$B$10,Paramètres!$A$1:$I$89,3,0)*0.475*44/12</f>
        <v>3.116287695596816</v>
      </c>
      <c r="AX41" s="21">
        <f t="shared" si="6"/>
        <v>45.690091587362531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119.99995828001613</v>
      </c>
      <c r="BJ41" s="59">
        <f t="shared" si="38"/>
        <v>317.56542444086261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43.396004733855932</v>
      </c>
      <c r="BQ41" s="21">
        <f>EXP(-LN(2)/25)*BQ40+(1-EXP(-LN(2)/25))/(LN(2)/25)*Calculateur!BL41*Calculateur!BN41*VLOOKUP('Données projet'!$B$11,Paramètres!$A$1:$I$89,3,0)*0.475*44/12</f>
        <v>8.0316252844807003</v>
      </c>
      <c r="BR41" s="21">
        <f>EXP(-LN(2)/2)*BR40+(1-EXP(-LN(2)/2))/(LN(2)/2)*BL41*BO41*VLOOKUP('Données projet'!$B$11,Paramètres!$A$1:$I$89,3,0)*0.475*44/12</f>
        <v>3.6901529284121264E-2</v>
      </c>
      <c r="BS41" s="22">
        <f t="shared" si="9"/>
        <v>51.464531547620751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18.055769230769229</v>
      </c>
      <c r="N42" s="13">
        <f>IF('Données projet'!$A$36&gt;35,N41+M42-V41,IF(A42&lt;'Données projet'!$A$36,$K$205^A42,IF(A42='Données projet'!$A$36,'Données projet'!$B$36,N41+M42-V41)))</f>
        <v>380.65961538461539</v>
      </c>
      <c r="O42" s="13">
        <f>N42*VLOOKUP('Données projet'!$B$9,Paramètres!$A$1:$I$89,3,0)*VLOOKUP('Données projet'!$B$9,Paramètres!$A$1:$I$89,5,0)</f>
        <v>227.63445000000002</v>
      </c>
      <c r="P42" s="13">
        <f t="shared" si="33"/>
        <v>55.770886966725193</v>
      </c>
      <c r="Q42" s="20">
        <f t="shared" si="53"/>
        <v>493.59762855037974</v>
      </c>
      <c r="R42" s="59">
        <f t="shared" si="0"/>
        <v>786.93096188371305</v>
      </c>
      <c r="S42" s="59">
        <f ca="1">AVERAGE(OFFSET($R$3,0,0,'Données projet'!$E$9+1,1))-AVERAGE(OFFSET($H$3,0,0,'Données projet'!$E$9+1,1))</f>
        <v>323.17232038705157</v>
      </c>
      <c r="T42" s="59">
        <f t="shared" si="34"/>
        <v>402.34685738619197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23.111981598186613</v>
      </c>
      <c r="AA42" s="21">
        <f>EXP(-LN(2)/25)*AA41+(1-EXP(-LN(2)/25))/(LN(2)/25)*Calculateur!V42*Calculateur!X42*VLOOKUP('Données projet'!$B$9,Paramètres!$A$1:$I$89,3,0)*0.475*44/12</f>
        <v>15.956516135630688</v>
      </c>
      <c r="AB42" s="21">
        <f>EXP(-LN(2)/2)*AB41+(1-EXP(-LN(2)/2))/(LN(2)/2)*V42*Y42*VLOOKUP('Données projet'!$B$9,Paramètres!$A$1:$I$89,3,0)*0.475*44/12</f>
        <v>0.57976967933259782</v>
      </c>
      <c r="AC42" s="22">
        <f t="shared" si="3"/>
        <v>39.648267413149902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15.364102564102561</v>
      </c>
      <c r="AI42" s="13">
        <f>IF('Données projet'!$A$62&gt;35,AI41+AH42-AQ41,IF(A42&lt;'Données projet'!$A$62,$AF$205^A42,IF(A42='Données projet'!$A$62,'Données projet'!$B$62,AI41+AH42-AQ41)))</f>
        <v>255.27435897435893</v>
      </c>
      <c r="AJ42" s="13">
        <f>AI42*VLOOKUP('Données projet'!$B$10,Paramètres!$A$1:$I$89,3,0)*VLOOKUP('Données projet'!$B$10,Paramètres!$A$1:$I$89,5,0)</f>
        <v>152.65406666666664</v>
      </c>
      <c r="AK42" s="13">
        <f t="shared" si="35"/>
        <v>39.18111473980327</v>
      </c>
      <c r="AL42" s="20">
        <f t="shared" si="4"/>
        <v>334.11294094960175</v>
      </c>
      <c r="AM42" s="59">
        <f t="shared" si="5"/>
        <v>627.44627428293506</v>
      </c>
      <c r="AN42" s="59">
        <f ca="1">AVERAGE(OFFSET($AM$3,0,0,'Données projet'!$E$10+1,1))-AVERAGE(OFFSET($H$3,0,0,'Données projet'!$E$10+1,1))</f>
        <v>355.09162485318728</v>
      </c>
      <c r="AO42" s="59">
        <f t="shared" si="36"/>
        <v>320.06572891923685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29.662775464307721</v>
      </c>
      <c r="AV42" s="21">
        <f>EXP(-LN(2)/25)*AV41+(1-EXP(-LN(2)/25))/(LN(2)/25)*Calculateur!AQ42*Calculateur!AS42*VLOOKUP('Données projet'!$B$10,Paramètres!$A$1:$I$89,3,0)*0.475*44/12</f>
        <v>11.980896335511311</v>
      </c>
      <c r="AW42" s="21">
        <f>EXP(-LN(2)/2)*AW41+(1-EXP(-LN(2)/2))/(LN(2)/2)*AQ42*AT42*VLOOKUP('Données projet'!$B$10,Paramètres!$A$1:$I$89,3,0)*0.475*44/12</f>
        <v>2.2035481616847084</v>
      </c>
      <c r="AX42" s="21">
        <f t="shared" si="6"/>
        <v>43.84721996150374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119.99995828001613</v>
      </c>
      <c r="BJ42" s="59">
        <f t="shared" si="38"/>
        <v>317.56542444086261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42.545035549974315</v>
      </c>
      <c r="BQ42" s="21">
        <f>EXP(-LN(2)/25)*BQ41+(1-EXP(-LN(2)/25))/(LN(2)/25)*Calculateur!BL42*Calculateur!BN42*VLOOKUP('Données projet'!$B$11,Paramètres!$A$1:$I$89,3,0)*0.475*44/12</f>
        <v>7.8120000687117583</v>
      </c>
      <c r="BR42" s="21">
        <f>EXP(-LN(2)/2)*BR41+(1-EXP(-LN(2)/2))/(LN(2)/2)*BL42*BO42*VLOOKUP('Données projet'!$B$11,Paramètres!$A$1:$I$89,3,0)*0.475*44/12</f>
        <v>2.609332159295611E-2</v>
      </c>
      <c r="BS42" s="22">
        <f t="shared" si="9"/>
        <v>50.383128940279029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398.71538461538461</v>
      </c>
      <c r="L43" s="12">
        <f>VLOOKUP(A43,'Données projet'!$A$35:$I$55,9,0)</f>
        <v>18.055769230769229</v>
      </c>
      <c r="M43" s="12">
        <f t="array" ref="M43">INDEX(L:L,MIN(IF(ISNUMBER(L43:L239),ROW(L43:L239),"")))</f>
        <v>18.055769230769229</v>
      </c>
      <c r="N43" s="13">
        <f>IF('Données projet'!$A$36&gt;35,N42+M43-V42,IF(A43&lt;'Données projet'!$A$36,$K$205^A43,IF(A43='Données projet'!$A$36,'Données projet'!$B$36,N42+M43-V42)))</f>
        <v>398.71538461538461</v>
      </c>
      <c r="O43" s="13">
        <f>N43*VLOOKUP('Données projet'!$B$9,Paramètres!$A$1:$I$89,3,0)*VLOOKUP('Données projet'!$B$9,Paramètres!$A$1:$I$89,5,0)</f>
        <v>238.43180000000001</v>
      </c>
      <c r="P43" s="13">
        <f t="shared" si="33"/>
        <v>58.101995988242535</v>
      </c>
      <c r="Q43" s="20">
        <f t="shared" si="53"/>
        <v>516.46302801285583</v>
      </c>
      <c r="R43" s="59">
        <f t="shared" si="0"/>
        <v>809.79636134618909</v>
      </c>
      <c r="S43" s="59">
        <f ca="1">AVERAGE(OFFSET($R$3,0,0,'Données projet'!$E$9+1,1))-AVERAGE(OFFSET($H$3,0,0,'Données projet'!$E$9+1,1))</f>
        <v>323.17232038705157</v>
      </c>
      <c r="T43" s="59">
        <f t="shared" si="34"/>
        <v>402.34685738619197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92.661538461538456</v>
      </c>
      <c r="W43" s="16">
        <f>IF(ISNA(VLOOKUP(A43,'Données projet'!$A$35:$I$55,5,0)),0%,VLOOKUP(A43,'Données projet'!$A$35:$I$55,5,0)*VLOOKUP('Données projet'!$B$9,Paramètres!$A$1:$I$89,7,0))</f>
        <v>0.315</v>
      </c>
      <c r="X43" s="16">
        <f>IF(ISNA(VLOOKUP(A43,'Données projet'!$A$35:$I$55,6,0)),0%,VLOOKUP(A43,'Données projet'!$A$35:$I$55,6,0)*VLOOKUP('Données projet'!$B$9,Paramètres!$A$1:$I$89,7,0))</f>
        <v>7.5600000000000001E-2</v>
      </c>
      <c r="Y43" s="16">
        <f>IF(ISNA(VLOOKUP(A43,'Données projet'!$A$35:$I$55,7,0)),0%,VLOOKUP(A43,'Données projet'!$A$35:$I$55,7,0))</f>
        <v>0.13200000000000001</v>
      </c>
      <c r="Z43" s="21">
        <f>EXP(-LN(2)/35)*Z42+(1-EXP(-LN(2)/35))/(LN(2)/35)*V43*W43*VLOOKUP('Données projet'!$B$9,Paramètres!$A$1:$I$89,3,0)*0.475*44/12</f>
        <v>45.813493314358581</v>
      </c>
      <c r="AA43" s="21">
        <f>EXP(-LN(2)/25)*AA42+(1-EXP(-LN(2)/25))/(LN(2)/25)*Calculateur!V43*Calculateur!X43*VLOOKUP('Données projet'!$B$9,Paramètres!$A$1:$I$89,3,0)*0.475*44/12</f>
        <v>21.055437468951411</v>
      </c>
      <c r="AB43" s="21">
        <f>EXP(-LN(2)/2)*AB42+(1-EXP(-LN(2)/2))/(LN(2)/2)*V43*Y43*VLOOKUP('Données projet'!$B$9,Paramètres!$A$1:$I$89,3,0)*0.475*44/12</f>
        <v>8.6914810912279421</v>
      </c>
      <c r="AC43" s="22">
        <f t="shared" si="3"/>
        <v>75.560411874537934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15.364102564102561</v>
      </c>
      <c r="AI43" s="13">
        <f>IF('Données projet'!$A$62&gt;35,AI42+AH43-AQ42,IF(A43&lt;'Données projet'!$A$62,$AF$205^A43,IF(A43='Données projet'!$A$62,'Données projet'!$B$62,AI42+AH43-AQ42)))</f>
        <v>270.63846153846151</v>
      </c>
      <c r="AJ43" s="13">
        <f>AI43*VLOOKUP('Données projet'!$B$10,Paramètres!$A$1:$I$89,3,0)*VLOOKUP('Données projet'!$B$10,Paramètres!$A$1:$I$89,5,0)</f>
        <v>161.84180000000001</v>
      </c>
      <c r="AK43" s="13">
        <f t="shared" si="35"/>
        <v>41.257661408086413</v>
      </c>
      <c r="AL43" s="20">
        <f t="shared" si="4"/>
        <v>353.73156195241717</v>
      </c>
      <c r="AM43" s="59">
        <f t="shared" si="5"/>
        <v>647.06489528575048</v>
      </c>
      <c r="AN43" s="59">
        <f ca="1">AVERAGE(OFFSET($AM$3,0,0,'Données projet'!$E$10+1,1))-AVERAGE(OFFSET($H$3,0,0,'Données projet'!$E$10+1,1))</f>
        <v>355.09162485318728</v>
      </c>
      <c r="AO43" s="59">
        <f t="shared" si="36"/>
        <v>320.06572891923685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29.081106529959193</v>
      </c>
      <c r="AV43" s="21">
        <f>EXP(-LN(2)/25)*AV42+(1-EXP(-LN(2)/25))/(LN(2)/25)*Calculateur!AQ43*Calculateur!AS43*VLOOKUP('Données projet'!$B$10,Paramètres!$A$1:$I$89,3,0)*0.475*44/12</f>
        <v>11.653278095168798</v>
      </c>
      <c r="AW43" s="21">
        <f>EXP(-LN(2)/2)*AW42+(1-EXP(-LN(2)/2))/(LN(2)/2)*AQ43*AT43*VLOOKUP('Données projet'!$B$10,Paramètres!$A$1:$I$89,3,0)*0.475*44/12</f>
        <v>1.5581438477984082</v>
      </c>
      <c r="AX43" s="21">
        <f t="shared" si="6"/>
        <v>42.292528472926392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119.99995828001613</v>
      </c>
      <c r="BJ43" s="59">
        <f t="shared" si="38"/>
        <v>317.56542444086261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41.710753352748661</v>
      </c>
      <c r="BQ43" s="21">
        <f>EXP(-LN(2)/25)*BQ42+(1-EXP(-LN(2)/25))/(LN(2)/25)*Calculateur!BL43*Calculateur!BN43*VLOOKUP('Données projet'!$B$11,Paramètres!$A$1:$I$89,3,0)*0.475*44/12</f>
        <v>7.5983805160176061</v>
      </c>
      <c r="BR43" s="21">
        <f>EXP(-LN(2)/2)*BR42+(1-EXP(-LN(2)/2))/(LN(2)/2)*BL43*BO43*VLOOKUP('Données projet'!$B$11,Paramètres!$A$1:$I$89,3,0)*0.475*44/12</f>
        <v>1.8450764642060632E-2</v>
      </c>
      <c r="BS43" s="22">
        <f t="shared" si="9"/>
        <v>49.327584633408328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15.21153846153846</v>
      </c>
      <c r="N44" s="13">
        <f>IF('Données projet'!$A$36&gt;35,N43+M44-V43,IF(A44&lt;'Données projet'!$A$36,$K$205^A44,IF(A44='Données projet'!$A$36,'Données projet'!$B$36,N43+M44-V43)))</f>
        <v>321.26538461538462</v>
      </c>
      <c r="O44" s="13">
        <f>N44*VLOOKUP('Données projet'!$B$9,Paramètres!$A$1:$I$89,3,0)*VLOOKUP('Données projet'!$B$9,Paramètres!$A$1:$I$89,5,0)</f>
        <v>192.11670000000004</v>
      </c>
      <c r="P44" s="13">
        <f t="shared" si="33"/>
        <v>48.007622995174927</v>
      </c>
      <c r="Q44" s="20">
        <f t="shared" si="53"/>
        <v>418.21652921659637</v>
      </c>
      <c r="R44" s="59">
        <f t="shared" si="0"/>
        <v>711.54986254992968</v>
      </c>
      <c r="S44" s="59">
        <f ca="1">AVERAGE(OFFSET($R$3,0,0,'Données projet'!$E$9+1,1))-AVERAGE(OFFSET($H$3,0,0,'Données projet'!$E$9+1,1))</f>
        <v>323.17232038705157</v>
      </c>
      <c r="T44" s="59">
        <f t="shared" si="34"/>
        <v>402.34685738619197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44.915118653935743</v>
      </c>
      <c r="AA44" s="21">
        <f>EXP(-LN(2)/25)*AA43+(1-EXP(-LN(2)/25))/(LN(2)/25)*Calculateur!V44*Calculateur!X44*VLOOKUP('Données projet'!$B$9,Paramètres!$A$1:$I$89,3,0)*0.475*44/12</f>
        <v>20.479675424105601</v>
      </c>
      <c r="AB44" s="21">
        <f>EXP(-LN(2)/2)*AB43+(1-EXP(-LN(2)/2))/(LN(2)/2)*V44*Y44*VLOOKUP('Données projet'!$B$9,Paramètres!$A$1:$I$89,3,0)*0.475*44/12</f>
        <v>6.1458052181619323</v>
      </c>
      <c r="AC44" s="22">
        <f t="shared" si="3"/>
        <v>71.540599296203283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15.364102564102561</v>
      </c>
      <c r="AI44" s="13">
        <f>IF('Données projet'!$A$62&gt;35,AI43+AH44-AQ43,IF(A44&lt;'Données projet'!$A$62,$AF$205^A44,IF(A44='Données projet'!$A$62,'Données projet'!$B$62,AI43+AH44-AQ43)))</f>
        <v>286.00256410256407</v>
      </c>
      <c r="AJ44" s="13">
        <f>AI44*VLOOKUP('Données projet'!$B$10,Paramètres!$A$1:$I$89,3,0)*VLOOKUP('Données projet'!$B$10,Paramètres!$A$1:$I$89,5,0)</f>
        <v>171.02953333333335</v>
      </c>
      <c r="AK44" s="13">
        <f t="shared" si="35"/>
        <v>43.320523714936215</v>
      </c>
      <c r="AL44" s="20">
        <f t="shared" si="4"/>
        <v>373.32634935906952</v>
      </c>
      <c r="AM44" s="59">
        <f t="shared" si="5"/>
        <v>666.65968269240284</v>
      </c>
      <c r="AN44" s="59">
        <f ca="1">AVERAGE(OFFSET($AM$3,0,0,'Données projet'!$E$10+1,1))-AVERAGE(OFFSET($H$3,0,0,'Données projet'!$E$10+1,1))</f>
        <v>355.09162485318728</v>
      </c>
      <c r="AO44" s="59">
        <f t="shared" si="36"/>
        <v>320.06572891923685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28.51084376863022</v>
      </c>
      <c r="AV44" s="21">
        <f>EXP(-LN(2)/25)*AV43+(1-EXP(-LN(2)/25))/(LN(2)/25)*Calculateur!AQ44*Calculateur!AS44*VLOOKUP('Données projet'!$B$10,Paramètres!$A$1:$I$89,3,0)*0.475*44/12</f>
        <v>11.334618592837145</v>
      </c>
      <c r="AW44" s="21">
        <f>EXP(-LN(2)/2)*AW43+(1-EXP(-LN(2)/2))/(LN(2)/2)*AQ44*AT44*VLOOKUP('Données projet'!$B$10,Paramètres!$A$1:$I$89,3,0)*0.475*44/12</f>
        <v>1.1017740808423544</v>
      </c>
      <c r="AX44" s="21">
        <f t="shared" si="6"/>
        <v>40.947236442309723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119.99995828001613</v>
      </c>
      <c r="BJ44" s="59">
        <f t="shared" si="38"/>
        <v>317.56542444086261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40.892830920548711</v>
      </c>
      <c r="BQ44" s="21">
        <f>EXP(-LN(2)/25)*BQ43+(1-EXP(-LN(2)/25))/(LN(2)/25)*Calculateur!BL44*Calculateur!BN44*VLOOKUP('Données projet'!$B$11,Paramètres!$A$1:$I$89,3,0)*0.475*44/12</f>
        <v>7.3906024012256397</v>
      </c>
      <c r="BR44" s="21">
        <f>EXP(-LN(2)/2)*BR43+(1-EXP(-LN(2)/2))/(LN(2)/2)*BL44*BO44*VLOOKUP('Données projet'!$B$11,Paramètres!$A$1:$I$89,3,0)*0.475*44/12</f>
        <v>1.3046660796478055E-2</v>
      </c>
      <c r="BS44" s="22">
        <f t="shared" si="9"/>
        <v>48.29647998257083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15.21153846153846</v>
      </c>
      <c r="N45" s="13">
        <f>IF('Données projet'!$A$36&gt;35,N44+M45-V44,IF(A45&lt;'Données projet'!$A$36,$K$205^A45,IF(A45='Données projet'!$A$36,'Données projet'!$B$36,N44+M45-V44)))</f>
        <v>336.47692307692307</v>
      </c>
      <c r="O45" s="13">
        <f>N45*VLOOKUP('Données projet'!$B$9,Paramètres!$A$1:$I$89,3,0)*VLOOKUP('Données projet'!$B$9,Paramètres!$A$1:$I$89,5,0)</f>
        <v>201.21320000000003</v>
      </c>
      <c r="P45" s="13">
        <f t="shared" si="33"/>
        <v>50.010698447793764</v>
      </c>
      <c r="Q45" s="20">
        <f t="shared" si="53"/>
        <v>437.54828979657418</v>
      </c>
      <c r="R45" s="59">
        <f t="shared" si="0"/>
        <v>730.88162312990744</v>
      </c>
      <c r="S45" s="59">
        <f ca="1">AVERAGE(OFFSET($R$3,0,0,'Données projet'!$E$9+1,1))-AVERAGE(OFFSET($H$3,0,0,'Données projet'!$E$9+1,1))</f>
        <v>323.17232038705157</v>
      </c>
      <c r="T45" s="59">
        <f t="shared" si="34"/>
        <v>402.34685738619197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44.034360572649362</v>
      </c>
      <c r="AA45" s="21">
        <f>EXP(-LN(2)/25)*AA44+(1-EXP(-LN(2)/25))/(LN(2)/25)*Calculateur!V45*Calculateur!X45*VLOOKUP('Données projet'!$B$9,Paramètres!$A$1:$I$89,3,0)*0.475*44/12</f>
        <v>19.91965762265411</v>
      </c>
      <c r="AB45" s="21">
        <f>EXP(-LN(2)/2)*AB44+(1-EXP(-LN(2)/2))/(LN(2)/2)*V45*Y45*VLOOKUP('Données projet'!$B$9,Paramètres!$A$1:$I$89,3,0)*0.475*44/12</f>
        <v>4.3457405456139719</v>
      </c>
      <c r="AC45" s="22">
        <f t="shared" si="3"/>
        <v>68.299758740917454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15.364102564102561</v>
      </c>
      <c r="AI45" s="13">
        <f>IF('Données projet'!$A$62&gt;35,AI44+AH45-AQ44,IF(A45&lt;'Données projet'!$A$62,$AF$205^A45,IF(A45='Données projet'!$A$62,'Données projet'!$B$62,AI44+AH45-AQ44)))</f>
        <v>301.36666666666662</v>
      </c>
      <c r="AJ45" s="13">
        <f>AI45*VLOOKUP('Données projet'!$B$10,Paramètres!$A$1:$I$89,3,0)*VLOOKUP('Données projet'!$B$10,Paramètres!$A$1:$I$89,5,0)</f>
        <v>180.21726666666666</v>
      </c>
      <c r="AK45" s="13">
        <f t="shared" si="35"/>
        <v>45.370520602809727</v>
      </c>
      <c r="AL45" s="20">
        <f t="shared" si="4"/>
        <v>392.89872949433806</v>
      </c>
      <c r="AM45" s="59">
        <f t="shared" si="5"/>
        <v>686.23206282767137</v>
      </c>
      <c r="AN45" s="59">
        <f ca="1">AVERAGE(OFFSET($AM$3,0,0,'Données projet'!$E$10+1,1))-AVERAGE(OFFSET($H$3,0,0,'Données projet'!$E$10+1,1))</f>
        <v>355.09162485318728</v>
      </c>
      <c r="AO45" s="59">
        <f t="shared" si="36"/>
        <v>320.06572891923685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27.951763512224971</v>
      </c>
      <c r="AV45" s="21">
        <f>EXP(-LN(2)/25)*AV44+(1-EXP(-LN(2)/25))/(LN(2)/25)*Calculateur!AQ45*Calculateur!AS45*VLOOKUP('Données projet'!$B$10,Paramètres!$A$1:$I$89,3,0)*0.475*44/12</f>
        <v>11.024672851354328</v>
      </c>
      <c r="AW45" s="21">
        <f>EXP(-LN(2)/2)*AW44+(1-EXP(-LN(2)/2))/(LN(2)/2)*AQ45*AT45*VLOOKUP('Données projet'!$B$10,Paramètres!$A$1:$I$89,3,0)*0.475*44/12</f>
        <v>0.77907192389920432</v>
      </c>
      <c r="AX45" s="21">
        <f t="shared" si="6"/>
        <v>39.755508287478499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119.99995828001613</v>
      </c>
      <c r="BJ45" s="59">
        <f t="shared" si="38"/>
        <v>317.56542444086261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40.09094744836078</v>
      </c>
      <c r="BQ45" s="21">
        <f>EXP(-LN(2)/25)*BQ44+(1-EXP(-LN(2)/25))/(LN(2)/25)*Calculateur!BL45*Calculateur!BN45*VLOOKUP('Données projet'!$B$11,Paramètres!$A$1:$I$89,3,0)*0.475*44/12</f>
        <v>7.1885059899092356</v>
      </c>
      <c r="BR45" s="21">
        <f>EXP(-LN(2)/2)*BR44+(1-EXP(-LN(2)/2))/(LN(2)/2)*BL45*BO45*VLOOKUP('Données projet'!$B$11,Paramètres!$A$1:$I$89,3,0)*0.475*44/12</f>
        <v>9.2253823210303159E-3</v>
      </c>
      <c r="BS45" s="22">
        <f t="shared" si="9"/>
        <v>47.288678820591045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15.21153846153846</v>
      </c>
      <c r="N46" s="13">
        <f>IF('Données projet'!$A$36&gt;35,N45+M46-V45,IF(A46&lt;'Données projet'!$A$36,$K$205^A46,IF(A46='Données projet'!$A$36,'Données projet'!$B$36,N45+M46-V45)))</f>
        <v>351.68846153846152</v>
      </c>
      <c r="O46" s="13">
        <f>N46*VLOOKUP('Données projet'!$B$9,Paramètres!$A$1:$I$89,3,0)*VLOOKUP('Données projet'!$B$9,Paramètres!$A$1:$I$89,5,0)</f>
        <v>210.30970000000002</v>
      </c>
      <c r="P46" s="13">
        <f t="shared" si="33"/>
        <v>52.003257134609832</v>
      </c>
      <c r="Q46" s="20">
        <f t="shared" si="53"/>
        <v>456.86173367611218</v>
      </c>
      <c r="R46" s="59">
        <f t="shared" si="0"/>
        <v>750.19506700944544</v>
      </c>
      <c r="S46" s="59">
        <f ca="1">AVERAGE(OFFSET($R$3,0,0,'Données projet'!$E$9+1,1))-AVERAGE(OFFSET($H$3,0,0,'Données projet'!$E$9+1,1))</f>
        <v>323.17232038705157</v>
      </c>
      <c r="T46" s="59">
        <f t="shared" si="34"/>
        <v>402.34685738619197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43.170873620127622</v>
      </c>
      <c r="AA46" s="21">
        <f>EXP(-LN(2)/25)*AA45+(1-EXP(-LN(2)/25))/(LN(2)/25)*Calculateur!V46*Calculateur!X46*VLOOKUP('Données projet'!$B$9,Paramètres!$A$1:$I$89,3,0)*0.475*44/12</f>
        <v>19.374953537433367</v>
      </c>
      <c r="AB46" s="21">
        <f>EXP(-LN(2)/2)*AB45+(1-EXP(-LN(2)/2))/(LN(2)/2)*V46*Y46*VLOOKUP('Données projet'!$B$9,Paramètres!$A$1:$I$89,3,0)*0.475*44/12</f>
        <v>3.0729026090809666</v>
      </c>
      <c r="AC46" s="22">
        <f t="shared" si="3"/>
        <v>65.618729766641962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15.364102564102561</v>
      </c>
      <c r="AI46" s="13">
        <f>IF('Données projet'!$A$62&gt;35,AI45+AH46-AQ45,IF(A46&lt;'Données projet'!$A$62,$AF$205^A46,IF(A46='Données projet'!$A$62,'Données projet'!$B$62,AI45+AH46-AQ45)))</f>
        <v>316.73076923076917</v>
      </c>
      <c r="AJ46" s="13">
        <f>AI46*VLOOKUP('Données projet'!$B$10,Paramètres!$A$1:$I$89,3,0)*VLOOKUP('Données projet'!$B$10,Paramètres!$A$1:$I$89,5,0)</f>
        <v>189.405</v>
      </c>
      <c r="AK46" s="13">
        <f t="shared" si="35"/>
        <v>47.408382795872441</v>
      </c>
      <c r="AL46" s="20">
        <f t="shared" si="4"/>
        <v>412.44997503614445</v>
      </c>
      <c r="AM46" s="59">
        <f t="shared" si="5"/>
        <v>705.78330836947771</v>
      </c>
      <c r="AN46" s="59">
        <f ca="1">AVERAGE(OFFSET($AM$3,0,0,'Données projet'!$E$10+1,1))-AVERAGE(OFFSET($H$3,0,0,'Données projet'!$E$10+1,1))</f>
        <v>355.09162485318728</v>
      </c>
      <c r="AO46" s="59">
        <f t="shared" si="36"/>
        <v>320.06572891923685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27.403646478642543</v>
      </c>
      <c r="AV46" s="21">
        <f>EXP(-LN(2)/25)*AV45+(1-EXP(-LN(2)/25))/(LN(2)/25)*Calculateur!AQ46*Calculateur!AS46*VLOOKUP('Données projet'!$B$10,Paramètres!$A$1:$I$89,3,0)*0.475*44/12</f>
        <v>10.723202592471695</v>
      </c>
      <c r="AW46" s="21">
        <f>EXP(-LN(2)/2)*AW45+(1-EXP(-LN(2)/2))/(LN(2)/2)*AQ46*AT46*VLOOKUP('Données projet'!$B$10,Paramètres!$A$1:$I$89,3,0)*0.475*44/12</f>
        <v>0.55088704042117731</v>
      </c>
      <c r="AX46" s="21">
        <f t="shared" si="6"/>
        <v>38.677736111535417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119.99995828001613</v>
      </c>
      <c r="BJ46" s="59">
        <f t="shared" si="38"/>
        <v>317.56542444086261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39.304788421961831</v>
      </c>
      <c r="BQ46" s="21">
        <f>EXP(-LN(2)/25)*BQ45+(1-EXP(-LN(2)/25))/(LN(2)/25)*Calculateur!BL46*Calculateur!BN46*VLOOKUP('Données projet'!$B$11,Paramètres!$A$1:$I$89,3,0)*0.475*44/12</f>
        <v>6.9919359155880674</v>
      </c>
      <c r="BR46" s="21">
        <f>EXP(-LN(2)/2)*BR45+(1-EXP(-LN(2)/2))/(LN(2)/2)*BL46*BO46*VLOOKUP('Données projet'!$B$11,Paramètres!$A$1:$I$89,3,0)*0.475*44/12</f>
        <v>6.5233303982390276E-3</v>
      </c>
      <c r="BS46" s="22">
        <f t="shared" si="9"/>
        <v>46.303247667948135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15.21153846153846</v>
      </c>
      <c r="N47" s="13">
        <f>IF('Données projet'!$A$36&gt;35,N46+M47-V46,IF(A47&lt;'Données projet'!$A$36,$K$205^A47,IF(A47='Données projet'!$A$36,'Données projet'!$B$36,N46+M47-V46)))</f>
        <v>366.9</v>
      </c>
      <c r="O47" s="13">
        <f>N47*VLOOKUP('Données projet'!$B$9,Paramètres!$A$1:$I$89,3,0)*VLOOKUP('Données projet'!$B$9,Paramètres!$A$1:$I$89,5,0)</f>
        <v>219.40620000000001</v>
      </c>
      <c r="P47" s="13">
        <f t="shared" si="33"/>
        <v>53.985805930473333</v>
      </c>
      <c r="Q47" s="20">
        <f t="shared" si="53"/>
        <v>476.15774366224105</v>
      </c>
      <c r="R47" s="59">
        <f t="shared" si="0"/>
        <v>769.4910769955743</v>
      </c>
      <c r="S47" s="59">
        <f ca="1">AVERAGE(OFFSET($R$3,0,0,'Données projet'!$E$9+1,1))-AVERAGE(OFFSET($H$3,0,0,'Données projet'!$E$9+1,1))</f>
        <v>323.17232038705157</v>
      </c>
      <c r="T47" s="59">
        <f t="shared" si="34"/>
        <v>402.34685738619197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42.324319120069795</v>
      </c>
      <c r="AA47" s="21">
        <f>EXP(-LN(2)/25)*AA46+(1-EXP(-LN(2)/25))/(LN(2)/25)*Calculateur!V47*Calculateur!X47*VLOOKUP('Données projet'!$B$9,Paramètres!$A$1:$I$89,3,0)*0.475*44/12</f>
        <v>18.845144414067725</v>
      </c>
      <c r="AB47" s="21">
        <f>EXP(-LN(2)/2)*AB46+(1-EXP(-LN(2)/2))/(LN(2)/2)*V47*Y47*VLOOKUP('Données projet'!$B$9,Paramètres!$A$1:$I$89,3,0)*0.475*44/12</f>
        <v>2.172870272806986</v>
      </c>
      <c r="AC47" s="22">
        <f t="shared" si="3"/>
        <v>63.342333806944509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15.364102564102561</v>
      </c>
      <c r="AI47" s="13">
        <f>IF('Données projet'!$A$62&gt;35,AI46+AH47-AQ46,IF(A47&lt;'Données projet'!$A$62,$AF$205^A47,IF(A47='Données projet'!$A$62,'Données projet'!$B$62,AI46+AH47-AQ46)))</f>
        <v>332.09487179487172</v>
      </c>
      <c r="AJ47" s="13">
        <f>AI47*VLOOKUP('Données projet'!$B$10,Paramètres!$A$1:$I$89,3,0)*VLOOKUP('Données projet'!$B$10,Paramètres!$A$1:$I$89,5,0)</f>
        <v>198.59273333333329</v>
      </c>
      <c r="AK47" s="13">
        <f t="shared" si="35"/>
        <v>49.434766120428968</v>
      </c>
      <c r="AL47" s="20">
        <f t="shared" si="4"/>
        <v>431.98122821530256</v>
      </c>
      <c r="AM47" s="59">
        <f t="shared" si="5"/>
        <v>725.31456154863588</v>
      </c>
      <c r="AN47" s="59">
        <f ca="1">AVERAGE(OFFSET($AM$3,0,0,'Données projet'!$E$10+1,1))-AVERAGE(OFFSET($H$3,0,0,'Données projet'!$E$10+1,1))</f>
        <v>355.09162485318728</v>
      </c>
      <c r="AO47" s="59">
        <f t="shared" si="36"/>
        <v>320.06572891923685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26.866277685770289</v>
      </c>
      <c r="AV47" s="21">
        <f>EXP(-LN(2)/25)*AV46+(1-EXP(-LN(2)/25))/(LN(2)/25)*Calculateur!AQ47*Calculateur!AS47*VLOOKUP('Données projet'!$B$10,Paramètres!$A$1:$I$89,3,0)*0.475*44/12</f>
        <v>10.42997605367184</v>
      </c>
      <c r="AW47" s="21">
        <f>EXP(-LN(2)/2)*AW46+(1-EXP(-LN(2)/2))/(LN(2)/2)*AQ47*AT47*VLOOKUP('Données projet'!$B$10,Paramètres!$A$1:$I$89,3,0)*0.475*44/12</f>
        <v>0.38953596194960222</v>
      </c>
      <c r="AX47" s="21">
        <f t="shared" si="6"/>
        <v>37.685789701391734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119.99995828001613</v>
      </c>
      <c r="BJ47" s="59">
        <f t="shared" si="38"/>
        <v>317.56542444086261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38.534045494560907</v>
      </c>
      <c r="BQ47" s="21">
        <f>EXP(-LN(2)/25)*BQ46+(1-EXP(-LN(2)/25))/(LN(2)/25)*Calculateur!BL47*Calculateur!BN47*VLOOKUP('Données projet'!$B$11,Paramètres!$A$1:$I$89,3,0)*0.475*44/12</f>
        <v>6.8007410602863825</v>
      </c>
      <c r="BR47" s="21">
        <f>EXP(-LN(2)/2)*BR46+(1-EXP(-LN(2)/2))/(LN(2)/2)*BL47*BO47*VLOOKUP('Données projet'!$B$11,Paramètres!$A$1:$I$89,3,0)*0.475*44/12</f>
        <v>4.6126911605151579E-3</v>
      </c>
      <c r="BS47" s="22">
        <f t="shared" si="9"/>
        <v>45.339399246007808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15.21153846153846</v>
      </c>
      <c r="N48" s="13">
        <f>IF('Données projet'!$A$36&gt;35,N47+M48-V47,IF(A48&lt;'Données projet'!$A$36,$K$205^A48,IF(A48='Données projet'!$A$36,'Données projet'!$B$36,N47+M48-V47)))</f>
        <v>382.11153846153843</v>
      </c>
      <c r="O48" s="13">
        <f>N48*VLOOKUP('Données projet'!$B$9,Paramètres!$A$1:$I$89,3,0)*VLOOKUP('Données projet'!$B$9,Paramètres!$A$1:$I$89,5,0)</f>
        <v>228.5027</v>
      </c>
      <c r="P48" s="13">
        <f t="shared" si="33"/>
        <v>55.958807302542631</v>
      </c>
      <c r="Q48" s="20">
        <f t="shared" si="53"/>
        <v>495.4371252185951</v>
      </c>
      <c r="R48" s="59">
        <f t="shared" si="0"/>
        <v>788.77045855192841</v>
      </c>
      <c r="S48" s="59">
        <f ca="1">AVERAGE(OFFSET($R$3,0,0,'Données projet'!$E$9+1,1))-AVERAGE(OFFSET($H$3,0,0,'Données projet'!$E$9+1,1))</f>
        <v>323.17232038705157</v>
      </c>
      <c r="T48" s="59">
        <f t="shared" si="34"/>
        <v>402.34685738619197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41.494365037410844</v>
      </c>
      <c r="AA48" s="21">
        <f>EXP(-LN(2)/25)*AA47+(1-EXP(-LN(2)/25))/(LN(2)/25)*Calculateur!V48*Calculateur!X48*VLOOKUP('Données projet'!$B$9,Paramètres!$A$1:$I$89,3,0)*0.475*44/12</f>
        <v>18.329822949041969</v>
      </c>
      <c r="AB48" s="21">
        <f>EXP(-LN(2)/2)*AB47+(1-EXP(-LN(2)/2))/(LN(2)/2)*V48*Y48*VLOOKUP('Données projet'!$B$9,Paramètres!$A$1:$I$89,3,0)*0.475*44/12</f>
        <v>1.5364513045404833</v>
      </c>
      <c r="AC48" s="22">
        <f t="shared" si="3"/>
        <v>61.360639290993298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15.364102564102561</v>
      </c>
      <c r="AI48" s="13">
        <f>IF('Données projet'!$A$62&gt;35,AI47+AH48-AQ47,IF(A48&lt;'Données projet'!$A$62,$AF$205^A48,IF(A48='Données projet'!$A$62,'Données projet'!$B$62,AI47+AH48-AQ47)))</f>
        <v>347.45897435897427</v>
      </c>
      <c r="AJ48" s="13">
        <f>AI48*VLOOKUP('Données projet'!$B$10,Paramètres!$A$1:$I$89,3,0)*VLOOKUP('Données projet'!$B$10,Paramètres!$A$1:$I$89,5,0)</f>
        <v>207.78046666666665</v>
      </c>
      <c r="AK48" s="13">
        <f t="shared" si="35"/>
        <v>51.450262290579353</v>
      </c>
      <c r="AL48" s="20">
        <f t="shared" si="4"/>
        <v>451.49351960053679</v>
      </c>
      <c r="AM48" s="59">
        <f t="shared" si="5"/>
        <v>744.8268529338701</v>
      </c>
      <c r="AN48" s="59">
        <f ca="1">AVERAGE(OFFSET($AM$3,0,0,'Données projet'!$E$10+1,1))-AVERAGE(OFFSET($H$3,0,0,'Données projet'!$E$10+1,1))</f>
        <v>355.09162485318728</v>
      </c>
      <c r="AO48" s="59">
        <f t="shared" si="36"/>
        <v>320.06572891923685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26.33944636716366</v>
      </c>
      <c r="AV48" s="21">
        <f>EXP(-LN(2)/25)*AV47+(1-EXP(-LN(2)/25))/(LN(2)/25)*Calculateur!AQ48*Calculateur!AS48*VLOOKUP('Données projet'!$B$10,Paramètres!$A$1:$I$89,3,0)*0.475*44/12</f>
        <v>10.144767809995582</v>
      </c>
      <c r="AW48" s="21">
        <f>EXP(-LN(2)/2)*AW47+(1-EXP(-LN(2)/2))/(LN(2)/2)*AQ48*AT48*VLOOKUP('Données projet'!$B$10,Paramètres!$A$1:$I$89,3,0)*0.475*44/12</f>
        <v>0.27544352021058871</v>
      </c>
      <c r="AX48" s="21">
        <f t="shared" si="6"/>
        <v>36.759657697369832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119.99995828001613</v>
      </c>
      <c r="BJ48" s="59">
        <f t="shared" si="38"/>
        <v>317.56542444086261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37.778416365859549</v>
      </c>
      <c r="BQ48" s="21">
        <f>EXP(-LN(2)/25)*BQ47+(1-EXP(-LN(2)/25))/(LN(2)/25)*Calculateur!BL48*Calculateur!BN48*VLOOKUP('Données projet'!$B$11,Paramètres!$A$1:$I$89,3,0)*0.475*44/12</f>
        <v>6.6147744383574221</v>
      </c>
      <c r="BR48" s="21">
        <f>EXP(-LN(2)/2)*BR47+(1-EXP(-LN(2)/2))/(LN(2)/2)*BL48*BO48*VLOOKUP('Données projet'!$B$11,Paramètres!$A$1:$I$89,3,0)*0.475*44/12</f>
        <v>3.2616651991195138E-3</v>
      </c>
      <c r="BS48" s="22">
        <f t="shared" si="9"/>
        <v>44.39645246941609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15.21153846153846</v>
      </c>
      <c r="N49" s="13">
        <f>IF('Données projet'!$A$36&gt;35,N48+M49-V48,IF(A49&lt;'Données projet'!$A$36,$K$205^A49,IF(A49='Données projet'!$A$36,'Données projet'!$B$36,N48+M49-V48)))</f>
        <v>397.32307692307688</v>
      </c>
      <c r="O49" s="13">
        <f>N49*VLOOKUP('Données projet'!$B$9,Paramètres!$A$1:$I$89,3,0)*VLOOKUP('Données projet'!$B$9,Paramètres!$A$1:$I$89,5,0)</f>
        <v>237.5992</v>
      </c>
      <c r="P49" s="13">
        <f t="shared" si="33"/>
        <v>57.922684812819405</v>
      </c>
      <c r="Q49" s="20">
        <f t="shared" si="53"/>
        <v>514.70061604899377</v>
      </c>
      <c r="R49" s="59">
        <f t="shared" si="0"/>
        <v>808.03394938232714</v>
      </c>
      <c r="S49" s="59">
        <f ca="1">AVERAGE(OFFSET($R$3,0,0,'Données projet'!$E$9+1,1))-AVERAGE(OFFSET($H$3,0,0,'Données projet'!$E$9+1,1))</f>
        <v>323.17232038705157</v>
      </c>
      <c r="T49" s="59">
        <f t="shared" si="34"/>
        <v>402.34685738619197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40.680685848090825</v>
      </c>
      <c r="AA49" s="21">
        <f>EXP(-LN(2)/25)*AA48+(1-EXP(-LN(2)/25))/(LN(2)/25)*Calculateur!V49*Calculateur!X49*VLOOKUP('Données projet'!$B$9,Paramètres!$A$1:$I$89,3,0)*0.475*44/12</f>
        <v>17.828592976576921</v>
      </c>
      <c r="AB49" s="21">
        <f>EXP(-LN(2)/2)*AB48+(1-EXP(-LN(2)/2))/(LN(2)/2)*V49*Y49*VLOOKUP('Données projet'!$B$9,Paramètres!$A$1:$I$89,3,0)*0.475*44/12</f>
        <v>1.086435136403493</v>
      </c>
      <c r="AC49" s="22">
        <f t="shared" si="3"/>
        <v>59.59571396107124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362.82307692307688</v>
      </c>
      <c r="AG49" s="12">
        <f>VLOOKUP(A49,'Données projet'!$A$61:$I$81,9,0)</f>
        <v>15.364102564102561</v>
      </c>
      <c r="AH49" s="12">
        <f t="array" ref="AH49">INDEX(AG:AG,MIN(IF(ISNUMBER(AG49:AG245),ROW(AG49:AG245),"")))</f>
        <v>15.364102564102561</v>
      </c>
      <c r="AI49" s="13">
        <f>IF('Données projet'!$A$62&gt;35,AI48+AH49-AQ48,IF(A49&lt;'Données projet'!$A$62,$AF$205^A49,IF(A49='Données projet'!$A$62,'Données projet'!$B$62,AI48+AH49-AQ48)))</f>
        <v>362.82307692307683</v>
      </c>
      <c r="AJ49" s="13">
        <f>AI49*VLOOKUP('Données projet'!$B$10,Paramètres!$A$1:$I$89,3,0)*VLOOKUP('Données projet'!$B$10,Paramètres!$A$1:$I$89,5,0)</f>
        <v>216.96819999999994</v>
      </c>
      <c r="AK49" s="13">
        <f t="shared" si="35"/>
        <v>53.455407732310803</v>
      </c>
      <c r="AL49" s="20">
        <f t="shared" si="4"/>
        <v>470.98778346710793</v>
      </c>
      <c r="AM49" s="59">
        <f t="shared" si="5"/>
        <v>764.32111680044125</v>
      </c>
      <c r="AN49" s="59">
        <f ca="1">AVERAGE(OFFSET($AM$3,0,0,'Données projet'!$E$10+1,1))-AVERAGE(OFFSET($H$3,0,0,'Données projet'!$E$10+1,1))</f>
        <v>355.09162485318728</v>
      </c>
      <c r="AO49" s="59">
        <f t="shared" si="36"/>
        <v>320.06572891923685</v>
      </c>
      <c r="AP49" s="15">
        <f>IF(ISNA(VLOOKUP(A49,'Données projet'!$A$61:$I$81,3,0)),0,VLOOKUP(A49,'Données projet'!$A$61:$I$81,3,0))</f>
        <v>5</v>
      </c>
      <c r="AQ49" s="15">
        <f>IF(ISNA(VLOOKUP(A49,'Données projet'!$A$61:$I$81,4,0)),0,VLOOKUP(A49,'Données projet'!$A$61:$I$81,4,0))</f>
        <v>72.561538461538461</v>
      </c>
      <c r="AR49" s="16">
        <f>IF(ISNA(VLOOKUP(A49,'Données projet'!$A$61:$I$81,5,0)),0%,VLOOKUP(A49,'Données projet'!$A$61:$I$81,5,0)*VLOOKUP('Données projet'!$B$10,Paramètres!$A$1:$I$89,7,0))</f>
        <v>0.315</v>
      </c>
      <c r="AS49" s="16">
        <f>IF(ISNA(VLOOKUP(A49,'Données projet'!$A$61:$I$81,6,0)),0%,VLOOKUP(A49,'Données projet'!$A$61:$I$81,6,0)*VLOOKUP('Données projet'!$B$10,Paramètres!$A$1:$I$89,7,0))</f>
        <v>7.5600000000000001E-2</v>
      </c>
      <c r="AT49" s="16">
        <f>IF(ISNA(VLOOKUP(A49,'Données projet'!$A$61:$I$81,7,0)),0%,VLOOKUP(A49,'Données projet'!$A$61:$I$81,7,0))</f>
        <v>0.13200000000000001</v>
      </c>
      <c r="AU49" s="21">
        <f>EXP(-LN(2)/35)*AU48+(1-EXP(-LN(2)/35))/(LN(2)/35)*AQ49*AR49*VLOOKUP('Données projet'!$B$10,Paramètres!$A$1:$I$89,3,0)*0.475*44/12</f>
        <v>43.95498204370508</v>
      </c>
      <c r="AV49" s="21">
        <f>EXP(-LN(2)/25)*AV48+(1-EXP(-LN(2)/25))/(LN(2)/25)*Calculateur!AQ49*Calculateur!AS49*VLOOKUP('Données projet'!$B$10,Paramètres!$A$1:$I$89,3,0)*0.475*44/12</f>
        <v>14.201913021334352</v>
      </c>
      <c r="AW49" s="21">
        <f>EXP(-LN(2)/2)*AW48+(1-EXP(-LN(2)/2))/(LN(2)/2)*AQ49*AT49*VLOOKUP('Données projet'!$B$10,Paramètres!$A$1:$I$89,3,0)*0.475*44/12</f>
        <v>6.6798748388055769</v>
      </c>
      <c r="AX49" s="21">
        <f t="shared" si="6"/>
        <v>64.83676990384501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119.99995828001613</v>
      </c>
      <c r="BJ49" s="59">
        <f t="shared" si="38"/>
        <v>317.56542444086261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37.037604663483762</v>
      </c>
      <c r="BQ49" s="21">
        <f>EXP(-LN(2)/25)*BQ48+(1-EXP(-LN(2)/25))/(LN(2)/25)*Calculateur!BL49*Calculateur!BN49*VLOOKUP('Données projet'!$B$11,Paramètres!$A$1:$I$89,3,0)*0.475*44/12</f>
        <v>6.4338930834846693</v>
      </c>
      <c r="BR49" s="21">
        <f>EXP(-LN(2)/2)*BR48+(1-EXP(-LN(2)/2))/(LN(2)/2)*BL49*BO49*VLOOKUP('Données projet'!$B$11,Paramètres!$A$1:$I$89,3,0)*0.475*44/12</f>
        <v>2.306345580257579E-3</v>
      </c>
      <c r="BS49" s="22">
        <f t="shared" si="9"/>
        <v>43.47380409254869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15.21153846153846</v>
      </c>
      <c r="N50" s="13">
        <f>IF('Données projet'!$A$36&gt;35,N49+M50-V49,IF(A50&lt;'Données projet'!$A$36,$K$205^A50,IF(A50='Données projet'!$A$36,'Données projet'!$B$36,N49+M50-V49)))</f>
        <v>412.53461538461534</v>
      </c>
      <c r="O50" s="13">
        <f>N50*VLOOKUP('Données projet'!$B$9,Paramètres!$A$1:$I$89,3,0)*VLOOKUP('Données projet'!$B$9,Paramètres!$A$1:$I$89,5,0)</f>
        <v>246.69569999999999</v>
      </c>
      <c r="P50" s="13">
        <f t="shared" si="33"/>
        <v>59.877827754324372</v>
      </c>
      <c r="Q50" s="20">
        <f t="shared" si="53"/>
        <v>533.94889417211482</v>
      </c>
      <c r="R50" s="59">
        <f t="shared" si="0"/>
        <v>827.28222750544819</v>
      </c>
      <c r="S50" s="59">
        <f ca="1">AVERAGE(OFFSET($R$3,0,0,'Données projet'!$E$9+1,1))-AVERAGE(OFFSET($H$3,0,0,'Données projet'!$E$9+1,1))</f>
        <v>323.17232038705157</v>
      </c>
      <c r="T50" s="59">
        <f t="shared" si="34"/>
        <v>402.34685738619197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39.882962411378074</v>
      </c>
      <c r="AA50" s="21">
        <f>EXP(-LN(2)/25)*AA49+(1-EXP(-LN(2)/25))/(LN(2)/25)*Calculateur!V50*Calculateur!X50*VLOOKUP('Données projet'!$B$9,Paramètres!$A$1:$I$89,3,0)*0.475*44/12</f>
        <v>17.34106916406747</v>
      </c>
      <c r="AB50" s="21">
        <f>EXP(-LN(2)/2)*AB49+(1-EXP(-LN(2)/2))/(LN(2)/2)*V50*Y50*VLOOKUP('Données projet'!$B$9,Paramètres!$A$1:$I$89,3,0)*0.475*44/12</f>
        <v>0.76822565227024164</v>
      </c>
      <c r="AC50" s="22">
        <f t="shared" si="3"/>
        <v>57.992257227715783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13.793846153846165</v>
      </c>
      <c r="AI50" s="13">
        <f>IF('Données projet'!$A$62&gt;35,AI49+AH50-AQ49,IF(A50&lt;'Données projet'!$A$62,$AF$205^A50,IF(A50='Données projet'!$A$62,'Données projet'!$B$62,AI49+AH50-AQ49)))</f>
        <v>304.05538461538453</v>
      </c>
      <c r="AJ50" s="13">
        <f>AI50*VLOOKUP('Données projet'!$B$10,Paramètres!$A$1:$I$89,3,0)*VLOOKUP('Données projet'!$B$10,Paramètres!$A$1:$I$89,5,0)</f>
        <v>181.82511999999997</v>
      </c>
      <c r="AK50" s="13">
        <f t="shared" si="35"/>
        <v>45.72800301768045</v>
      </c>
      <c r="AL50" s="20">
        <f t="shared" si="4"/>
        <v>396.32168925579339</v>
      </c>
      <c r="AM50" s="59">
        <f t="shared" si="5"/>
        <v>689.6550225891267</v>
      </c>
      <c r="AN50" s="59">
        <f ca="1">AVERAGE(OFFSET($AM$3,0,0,'Données projet'!$E$10+1,1))-AVERAGE(OFFSET($H$3,0,0,'Données projet'!$E$10+1,1))</f>
        <v>355.09162485318728</v>
      </c>
      <c r="AO50" s="59">
        <f t="shared" si="36"/>
        <v>320.06572891923685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43.093051655719812</v>
      </c>
      <c r="AV50" s="21">
        <f>EXP(-LN(2)/25)*AV49+(1-EXP(-LN(2)/25))/(LN(2)/25)*Calculateur!AQ50*Calculateur!AS50*VLOOKUP('Données projet'!$B$10,Paramètres!$A$1:$I$89,3,0)*0.475*44/12</f>
        <v>13.813560962919817</v>
      </c>
      <c r="AW50" s="21">
        <f>EXP(-LN(2)/2)*AW49+(1-EXP(-LN(2)/2))/(LN(2)/2)*AQ50*AT50*VLOOKUP('Données projet'!$B$10,Paramètres!$A$1:$I$89,3,0)*0.475*44/12</f>
        <v>4.7233847959968198</v>
      </c>
      <c r="AX50" s="21">
        <f t="shared" si="6"/>
        <v>61.629997414636449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119.99995828001613</v>
      </c>
      <c r="BJ50" s="59">
        <f t="shared" si="38"/>
        <v>317.56542444086261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36.311319826741041</v>
      </c>
      <c r="BQ50" s="21">
        <f>EXP(-LN(2)/25)*BQ49+(1-EXP(-LN(2)/25))/(LN(2)/25)*Calculateur!BL50*Calculateur!BN50*VLOOKUP('Données projet'!$B$11,Paramètres!$A$1:$I$89,3,0)*0.475*44/12</f>
        <v>6.2579579387730488</v>
      </c>
      <c r="BR50" s="21">
        <f>EXP(-LN(2)/2)*BR49+(1-EXP(-LN(2)/2))/(LN(2)/2)*BL50*BO50*VLOOKUP('Données projet'!$B$11,Paramètres!$A$1:$I$89,3,0)*0.475*44/12</f>
        <v>1.6308325995597569E-3</v>
      </c>
      <c r="BS50" s="22">
        <f t="shared" si="9"/>
        <v>42.570908598113647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427.74615384615385</v>
      </c>
      <c r="L51" s="12">
        <f>VLOOKUP(A51,'Données projet'!$A$35:$I$55,9,0)</f>
        <v>15.21153846153846</v>
      </c>
      <c r="M51" s="12">
        <f t="array" ref="M51">INDEX(L:L,MIN(IF(ISNUMBER(L51:L247),ROW(L51:L247),"")))</f>
        <v>15.21153846153846</v>
      </c>
      <c r="N51" s="13">
        <f>IF('Données projet'!$A$36&gt;35,N50+M51-V50,IF(A51&lt;'Données projet'!$A$36,$K$205^A51,IF(A51='Données projet'!$A$36,'Données projet'!$B$36,N50+M51-V50)))</f>
        <v>427.74615384615379</v>
      </c>
      <c r="O51" s="13">
        <f>N51*VLOOKUP('Données projet'!$B$9,Paramètres!$A$1:$I$89,3,0)*VLOOKUP('Données projet'!$B$9,Paramètres!$A$1:$I$89,5,0)</f>
        <v>255.79219999999998</v>
      </c>
      <c r="P51" s="13">
        <f t="shared" si="33"/>
        <v>61.824595084245523</v>
      </c>
      <c r="Q51" s="20">
        <f t="shared" si="53"/>
        <v>553.18258477172765</v>
      </c>
      <c r="R51" s="59">
        <f t="shared" si="0"/>
        <v>846.51591810506102</v>
      </c>
      <c r="S51" s="59">
        <f ca="1">AVERAGE(OFFSET($R$3,0,0,'Données projet'!$E$9+1,1))-AVERAGE(OFFSET($H$3,0,0,'Données projet'!$E$9+1,1))</f>
        <v>323.17232038705157</v>
      </c>
      <c r="T51" s="59">
        <f t="shared" si="34"/>
        <v>402.34685738619197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83.969230769230762</v>
      </c>
      <c r="W51" s="16">
        <f>IF(ISNA(VLOOKUP(A51,'Données projet'!$A$35:$I$55,5,0)),0%,VLOOKUP(A51,'Données projet'!$A$35:$I$55,5,0)*VLOOKUP('Données projet'!$B$9,Paramètres!$A$1:$I$89,7,0))</f>
        <v>0.315</v>
      </c>
      <c r="X51" s="16">
        <f>IF(ISNA(VLOOKUP(A51,'Données projet'!$A$35:$I$55,6,0)),0%,VLOOKUP(A51,'Données projet'!$A$35:$I$55,6,0)*VLOOKUP('Données projet'!$B$9,Paramètres!$A$1:$I$89,7,0))</f>
        <v>7.5600000000000001E-2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60.083528580688551</v>
      </c>
      <c r="AA51" s="21">
        <f>EXP(-LN(2)/25)*AA50+(1-EXP(-LN(2)/25))/(LN(2)/25)*Calculateur!V51*Calculateur!X51*VLOOKUP('Données projet'!$B$9,Paramètres!$A$1:$I$89,3,0)*0.475*44/12</f>
        <v>21.882883930435508</v>
      </c>
      <c r="AB51" s="21">
        <f>EXP(-LN(2)/2)*AB50+(1-EXP(-LN(2)/2))/(LN(2)/2)*V51*Y51*VLOOKUP('Données projet'!$B$9,Paramètres!$A$1:$I$89,3,0)*0.475*44/12</f>
        <v>8.0478742479516399</v>
      </c>
      <c r="AC51" s="22">
        <f t="shared" si="3"/>
        <v>90.014286759075702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13.793846153846165</v>
      </c>
      <c r="AI51" s="13">
        <f>IF('Données projet'!$A$62&gt;35,AI50+AH51-AQ50,IF(A51&lt;'Données projet'!$A$62,$AF$205^A51,IF(A51='Données projet'!$A$62,'Données projet'!$B$62,AI50+AH51-AQ50)))</f>
        <v>317.8492307692307</v>
      </c>
      <c r="AJ51" s="13">
        <f>AI51*VLOOKUP('Données projet'!$B$10,Paramètres!$A$1:$I$89,3,0)*VLOOKUP('Données projet'!$B$10,Paramètres!$A$1:$I$89,5,0)</f>
        <v>190.07383999999999</v>
      </c>
      <c r="AK51" s="13">
        <f t="shared" si="35"/>
        <v>47.556277457641151</v>
      </c>
      <c r="AL51" s="20">
        <f t="shared" si="4"/>
        <v>413.87245457205836</v>
      </c>
      <c r="AM51" s="59">
        <f t="shared" si="5"/>
        <v>707.20578790539162</v>
      </c>
      <c r="AN51" s="59">
        <f ca="1">AVERAGE(OFFSET($AM$3,0,0,'Données projet'!$E$10+1,1))-AVERAGE(OFFSET($H$3,0,0,'Données projet'!$E$10+1,1))</f>
        <v>355.09162485318728</v>
      </c>
      <c r="AO51" s="59">
        <f t="shared" si="36"/>
        <v>320.06572891923685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42.248023196917309</v>
      </c>
      <c r="AV51" s="21">
        <f>EXP(-LN(2)/25)*AV50+(1-EXP(-LN(2)/25))/(LN(2)/25)*Calculateur!AQ51*Calculateur!AS51*VLOOKUP('Données projet'!$B$10,Paramètres!$A$1:$I$89,3,0)*0.475*44/12</f>
        <v>13.435828411965176</v>
      </c>
      <c r="AW51" s="21">
        <f>EXP(-LN(2)/2)*AW50+(1-EXP(-LN(2)/2))/(LN(2)/2)*AQ51*AT51*VLOOKUP('Données projet'!$B$10,Paramètres!$A$1:$I$89,3,0)*0.475*44/12</f>
        <v>3.3399374194027889</v>
      </c>
      <c r="AX51" s="21">
        <f t="shared" si="6"/>
        <v>59.023789028285272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119.99995828001613</v>
      </c>
      <c r="BJ51" s="59">
        <f t="shared" si="38"/>
        <v>317.56542444086261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35.59927699265684</v>
      </c>
      <c r="BQ51" s="21">
        <f>EXP(-LN(2)/25)*BQ50+(1-EXP(-LN(2)/25))/(LN(2)/25)*Calculateur!BL51*Calculateur!BN51*VLOOKUP('Données projet'!$B$11,Paramètres!$A$1:$I$89,3,0)*0.475*44/12</f>
        <v>6.0868337498455949</v>
      </c>
      <c r="BR51" s="21">
        <f>EXP(-LN(2)/2)*BR50+(1-EXP(-LN(2)/2))/(LN(2)/2)*BL51*BO51*VLOOKUP('Données projet'!$B$11,Paramètres!$A$1:$I$89,3,0)*0.475*44/12</f>
        <v>1.1531727901287895E-3</v>
      </c>
      <c r="BS51" s="22">
        <f t="shared" si="9"/>
        <v>41.687263915292561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12.837499999999991</v>
      </c>
      <c r="N52" s="13">
        <f>IF('Données projet'!$A$36&gt;35,N51+M52-V51,IF(A52&lt;'Données projet'!$A$36,$K$205^A52,IF(A52='Données projet'!$A$36,'Données projet'!$B$36,N51+M52-V51)))</f>
        <v>356.614423076923</v>
      </c>
      <c r="O52" s="13">
        <f>N52*VLOOKUP('Données projet'!$B$9,Paramètres!$A$1:$I$89,3,0)*VLOOKUP('Données projet'!$B$9,Paramètres!$A$1:$I$89,5,0)</f>
        <v>213.25542499999997</v>
      </c>
      <c r="P52" s="13">
        <f t="shared" si="33"/>
        <v>52.646339807871037</v>
      </c>
      <c r="Q52" s="20">
        <f t="shared" si="53"/>
        <v>463.11224037370863</v>
      </c>
      <c r="R52" s="59">
        <f t="shared" si="0"/>
        <v>756.44557370704194</v>
      </c>
      <c r="S52" s="59">
        <f ca="1">AVERAGE(OFFSET($R$3,0,0,'Données projet'!$E$9+1,1))-AVERAGE(OFFSET($H$3,0,0,'Données projet'!$E$9+1,1))</f>
        <v>323.17232038705157</v>
      </c>
      <c r="T52" s="59">
        <f t="shared" si="34"/>
        <v>402.34685738619197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58.905327232555059</v>
      </c>
      <c r="AA52" s="21">
        <f>EXP(-LN(2)/25)*AA51+(1-EXP(-LN(2)/25))/(LN(2)/25)*Calculateur!V52*Calculateur!X52*VLOOKUP('Données projet'!$B$9,Paramètres!$A$1:$I$89,3,0)*0.475*44/12</f>
        <v>21.284495318586895</v>
      </c>
      <c r="AB52" s="21">
        <f>EXP(-LN(2)/2)*AB51+(1-EXP(-LN(2)/2))/(LN(2)/2)*V52*Y52*VLOOKUP('Données projet'!$B$9,Paramètres!$A$1:$I$89,3,0)*0.475*44/12</f>
        <v>5.6907064548631912</v>
      </c>
      <c r="AC52" s="22">
        <f t="shared" si="3"/>
        <v>85.880529006005148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13.793846153846165</v>
      </c>
      <c r="AI52" s="13">
        <f>IF('Données projet'!$A$62&gt;35,AI51+AH52-AQ51,IF(A52&lt;'Données projet'!$A$62,$AF$205^A52,IF(A52='Données projet'!$A$62,'Données projet'!$B$62,AI51+AH52-AQ51)))</f>
        <v>331.64307692307688</v>
      </c>
      <c r="AJ52" s="13">
        <f>AI52*VLOOKUP('Données projet'!$B$10,Paramètres!$A$1:$I$89,3,0)*VLOOKUP('Données projet'!$B$10,Paramètres!$A$1:$I$89,5,0)</f>
        <v>198.32255999999998</v>
      </c>
      <c r="AK52" s="13">
        <f t="shared" si="35"/>
        <v>49.375336669033487</v>
      </c>
      <c r="AL52" s="20">
        <f t="shared" si="4"/>
        <v>431.40717003189997</v>
      </c>
      <c r="AM52" s="59">
        <f t="shared" si="5"/>
        <v>724.74050336523328</v>
      </c>
      <c r="AN52" s="59">
        <f ca="1">AVERAGE(OFFSET($AM$3,0,0,'Données projet'!$E$10+1,1))-AVERAGE(OFFSET($H$3,0,0,'Données projet'!$E$10+1,1))</f>
        <v>355.09162485318728</v>
      </c>
      <c r="AO52" s="59">
        <f t="shared" si="36"/>
        <v>320.06572891923685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41.419565230775461</v>
      </c>
      <c r="AV52" s="21">
        <f>EXP(-LN(2)/25)*AV51+(1-EXP(-LN(2)/25))/(LN(2)/25)*Calculateur!AQ52*Calculateur!AS52*VLOOKUP('Données projet'!$B$10,Paramètres!$A$1:$I$89,3,0)*0.475*44/12</f>
        <v>13.068424977480479</v>
      </c>
      <c r="AW52" s="21">
        <f>EXP(-LN(2)/2)*AW51+(1-EXP(-LN(2)/2))/(LN(2)/2)*AQ52*AT52*VLOOKUP('Données projet'!$B$10,Paramètres!$A$1:$I$89,3,0)*0.475*44/12</f>
        <v>2.3616923979984104</v>
      </c>
      <c r="AX52" s="21">
        <f t="shared" si="6"/>
        <v>56.849682606254348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119.99995828001613</v>
      </c>
      <c r="BJ52" s="59">
        <f t="shared" si="38"/>
        <v>317.56542444086261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34.901196884245785</v>
      </c>
      <c r="BQ52" s="21">
        <f>EXP(-LN(2)/25)*BQ51+(1-EXP(-LN(2)/25))/(LN(2)/25)*Calculateur!BL52*Calculateur!BN52*VLOOKUP('Données projet'!$B$11,Paramètres!$A$1:$I$89,3,0)*0.475*44/12</f>
        <v>5.9203889608633915</v>
      </c>
      <c r="BR52" s="21">
        <f>EXP(-LN(2)/2)*BR51+(1-EXP(-LN(2)/2))/(LN(2)/2)*BL52*BO52*VLOOKUP('Données projet'!$B$11,Paramètres!$A$1:$I$89,3,0)*0.475*44/12</f>
        <v>8.1541629977987845E-4</v>
      </c>
      <c r="BS52" s="22">
        <f t="shared" si="9"/>
        <v>40.822401261408956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12.837499999999991</v>
      </c>
      <c r="N53" s="13">
        <f>IF('Données projet'!$A$36&gt;35,N52+M53-V52,IF(A53&lt;'Données projet'!$A$36,$K$205^A53,IF(A53='Données projet'!$A$36,'Données projet'!$B$36,N52+M53-V52)))</f>
        <v>369.45192307692298</v>
      </c>
      <c r="O53" s="13">
        <f>N53*VLOOKUP('Données projet'!$B$9,Paramètres!$A$1:$I$89,3,0)*VLOOKUP('Données projet'!$B$9,Paramètres!$A$1:$I$89,5,0)</f>
        <v>220.93224999999995</v>
      </c>
      <c r="P53" s="13">
        <f t="shared" si="33"/>
        <v>54.31745576001893</v>
      </c>
      <c r="Q53" s="20">
        <f t="shared" si="53"/>
        <v>479.3932375320328</v>
      </c>
      <c r="R53" s="59">
        <f t="shared" si="0"/>
        <v>772.72657086536606</v>
      </c>
      <c r="S53" s="59">
        <f ca="1">AVERAGE(OFFSET($R$3,0,0,'Données projet'!$E$9+1,1))-AVERAGE(OFFSET($H$3,0,0,'Données projet'!$E$9+1,1))</f>
        <v>323.17232038705157</v>
      </c>
      <c r="T53" s="59">
        <f t="shared" si="34"/>
        <v>402.34685738619197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57.750229694226604</v>
      </c>
      <c r="AA53" s="21">
        <f>EXP(-LN(2)/25)*AA52+(1-EXP(-LN(2)/25))/(LN(2)/25)*Calculateur!V53*Calculateur!X53*VLOOKUP('Données projet'!$B$9,Paramètres!$A$1:$I$89,3,0)*0.475*44/12</f>
        <v>20.702469674797175</v>
      </c>
      <c r="AB53" s="21">
        <f>EXP(-LN(2)/2)*AB52+(1-EXP(-LN(2)/2))/(LN(2)/2)*V53*Y53*VLOOKUP('Données projet'!$B$9,Paramètres!$A$1:$I$89,3,0)*0.475*44/12</f>
        <v>4.0239371239758199</v>
      </c>
      <c r="AC53" s="22">
        <f t="shared" si="3"/>
        <v>82.476636492999603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13.793846153846165</v>
      </c>
      <c r="AI53" s="13">
        <f>IF('Données projet'!$A$62&gt;35,AI52+AH53-AQ52,IF(A53&lt;'Données projet'!$A$62,$AF$205^A53,IF(A53='Données projet'!$A$62,'Données projet'!$B$62,AI52+AH53-AQ52)))</f>
        <v>345.43692307692305</v>
      </c>
      <c r="AJ53" s="13">
        <f>AI53*VLOOKUP('Données projet'!$B$10,Paramètres!$A$1:$I$89,3,0)*VLOOKUP('Données projet'!$B$10,Paramètres!$A$1:$I$89,5,0)</f>
        <v>206.57128</v>
      </c>
      <c r="AK53" s="13">
        <f t="shared" si="35"/>
        <v>51.185607766999659</v>
      </c>
      <c r="AL53" s="20">
        <f t="shared" si="4"/>
        <v>448.92657952752438</v>
      </c>
      <c r="AM53" s="59">
        <f t="shared" si="5"/>
        <v>742.25991286085764</v>
      </c>
      <c r="AN53" s="59">
        <f ca="1">AVERAGE(OFFSET($AM$3,0,0,'Données projet'!$E$10+1,1))-AVERAGE(OFFSET($H$3,0,0,'Données projet'!$E$10+1,1))</f>
        <v>355.09162485318728</v>
      </c>
      <c r="AO53" s="59">
        <f t="shared" si="36"/>
        <v>320.06572891923685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40.607352820040191</v>
      </c>
      <c r="AV53" s="21">
        <f>EXP(-LN(2)/25)*AV52+(1-EXP(-LN(2)/25))/(LN(2)/25)*Calculateur!AQ53*Calculateur!AS53*VLOOKUP('Données projet'!$B$10,Paramètres!$A$1:$I$89,3,0)*0.475*44/12</f>
        <v>12.711068209232675</v>
      </c>
      <c r="AW53" s="21">
        <f>EXP(-LN(2)/2)*AW52+(1-EXP(-LN(2)/2))/(LN(2)/2)*AQ53*AT53*VLOOKUP('Données projet'!$B$10,Paramètres!$A$1:$I$89,3,0)*0.475*44/12</f>
        <v>1.6699687097013949</v>
      </c>
      <c r="AX53" s="21">
        <f t="shared" si="6"/>
        <v>54.988389738974263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119.99995828001613</v>
      </c>
      <c r="BJ53" s="59">
        <f t="shared" si="38"/>
        <v>317.56542444086261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34.216805700973843</v>
      </c>
      <c r="BQ53" s="21">
        <f>EXP(-LN(2)/25)*BQ52+(1-EXP(-LN(2)/25))/(LN(2)/25)*Calculateur!BL53*Calculateur!BN53*VLOOKUP('Données projet'!$B$11,Paramètres!$A$1:$I$89,3,0)*0.475*44/12</f>
        <v>5.7584956133888578</v>
      </c>
      <c r="BR53" s="21">
        <f>EXP(-LN(2)/2)*BR52+(1-EXP(-LN(2)/2))/(LN(2)/2)*BL53*BO53*VLOOKUP('Données projet'!$B$11,Paramètres!$A$1:$I$89,3,0)*0.475*44/12</f>
        <v>5.7658639506439474E-4</v>
      </c>
      <c r="BS53" s="22">
        <f t="shared" si="9"/>
        <v>39.975877900757766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12.837499999999991</v>
      </c>
      <c r="N54" s="13">
        <f>IF('Données projet'!$A$36&gt;35,N53+M54-V53,IF(A54&lt;'Données projet'!$A$36,$K$205^A54,IF(A54='Données projet'!$A$36,'Données projet'!$B$36,N53+M54-V53)))</f>
        <v>382.28942307692296</v>
      </c>
      <c r="O54" s="13">
        <f>N54*VLOOKUP('Données projet'!$B$9,Paramètres!$A$1:$I$89,3,0)*VLOOKUP('Données projet'!$B$9,Paramètres!$A$1:$I$89,5,0)</f>
        <v>228.60907499999993</v>
      </c>
      <c r="P54" s="13">
        <f t="shared" si="33"/>
        <v>55.981824933821947</v>
      </c>
      <c r="Q54" s="20">
        <f t="shared" si="53"/>
        <v>495.66248405140641</v>
      </c>
      <c r="R54" s="59">
        <f t="shared" si="0"/>
        <v>788.99581738473967</v>
      </c>
      <c r="S54" s="59">
        <f ca="1">AVERAGE(OFFSET($R$3,0,0,'Données projet'!$E$9+1,1))-AVERAGE(OFFSET($H$3,0,0,'Données projet'!$E$9+1,1))</f>
        <v>323.17232038705157</v>
      </c>
      <c r="T54" s="59">
        <f t="shared" si="34"/>
        <v>402.34685738619197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56.617782914084835</v>
      </c>
      <c r="AA54" s="21">
        <f>EXP(-LN(2)/25)*AA53+(1-EXP(-LN(2)/25))/(LN(2)/25)*Calculateur!V54*Calculateur!X54*VLOOKUP('Données projet'!$B$9,Paramètres!$A$1:$I$89,3,0)*0.475*44/12</f>
        <v>20.136359552844283</v>
      </c>
      <c r="AB54" s="21">
        <f>EXP(-LN(2)/2)*AB53+(1-EXP(-LN(2)/2))/(LN(2)/2)*V54*Y54*VLOOKUP('Données projet'!$B$9,Paramètres!$A$1:$I$89,3,0)*0.475*44/12</f>
        <v>2.8453532274315956</v>
      </c>
      <c r="AC54" s="22">
        <f t="shared" si="3"/>
        <v>79.599495694360726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13.793846153846165</v>
      </c>
      <c r="AI54" s="13">
        <f>IF('Données projet'!$A$62&gt;35,AI53+AH54-AQ53,IF(A54&lt;'Données projet'!$A$62,$AF$205^A54,IF(A54='Données projet'!$A$62,'Données projet'!$B$62,AI53+AH54-AQ53)))</f>
        <v>359.23076923076923</v>
      </c>
      <c r="AJ54" s="13">
        <f>AI54*VLOOKUP('Données projet'!$B$10,Paramètres!$A$1:$I$89,3,0)*VLOOKUP('Données projet'!$B$10,Paramètres!$A$1:$I$89,5,0)</f>
        <v>214.82</v>
      </c>
      <c r="AK54" s="13">
        <f t="shared" si="35"/>
        <v>52.987481825087599</v>
      </c>
      <c r="AL54" s="20">
        <f t="shared" si="4"/>
        <v>466.43136417869431</v>
      </c>
      <c r="AM54" s="59">
        <f t="shared" si="5"/>
        <v>759.76469751202762</v>
      </c>
      <c r="AN54" s="59">
        <f ca="1">AVERAGE(OFFSET($AM$3,0,0,'Données projet'!$E$10+1,1))-AVERAGE(OFFSET($H$3,0,0,'Données projet'!$E$10+1,1))</f>
        <v>355.09162485318728</v>
      </c>
      <c r="AO54" s="59">
        <f t="shared" si="36"/>
        <v>320.06572891923685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39.811067399278784</v>
      </c>
      <c r="AV54" s="21">
        <f>EXP(-LN(2)/25)*AV53+(1-EXP(-LN(2)/25))/(LN(2)/25)*Calculateur!AQ54*Calculateur!AS54*VLOOKUP('Données projet'!$B$10,Paramètres!$A$1:$I$89,3,0)*0.475*44/12</f>
        <v>12.363483380605182</v>
      </c>
      <c r="AW54" s="21">
        <f>EXP(-LN(2)/2)*AW53+(1-EXP(-LN(2)/2))/(LN(2)/2)*AQ54*AT54*VLOOKUP('Données projet'!$B$10,Paramètres!$A$1:$I$89,3,0)*0.475*44/12</f>
        <v>1.1808461989992054</v>
      </c>
      <c r="AX54" s="21">
        <f t="shared" si="6"/>
        <v>53.355396978883171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119.99995828001613</v>
      </c>
      <c r="BJ54" s="59">
        <f t="shared" si="38"/>
        <v>317.56542444086261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33.54583501136846</v>
      </c>
      <c r="BQ54" s="21">
        <f>EXP(-LN(2)/25)*BQ53+(1-EXP(-LN(2)/25))/(LN(2)/25)*Calculateur!BL54*Calculateur!BN54*VLOOKUP('Données projet'!$B$11,Paramètres!$A$1:$I$89,3,0)*0.475*44/12</f>
        <v>5.6010292480146164</v>
      </c>
      <c r="BR54" s="21">
        <f>EXP(-LN(2)/2)*BR53+(1-EXP(-LN(2)/2))/(LN(2)/2)*BL54*BO54*VLOOKUP('Données projet'!$B$11,Paramètres!$A$1:$I$89,3,0)*0.475*44/12</f>
        <v>4.0770814988993923E-4</v>
      </c>
      <c r="BS54" s="22">
        <f t="shared" si="9"/>
        <v>39.147271967532973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12.837499999999991</v>
      </c>
      <c r="N55" s="13">
        <f>IF('Données projet'!$A$36&gt;35,N54+M55-V54,IF(A55&lt;'Données projet'!$A$36,$K$205^A55,IF(A55='Données projet'!$A$36,'Données projet'!$B$36,N54+M55-V54)))</f>
        <v>395.12692307692294</v>
      </c>
      <c r="O55" s="13">
        <f>N55*VLOOKUP('Données projet'!$B$9,Paramètres!$A$1:$I$89,3,0)*VLOOKUP('Données projet'!$B$9,Paramètres!$A$1:$I$89,5,0)</f>
        <v>236.28589999999994</v>
      </c>
      <c r="P55" s="13">
        <f t="shared" si="33"/>
        <v>57.639699864397812</v>
      </c>
      <c r="Q55" s="20">
        <f t="shared" si="53"/>
        <v>511.92041976382615</v>
      </c>
      <c r="R55" s="59">
        <f t="shared" si="0"/>
        <v>805.25375309715946</v>
      </c>
      <c r="S55" s="59">
        <f ca="1">AVERAGE(OFFSET($R$3,0,0,'Données projet'!$E$9+1,1))-AVERAGE(OFFSET($H$3,0,0,'Données projet'!$E$9+1,1))</f>
        <v>323.17232038705157</v>
      </c>
      <c r="T55" s="59">
        <f t="shared" si="34"/>
        <v>402.34685738619197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55.507542724577313</v>
      </c>
      <c r="AA55" s="21">
        <f>EXP(-LN(2)/25)*AA54+(1-EXP(-LN(2)/25))/(LN(2)/25)*Calculateur!V55*Calculateur!X55*VLOOKUP('Données projet'!$B$9,Paramètres!$A$1:$I$89,3,0)*0.475*44/12</f>
        <v>19.585729741946629</v>
      </c>
      <c r="AB55" s="21">
        <f>EXP(-LN(2)/2)*AB54+(1-EXP(-LN(2)/2))/(LN(2)/2)*V55*Y55*VLOOKUP('Données projet'!$B$9,Paramètres!$A$1:$I$89,3,0)*0.475*44/12</f>
        <v>2.01196856198791</v>
      </c>
      <c r="AC55" s="22">
        <f t="shared" si="3"/>
        <v>77.105241028511855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13.793846153846165</v>
      </c>
      <c r="AI55" s="13">
        <f>IF('Données projet'!$A$62&gt;35,AI54+AH55-AQ54,IF(A55&lt;'Données projet'!$A$62,$AF$205^A55,IF(A55='Données projet'!$A$62,'Données projet'!$B$62,AI54+AH55-AQ54)))</f>
        <v>373.0246153846154</v>
      </c>
      <c r="AJ55" s="13">
        <f>AI55*VLOOKUP('Données projet'!$B$10,Paramètres!$A$1:$I$89,3,0)*VLOOKUP('Données projet'!$B$10,Paramètres!$A$1:$I$89,5,0)</f>
        <v>223.06872000000001</v>
      </c>
      <c r="AK55" s="13">
        <f t="shared" si="35"/>
        <v>54.78131818288734</v>
      </c>
      <c r="AL55" s="20">
        <f t="shared" si="4"/>
        <v>483.92214983519551</v>
      </c>
      <c r="AM55" s="59">
        <f t="shared" si="5"/>
        <v>777.25548316852883</v>
      </c>
      <c r="AN55" s="59">
        <f ca="1">AVERAGE(OFFSET($AM$3,0,0,'Données projet'!$E$10+1,1))-AVERAGE(OFFSET($H$3,0,0,'Données projet'!$E$10+1,1))</f>
        <v>355.09162485318728</v>
      </c>
      <c r="AO55" s="59">
        <f t="shared" si="36"/>
        <v>320.06572891923685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39.030396649932356</v>
      </c>
      <c r="AV55" s="21">
        <f>EXP(-LN(2)/25)*AV54+(1-EXP(-LN(2)/25))/(LN(2)/25)*Calculateur!AQ55*Calculateur!AS55*VLOOKUP('Données projet'!$B$10,Paramètres!$A$1:$I$89,3,0)*0.475*44/12</f>
        <v>12.025403277395199</v>
      </c>
      <c r="AW55" s="21">
        <f>EXP(-LN(2)/2)*AW54+(1-EXP(-LN(2)/2))/(LN(2)/2)*AQ55*AT55*VLOOKUP('Données projet'!$B$10,Paramètres!$A$1:$I$89,3,0)*0.475*44/12</f>
        <v>0.83498435485069755</v>
      </c>
      <c r="AX55" s="21">
        <f t="shared" si="6"/>
        <v>51.890784282178252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119.99995828001613</v>
      </c>
      <c r="BJ55" s="59">
        <f t="shared" si="38"/>
        <v>317.56542444086261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32.888021647734533</v>
      </c>
      <c r="BQ55" s="21">
        <f>EXP(-LN(2)/25)*BQ54+(1-EXP(-LN(2)/25))/(LN(2)/25)*Calculateur!BL55*Calculateur!BN55*VLOOKUP('Données projet'!$B$11,Paramètres!$A$1:$I$89,3,0)*0.475*44/12</f>
        <v>5.4478688086823297</v>
      </c>
      <c r="BR55" s="21">
        <f>EXP(-LN(2)/2)*BR54+(1-EXP(-LN(2)/2))/(LN(2)/2)*BL55*BO55*VLOOKUP('Données projet'!$B$11,Paramètres!$A$1:$I$89,3,0)*0.475*44/12</f>
        <v>2.8829319753219737E-4</v>
      </c>
      <c r="BS55" s="22">
        <f t="shared" si="9"/>
        <v>38.336178749614398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12.837499999999991</v>
      </c>
      <c r="N56" s="13">
        <f>IF('Données projet'!$A$36&gt;35,N55+M56-V55,IF(A56&lt;'Données projet'!$A$36,$K$205^A56,IF(A56='Données projet'!$A$36,'Données projet'!$B$36,N55+M56-V55)))</f>
        <v>407.96442307692291</v>
      </c>
      <c r="O56" s="13">
        <f>N56*VLOOKUP('Données projet'!$B$9,Paramètres!$A$1:$I$89,3,0)*VLOOKUP('Données projet'!$B$9,Paramètres!$A$1:$I$89,5,0)</f>
        <v>243.96272499999992</v>
      </c>
      <c r="P56" s="13">
        <f t="shared" si="33"/>
        <v>59.291315745845196</v>
      </c>
      <c r="Q56" s="20">
        <f t="shared" si="53"/>
        <v>528.16745429901368</v>
      </c>
      <c r="R56" s="59">
        <f t="shared" si="0"/>
        <v>821.50078763234706</v>
      </c>
      <c r="S56" s="59">
        <f ca="1">AVERAGE(OFFSET($R$3,0,0,'Données projet'!$E$9+1,1))-AVERAGE(OFFSET($H$3,0,0,'Données projet'!$E$9+1,1))</f>
        <v>323.17232038705157</v>
      </c>
      <c r="T56" s="59">
        <f t="shared" si="34"/>
        <v>402.34685738619197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54.419073668006384</v>
      </c>
      <c r="AA56" s="21">
        <f>EXP(-LN(2)/25)*AA55+(1-EXP(-LN(2)/25))/(LN(2)/25)*Calculateur!V56*Calculateur!X56*VLOOKUP('Données projet'!$B$9,Paramètres!$A$1:$I$89,3,0)*0.475*44/12</f>
        <v>19.050156932184336</v>
      </c>
      <c r="AB56" s="21">
        <f>EXP(-LN(2)/2)*AB55+(1-EXP(-LN(2)/2))/(LN(2)/2)*V56*Y56*VLOOKUP('Données projet'!$B$9,Paramètres!$A$1:$I$89,3,0)*0.475*44/12</f>
        <v>1.4226766137157978</v>
      </c>
      <c r="AC56" s="22">
        <f t="shared" si="3"/>
        <v>74.891907213906507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13.793846153846165</v>
      </c>
      <c r="AI56" s="13">
        <f>IF('Données projet'!$A$62&gt;35,AI55+AH56-AQ55,IF(A56&lt;'Données projet'!$A$62,$AF$205^A56,IF(A56='Données projet'!$A$62,'Données projet'!$B$62,AI55+AH56-AQ55)))</f>
        <v>386.81846153846158</v>
      </c>
      <c r="AJ56" s="13">
        <f>AI56*VLOOKUP('Données projet'!$B$10,Paramètres!$A$1:$I$89,3,0)*VLOOKUP('Données projet'!$B$10,Paramètres!$A$1:$I$89,5,0)</f>
        <v>231.31744000000003</v>
      </c>
      <c r="AK56" s="13">
        <f t="shared" si="35"/>
        <v>56.567448098598192</v>
      </c>
      <c r="AL56" s="20">
        <f t="shared" si="4"/>
        <v>501.39951343839198</v>
      </c>
      <c r="AM56" s="59">
        <f t="shared" si="5"/>
        <v>794.73284677172524</v>
      </c>
      <c r="AN56" s="59">
        <f ca="1">AVERAGE(OFFSET($AM$3,0,0,'Données projet'!$E$10+1,1))-AVERAGE(OFFSET($H$3,0,0,'Données projet'!$E$10+1,1))</f>
        <v>355.09162485318728</v>
      </c>
      <c r="AO56" s="59">
        <f t="shared" si="36"/>
        <v>320.06572891923685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38.265034377818473</v>
      </c>
      <c r="AV56" s="21">
        <f>EXP(-LN(2)/25)*AV55+(1-EXP(-LN(2)/25))/(LN(2)/25)*Calculateur!AQ56*Calculateur!AS56*VLOOKUP('Données projet'!$B$10,Paramètres!$A$1:$I$89,3,0)*0.475*44/12</f>
        <v>11.696567992386353</v>
      </c>
      <c r="AW56" s="21">
        <f>EXP(-LN(2)/2)*AW55+(1-EXP(-LN(2)/2))/(LN(2)/2)*AQ56*AT56*VLOOKUP('Données projet'!$B$10,Paramètres!$A$1:$I$89,3,0)*0.475*44/12</f>
        <v>0.59042309949960281</v>
      </c>
      <c r="AX56" s="21">
        <f t="shared" si="6"/>
        <v>50.552025469704432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119.99995828001613</v>
      </c>
      <c r="BJ56" s="59">
        <f t="shared" si="38"/>
        <v>317.56542444086261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32.243107602934934</v>
      </c>
      <c r="BQ56" s="21">
        <f>EXP(-LN(2)/25)*BQ55+(1-EXP(-LN(2)/25))/(LN(2)/25)*Calculateur!BL56*Calculateur!BN56*VLOOKUP('Données projet'!$B$11,Paramètres!$A$1:$I$89,3,0)*0.475*44/12</f>
        <v>5.2988965496179423</v>
      </c>
      <c r="BR56" s="21">
        <f>EXP(-LN(2)/2)*BR55+(1-EXP(-LN(2)/2))/(LN(2)/2)*BL56*BO56*VLOOKUP('Données projet'!$B$11,Paramètres!$A$1:$I$89,3,0)*0.475*44/12</f>
        <v>2.0385407494496961E-4</v>
      </c>
      <c r="BS56" s="22">
        <f t="shared" si="9"/>
        <v>37.542208006627824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12.837499999999991</v>
      </c>
      <c r="N57" s="13">
        <f>IF('Données projet'!$A$36&gt;35,N56+M57-V56,IF(A57&lt;'Données projet'!$A$36,$K$205^A57,IF(A57='Données projet'!$A$36,'Données projet'!$B$36,N56+M57-V56)))</f>
        <v>420.80192307692289</v>
      </c>
      <c r="O57" s="13">
        <f>N57*VLOOKUP('Données projet'!$B$9,Paramètres!$A$1:$I$89,3,0)*VLOOKUP('Données projet'!$B$9,Paramètres!$A$1:$I$89,5,0)</f>
        <v>251.63954999999993</v>
      </c>
      <c r="P57" s="13">
        <f t="shared" si="33"/>
        <v>60.936892129812684</v>
      </c>
      <c r="Q57" s="20">
        <f t="shared" si="53"/>
        <v>544.4039700427569</v>
      </c>
      <c r="R57" s="59">
        <f t="shared" si="0"/>
        <v>837.73730337609027</v>
      </c>
      <c r="S57" s="59">
        <f ca="1">AVERAGE(OFFSET($R$3,0,0,'Données projet'!$E$9+1,1))-AVERAGE(OFFSET($H$3,0,0,'Données projet'!$E$9+1,1))</f>
        <v>323.17232038705157</v>
      </c>
      <c r="T57" s="59">
        <f t="shared" si="34"/>
        <v>402.34685738619197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53.35194882573424</v>
      </c>
      <c r="AA57" s="21">
        <f>EXP(-LN(2)/25)*AA56+(1-EXP(-LN(2)/25))/(LN(2)/25)*Calculateur!V57*Calculateur!X57*VLOOKUP('Données projet'!$B$9,Paramètres!$A$1:$I$89,3,0)*0.475*44/12</f>
        <v>18.529229389069542</v>
      </c>
      <c r="AB57" s="21">
        <f>EXP(-LN(2)/2)*AB56+(1-EXP(-LN(2)/2))/(LN(2)/2)*V57*Y57*VLOOKUP('Données projet'!$B$9,Paramètres!$A$1:$I$89,3,0)*0.475*44/12</f>
        <v>1.005984280993955</v>
      </c>
      <c r="AC57" s="22">
        <f t="shared" si="3"/>
        <v>72.887162495797739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13.793846153846165</v>
      </c>
      <c r="AI57" s="13">
        <f>IF('Données projet'!$A$62&gt;35,AI56+AH57-AQ56,IF(A57&lt;'Données projet'!$A$62,$AF$205^A57,IF(A57='Données projet'!$A$62,'Données projet'!$B$62,AI56+AH57-AQ56)))</f>
        <v>400.61230769230775</v>
      </c>
      <c r="AJ57" s="13">
        <f>AI57*VLOOKUP('Données projet'!$B$10,Paramètres!$A$1:$I$89,3,0)*VLOOKUP('Données projet'!$B$10,Paramètres!$A$1:$I$89,5,0)</f>
        <v>239.56616000000005</v>
      </c>
      <c r="AK57" s="13">
        <f t="shared" si="35"/>
        <v>58.346177865957287</v>
      </c>
      <c r="AL57" s="20">
        <f t="shared" si="4"/>
        <v>518.86398844987571</v>
      </c>
      <c r="AM57" s="59">
        <f t="shared" si="5"/>
        <v>812.19732178320896</v>
      </c>
      <c r="AN57" s="59">
        <f ca="1">AVERAGE(OFFSET($AM$3,0,0,'Données projet'!$E$10+1,1))-AVERAGE(OFFSET($H$3,0,0,'Données projet'!$E$10+1,1))</f>
        <v>355.09162485318728</v>
      </c>
      <c r="AO57" s="59">
        <f t="shared" si="36"/>
        <v>320.06572891923685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37.514680393035853</v>
      </c>
      <c r="AV57" s="21">
        <f>EXP(-LN(2)/25)*AV56+(1-EXP(-LN(2)/25))/(LN(2)/25)*Calculateur!AQ57*Calculateur!AS57*VLOOKUP('Données projet'!$B$10,Paramètres!$A$1:$I$89,3,0)*0.475*44/12</f>
        <v>11.37672472553877</v>
      </c>
      <c r="AW57" s="21">
        <f>EXP(-LN(2)/2)*AW56+(1-EXP(-LN(2)/2))/(LN(2)/2)*AQ57*AT57*VLOOKUP('Données projet'!$B$10,Paramètres!$A$1:$I$89,3,0)*0.475*44/12</f>
        <v>0.41749217742534883</v>
      </c>
      <c r="AX57" s="21">
        <f t="shared" si="6"/>
        <v>49.308897295999977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119.99995828001613</v>
      </c>
      <c r="BJ57" s="59">
        <f t="shared" si="38"/>
        <v>317.56542444086261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31.610839929195127</v>
      </c>
      <c r="BQ57" s="21">
        <f>EXP(-LN(2)/25)*BQ56+(1-EXP(-LN(2)/25))/(LN(2)/25)*Calculateur!BL57*Calculateur!BN57*VLOOKUP('Données projet'!$B$11,Paramètres!$A$1:$I$89,3,0)*0.475*44/12</f>
        <v>5.1539979448117812</v>
      </c>
      <c r="BR57" s="21">
        <f>EXP(-LN(2)/2)*BR56+(1-EXP(-LN(2)/2))/(LN(2)/2)*BL57*BO57*VLOOKUP('Données projet'!$B$11,Paramètres!$A$1:$I$89,3,0)*0.475*44/12</f>
        <v>1.4414659876609869E-4</v>
      </c>
      <c r="BS57" s="22">
        <f t="shared" si="9"/>
        <v>36.764982020605672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12.837499999999991</v>
      </c>
      <c r="N58" s="13">
        <f>IF('Données projet'!$A$36&gt;35,N57+M58-V57,IF(A58&lt;'Données projet'!$A$36,$K$205^A58,IF(A58='Données projet'!$A$36,'Données projet'!$B$36,N57+M58-V57)))</f>
        <v>433.63942307692287</v>
      </c>
      <c r="O58" s="13">
        <f>N58*VLOOKUP('Données projet'!$B$9,Paramètres!$A$1:$I$89,3,0)*VLOOKUP('Données projet'!$B$9,Paramètres!$A$1:$I$89,5,0)</f>
        <v>259.31637499999988</v>
      </c>
      <c r="P58" s="13">
        <f t="shared" si="33"/>
        <v>62.576634410968637</v>
      </c>
      <c r="Q58" s="20">
        <f t="shared" si="53"/>
        <v>560.63032472410339</v>
      </c>
      <c r="R58" s="59">
        <f t="shared" si="0"/>
        <v>853.96365805743676</v>
      </c>
      <c r="S58" s="59">
        <f ca="1">AVERAGE(OFFSET($R$3,0,0,'Données projet'!$E$9+1,1))-AVERAGE(OFFSET($H$3,0,0,'Données projet'!$E$9+1,1))</f>
        <v>323.17232038705157</v>
      </c>
      <c r="T58" s="59">
        <f t="shared" si="34"/>
        <v>402.34685738619197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52.30574965073717</v>
      </c>
      <c r="AA58" s="21">
        <f>EXP(-LN(2)/25)*AA57+(1-EXP(-LN(2)/25))/(LN(2)/25)*Calculateur!V58*Calculateur!X58*VLOOKUP('Données projet'!$B$9,Paramètres!$A$1:$I$89,3,0)*0.475*44/12</f>
        <v>18.022546637015612</v>
      </c>
      <c r="AB58" s="21">
        <f>EXP(-LN(2)/2)*AB57+(1-EXP(-LN(2)/2))/(LN(2)/2)*V58*Y58*VLOOKUP('Données projet'!$B$9,Paramètres!$A$1:$I$89,3,0)*0.475*44/12</f>
        <v>0.71133830685789889</v>
      </c>
      <c r="AC58" s="22">
        <f t="shared" si="3"/>
        <v>71.039634594610675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13.793846153846165</v>
      </c>
      <c r="AI58" s="13">
        <f>IF('Données projet'!$A$62&gt;35,AI57+AH58-AQ57,IF(A58&lt;'Données projet'!$A$62,$AF$205^A58,IF(A58='Données projet'!$A$62,'Données projet'!$B$62,AI57+AH58-AQ57)))</f>
        <v>414.40615384615393</v>
      </c>
      <c r="AJ58" s="13">
        <f>AI58*VLOOKUP('Données projet'!$B$10,Paramètres!$A$1:$I$89,3,0)*VLOOKUP('Données projet'!$B$10,Paramètres!$A$1:$I$89,5,0)</f>
        <v>247.81488000000007</v>
      </c>
      <c r="AK58" s="13">
        <f t="shared" si="35"/>
        <v>60.117791489820576</v>
      </c>
      <c r="AL58" s="20">
        <f t="shared" si="4"/>
        <v>536.3160695114376</v>
      </c>
      <c r="AM58" s="59">
        <f t="shared" si="5"/>
        <v>829.64940284477098</v>
      </c>
      <c r="AN58" s="59">
        <f ca="1">AVERAGE(OFFSET($AM$3,0,0,'Données projet'!$E$10+1,1))-AVERAGE(OFFSET($H$3,0,0,'Données projet'!$E$10+1,1))</f>
        <v>355.09162485318728</v>
      </c>
      <c r="AO58" s="59">
        <f t="shared" si="36"/>
        <v>320.06572891923685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36.779040392224083</v>
      </c>
      <c r="AV58" s="21">
        <f>EXP(-LN(2)/25)*AV57+(1-EXP(-LN(2)/25))/(LN(2)/25)*Calculateur!AQ58*Calculateur!AS58*VLOOKUP('Données projet'!$B$10,Paramètres!$A$1:$I$89,3,0)*0.475*44/12</f>
        <v>11.065627589642961</v>
      </c>
      <c r="AW58" s="21">
        <f>EXP(-LN(2)/2)*AW57+(1-EXP(-LN(2)/2))/(LN(2)/2)*AQ58*AT58*VLOOKUP('Données projet'!$B$10,Paramètres!$A$1:$I$89,3,0)*0.475*44/12</f>
        <v>0.29521154974980141</v>
      </c>
      <c r="AX58" s="21">
        <f t="shared" si="6"/>
        <v>48.139879531616849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119.99995828001613</v>
      </c>
      <c r="BJ58" s="59">
        <f t="shared" si="38"/>
        <v>317.56542444086261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30.990970638892154</v>
      </c>
      <c r="BQ58" s="21">
        <f>EXP(-LN(2)/25)*BQ57+(1-EXP(-LN(2)/25))/(LN(2)/25)*Calculateur!BL58*Calculateur!BN58*VLOOKUP('Données projet'!$B$11,Paramètres!$A$1:$I$89,3,0)*0.475*44/12</f>
        <v>5.0130615999739305</v>
      </c>
      <c r="BR58" s="21">
        <f>EXP(-LN(2)/2)*BR57+(1-EXP(-LN(2)/2))/(LN(2)/2)*BL58*BO58*VLOOKUP('Données projet'!$B$11,Paramètres!$A$1:$I$89,3,0)*0.475*44/12</f>
        <v>1.0192703747248481E-4</v>
      </c>
      <c r="BS58" s="22">
        <f t="shared" si="9"/>
        <v>36.004134165903558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446.47692307692301</v>
      </c>
      <c r="L59" s="12">
        <f>VLOOKUP(A59,'Données projet'!$A$35:$I$55,9,0)</f>
        <v>12.837499999999991</v>
      </c>
      <c r="M59" s="12">
        <f t="array" ref="M59">INDEX(L:L,MIN(IF(ISNUMBER(L59:L255),ROW(L59:L255),"")))</f>
        <v>12.837499999999991</v>
      </c>
      <c r="N59" s="13">
        <f>IF('Données projet'!$A$36&gt;35,N58+M59-V58,IF(A59&lt;'Données projet'!$A$36,$K$205^A59,IF(A59='Données projet'!$A$36,'Données projet'!$B$36,N58+M59-V58)))</f>
        <v>446.47692307692284</v>
      </c>
      <c r="O59" s="13">
        <f>N59*VLOOKUP('Données projet'!$B$9,Paramètres!$A$1:$I$89,3,0)*VLOOKUP('Données projet'!$B$9,Paramètres!$A$1:$I$89,5,0)</f>
        <v>266.99319999999989</v>
      </c>
      <c r="P59" s="13">
        <f t="shared" si="33"/>
        <v>64.210735131625498</v>
      </c>
      <c r="Q59" s="20">
        <f t="shared" si="53"/>
        <v>576.84685368758085</v>
      </c>
      <c r="R59" s="59">
        <f t="shared" si="0"/>
        <v>870.18018702091422</v>
      </c>
      <c r="S59" s="59">
        <f ca="1">AVERAGE(OFFSET($R$3,0,0,'Données projet'!$E$9+1,1))-AVERAGE(OFFSET($H$3,0,0,'Données projet'!$E$9+1,1))</f>
        <v>323.17232038705157</v>
      </c>
      <c r="T59" s="59">
        <f t="shared" si="34"/>
        <v>402.34685738619197</v>
      </c>
      <c r="U59" s="15">
        <f>IF(ISNA(VLOOKUP(A59,'Données projet'!$A$35:$I$55,3,0)),0,VLOOKUP(A59,'Données projet'!$A$35:$I$55,3,0))</f>
        <v>7</v>
      </c>
      <c r="V59" s="15">
        <f>IF(ISNA(VLOOKUP(A59,'Données projet'!$A$35:$I$55,4,0)),0,VLOOKUP(A59,'Données projet'!$A$35:$I$55,4,0))</f>
        <v>446.47692307692301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7.5600000000000001E-2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162.84792782712228</v>
      </c>
      <c r="AA59" s="21">
        <f>EXP(-LN(2)/25)*AA58+(1-EXP(-LN(2)/25))/(LN(2)/25)*Calculateur!V59*Calculateur!X59*VLOOKUP('Données projet'!$B$9,Paramètres!$A$1:$I$89,3,0)*0.475*44/12</f>
        <v>44.200577593110729</v>
      </c>
      <c r="AB59" s="21">
        <f>EXP(-LN(2)/2)*AB58+(1-EXP(-LN(2)/2))/(LN(2)/2)*V59*Y59*VLOOKUP('Données projet'!$B$9,Paramètres!$A$1:$I$89,3,0)*0.475*44/12</f>
        <v>40.406370942809481</v>
      </c>
      <c r="AC59" s="22">
        <f t="shared" si="3"/>
        <v>247.45487636304247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428.20000000000005</v>
      </c>
      <c r="AG59" s="12">
        <f>VLOOKUP(A59,'Données projet'!$A$61:$I$81,9,0)</f>
        <v>13.793846153846165</v>
      </c>
      <c r="AH59" s="12">
        <f t="array" ref="AH59">INDEX(AG:AG,MIN(IF(ISNUMBER(AG59:AG255),ROW(AG59:AG255),"")))</f>
        <v>13.793846153846165</v>
      </c>
      <c r="AI59" s="13">
        <f>IF('Données projet'!$A$62&gt;35,AI58+AH59-AQ58,IF(A59&lt;'Données projet'!$A$62,$AF$205^A59,IF(A59='Données projet'!$A$62,'Données projet'!$B$62,AI58+AH59-AQ58)))</f>
        <v>428.2000000000001</v>
      </c>
      <c r="AJ59" s="13">
        <f>AI59*VLOOKUP('Données projet'!$B$10,Paramètres!$A$1:$I$89,3,0)*VLOOKUP('Données projet'!$B$10,Paramètres!$A$1:$I$89,5,0)</f>
        <v>256.06360000000012</v>
      </c>
      <c r="AK59" s="13">
        <f t="shared" si="35"/>
        <v>61.882552995500411</v>
      </c>
      <c r="AL59" s="20">
        <f t="shared" si="4"/>
        <v>553.75621646716343</v>
      </c>
      <c r="AM59" s="59">
        <f t="shared" si="5"/>
        <v>847.0895498004968</v>
      </c>
      <c r="AN59" s="59">
        <f ca="1">AVERAGE(OFFSET($AM$3,0,0,'Données projet'!$E$10+1,1))-AVERAGE(OFFSET($H$3,0,0,'Données projet'!$E$10+1,1))</f>
        <v>355.09162485318728</v>
      </c>
      <c r="AO59" s="59">
        <f t="shared" si="36"/>
        <v>320.06572891923685</v>
      </c>
      <c r="AP59" s="15">
        <f>IF(ISNA(VLOOKUP(A59,'Données projet'!$A$61:$I$81,3,0)),0,VLOOKUP(A59,'Données projet'!$A$61:$I$81,3,0))</f>
        <v>6</v>
      </c>
      <c r="AQ59" s="15">
        <f>IF(ISNA(VLOOKUP(A59,'Données projet'!$A$61:$I$81,4,0)),0,VLOOKUP(A59,'Données projet'!$A$61:$I$81,4,0))</f>
        <v>60.092307692307692</v>
      </c>
      <c r="AR59" s="16">
        <f>IF(ISNA(VLOOKUP(A59,'Données projet'!$A$61:$I$81,5,0)),0%,VLOOKUP(A59,'Données projet'!$A$61:$I$81,5,0)*VLOOKUP('Données projet'!$B$10,Paramètres!$A$1:$I$89,7,0))</f>
        <v>0.315</v>
      </c>
      <c r="AS59" s="16">
        <f>IF(ISNA(VLOOKUP(A59,'Données projet'!$A$61:$I$81,6,0)),0%,VLOOKUP(A59,'Données projet'!$A$61:$I$81,6,0)*VLOOKUP('Données projet'!$B$10,Paramètres!$A$1:$I$89,7,0))</f>
        <v>7.5600000000000001E-2</v>
      </c>
      <c r="AT59" s="16">
        <f>IF(ISNA(VLOOKUP(A59,'Données projet'!$A$61:$I$81,7,0)),0%,VLOOKUP(A59,'Données projet'!$A$61:$I$81,7,0))</f>
        <v>0.13200000000000001</v>
      </c>
      <c r="AU59" s="21">
        <f>EXP(-LN(2)/35)*AU58+(1-EXP(-LN(2)/35))/(LN(2)/35)*AQ59*AR59*VLOOKUP('Données projet'!$B$10,Paramètres!$A$1:$I$89,3,0)*0.475*44/12</f>
        <v>51.073988934152091</v>
      </c>
      <c r="AV59" s="21">
        <f>EXP(-LN(2)/25)*AV58+(1-EXP(-LN(2)/25))/(LN(2)/25)*Calculateur!AQ59*Calculateur!AS59*VLOOKUP('Données projet'!$B$10,Paramètres!$A$1:$I$89,3,0)*0.475*44/12</f>
        <v>14.352726717765847</v>
      </c>
      <c r="AW59" s="21">
        <f>EXP(-LN(2)/2)*AW58+(1-EXP(-LN(2)/2))/(LN(2)/2)*AQ59*AT59*VLOOKUP('Données projet'!$B$10,Paramètres!$A$1:$I$89,3,0)*0.475*44/12</f>
        <v>5.5794293043783174</v>
      </c>
      <c r="AX59" s="21">
        <f t="shared" si="6"/>
        <v>71.006144956296254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119.99995828001613</v>
      </c>
      <c r="BJ59" s="59">
        <f t="shared" si="38"/>
        <v>317.56542444086261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30.383256607289091</v>
      </c>
      <c r="BQ59" s="21">
        <f>EXP(-LN(2)/25)*BQ58+(1-EXP(-LN(2)/25))/(LN(2)/25)*Calculateur!BL59*Calculateur!BN59*VLOOKUP('Données projet'!$B$11,Paramètres!$A$1:$I$89,3,0)*0.475*44/12</f>
        <v>4.8759791668971912</v>
      </c>
      <c r="BR59" s="21">
        <f>EXP(-LN(2)/2)*BR58+(1-EXP(-LN(2)/2))/(LN(2)/2)*BL59*BO59*VLOOKUP('Données projet'!$B$11,Paramètres!$A$1:$I$89,3,0)*0.475*44/12</f>
        <v>7.2073299383049343E-5</v>
      </c>
      <c r="BS59" s="22">
        <f t="shared" si="9"/>
        <v>35.259307847485665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-1.7053025658242404E-13</v>
      </c>
      <c r="O60" s="13">
        <f>N60*VLOOKUP('Données projet'!$B$9,Paramètres!$A$1:$I$89,3,0)*VLOOKUP('Données projet'!$B$9,Paramètres!$A$1:$I$89,5,0)</f>
        <v>-1.0197709343628959E-13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323.17232038705157</v>
      </c>
      <c r="T60" s="59">
        <f t="shared" si="34"/>
        <v>402.34685738619197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159.65457928986061</v>
      </c>
      <c r="AA60" s="21">
        <f>EXP(-LN(2)/25)*AA59+(1-EXP(-LN(2)/25))/(LN(2)/25)*Calculateur!V60*Calculateur!X60*VLOOKUP('Données projet'!$B$9,Paramètres!$A$1:$I$89,3,0)*0.475*44/12</f>
        <v>42.991910474419761</v>
      </c>
      <c r="AB60" s="21">
        <f>EXP(-LN(2)/2)*AB59+(1-EXP(-LN(2)/2))/(LN(2)/2)*V60*Y60*VLOOKUP('Données projet'!$B$9,Paramètres!$A$1:$I$89,3,0)*0.475*44/12</f>
        <v>28.571618896799659</v>
      </c>
      <c r="AC60" s="22">
        <f t="shared" si="3"/>
        <v>231.21810866108004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12.05461538461538</v>
      </c>
      <c r="AI60" s="13">
        <f>IF('Données projet'!$A$62&gt;35,AI59+AH60-AQ59,IF(A60&lt;'Données projet'!$A$62,$AF$205^A60,IF(A60='Données projet'!$A$62,'Données projet'!$B$62,AI59+AH60-AQ59)))</f>
        <v>380.16230769230776</v>
      </c>
      <c r="AJ60" s="13">
        <f>AI60*VLOOKUP('Données projet'!$B$10,Paramètres!$A$1:$I$89,3,0)*VLOOKUP('Données projet'!$B$10,Paramètres!$A$1:$I$89,5,0)</f>
        <v>227.33706000000004</v>
      </c>
      <c r="AK60" s="13">
        <f t="shared" si="35"/>
        <v>55.70650197157245</v>
      </c>
      <c r="AL60" s="20">
        <f t="shared" si="4"/>
        <v>492.9675371004887</v>
      </c>
      <c r="AM60" s="59">
        <f t="shared" si="5"/>
        <v>786.30087043382196</v>
      </c>
      <c r="AN60" s="59">
        <f ca="1">AVERAGE(OFFSET($AM$3,0,0,'Données projet'!$E$10+1,1))-AVERAGE(OFFSET($H$3,0,0,'Données projet'!$E$10+1,1))</f>
        <v>355.09162485318728</v>
      </c>
      <c r="AO60" s="59">
        <f t="shared" si="36"/>
        <v>320.06572891923685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50.07245916321061</v>
      </c>
      <c r="AV60" s="21">
        <f>EXP(-LN(2)/25)*AV59+(1-EXP(-LN(2)/25))/(LN(2)/25)*Calculateur!AQ60*Calculateur!AS60*VLOOKUP('Données projet'!$B$10,Paramètres!$A$1:$I$89,3,0)*0.475*44/12</f>
        <v>13.960250650891446</v>
      </c>
      <c r="AW60" s="21">
        <f>EXP(-LN(2)/2)*AW59+(1-EXP(-LN(2)/2))/(LN(2)/2)*AQ60*AT60*VLOOKUP('Données projet'!$B$10,Paramètres!$A$1:$I$89,3,0)*0.475*44/12</f>
        <v>3.9452522962768501</v>
      </c>
      <c r="AX60" s="21">
        <f t="shared" si="6"/>
        <v>67.977962110378897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119.99995828001613</v>
      </c>
      <c r="BJ60" s="59">
        <f t="shared" si="38"/>
        <v>317.56542444086261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29.787459477176803</v>
      </c>
      <c r="BQ60" s="21">
        <f>EXP(-LN(2)/25)*BQ59+(1-EXP(-LN(2)/25))/(LN(2)/25)*Calculateur!BL60*Calculateur!BN60*VLOOKUP('Données projet'!$B$11,Paramètres!$A$1:$I$89,3,0)*0.475*44/12</f>
        <v>4.7426452601617877</v>
      </c>
      <c r="BR60" s="21">
        <f>EXP(-LN(2)/2)*BR59+(1-EXP(-LN(2)/2))/(LN(2)/2)*BL60*BO60*VLOOKUP('Données projet'!$B$11,Paramètres!$A$1:$I$89,3,0)*0.475*44/12</f>
        <v>5.0963518736242403E-5</v>
      </c>
      <c r="BS60" s="22">
        <f t="shared" si="9"/>
        <v>34.530155700857328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-1.7053025658242404E-13</v>
      </c>
      <c r="O61" s="13">
        <f>N61*VLOOKUP('Données projet'!$B$9,Paramètres!$A$1:$I$89,3,0)*VLOOKUP('Données projet'!$B$9,Paramètres!$A$1:$I$89,5,0)</f>
        <v>-1.0197709343628959E-13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323.17232038705157</v>
      </c>
      <c r="T61" s="59">
        <f t="shared" si="34"/>
        <v>402.34685738619197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156.52385036966436</v>
      </c>
      <c r="AA61" s="21">
        <f>EXP(-LN(2)/25)*AA60+(1-EXP(-LN(2)/25))/(LN(2)/25)*Calculateur!V61*Calculateur!X61*VLOOKUP('Données projet'!$B$9,Paramètres!$A$1:$I$89,3,0)*0.475*44/12</f>
        <v>41.81629442165044</v>
      </c>
      <c r="AB61" s="21">
        <f>EXP(-LN(2)/2)*AB60+(1-EXP(-LN(2)/2))/(LN(2)/2)*V61*Y61*VLOOKUP('Données projet'!$B$9,Paramètres!$A$1:$I$89,3,0)*0.475*44/12</f>
        <v>20.203185471404744</v>
      </c>
      <c r="AC61" s="22">
        <f t="shared" si="3"/>
        <v>218.54333026271954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12.05461538461538</v>
      </c>
      <c r="AI61" s="13">
        <f>IF('Données projet'!$A$62&gt;35,AI60+AH61-AQ60,IF(A61&lt;'Données projet'!$A$62,$AF$205^A61,IF(A61='Données projet'!$A$62,'Données projet'!$B$62,AI60+AH61-AQ60)))</f>
        <v>392.21692307692314</v>
      </c>
      <c r="AJ61" s="13">
        <f>AI61*VLOOKUP('Données projet'!$B$10,Paramètres!$A$1:$I$89,3,0)*VLOOKUP('Données projet'!$B$10,Paramètres!$A$1:$I$89,5,0)</f>
        <v>234.54572000000007</v>
      </c>
      <c r="AK61" s="13">
        <f t="shared" si="35"/>
        <v>57.264450118616011</v>
      </c>
      <c r="AL61" s="20">
        <f t="shared" si="4"/>
        <v>508.23604628992302</v>
      </c>
      <c r="AM61" s="59">
        <f t="shared" si="5"/>
        <v>801.56937962325628</v>
      </c>
      <c r="AN61" s="59">
        <f ca="1">AVERAGE(OFFSET($AM$3,0,0,'Données projet'!$E$10+1,1))-AVERAGE(OFFSET($H$3,0,0,'Données projet'!$E$10+1,1))</f>
        <v>355.09162485318728</v>
      </c>
      <c r="AO61" s="59">
        <f t="shared" si="36"/>
        <v>320.06572891923685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49.09056878020445</v>
      </c>
      <c r="AV61" s="21">
        <f>EXP(-LN(2)/25)*AV60+(1-EXP(-LN(2)/25))/(LN(2)/25)*Calculateur!AQ61*Calculateur!AS61*VLOOKUP('Données projet'!$B$10,Paramètres!$A$1:$I$89,3,0)*0.475*44/12</f>
        <v>13.578506862705144</v>
      </c>
      <c r="AW61" s="21">
        <f>EXP(-LN(2)/2)*AW60+(1-EXP(-LN(2)/2))/(LN(2)/2)*AQ61*AT61*VLOOKUP('Données projet'!$B$10,Paramètres!$A$1:$I$89,3,0)*0.475*44/12</f>
        <v>2.7897146521891591</v>
      </c>
      <c r="AX61" s="21">
        <f t="shared" si="6"/>
        <v>65.458790295098751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119.99995828001613</v>
      </c>
      <c r="BJ61" s="59">
        <f t="shared" si="38"/>
        <v>317.56542444086261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29.20334556538565</v>
      </c>
      <c r="BQ61" s="21">
        <f>EXP(-LN(2)/25)*BQ60+(1-EXP(-LN(2)/25))/(LN(2)/25)*Calculateur!BL61*Calculateur!BN61*VLOOKUP('Données projet'!$B$11,Paramètres!$A$1:$I$89,3,0)*0.475*44/12</f>
        <v>4.6129573761177891</v>
      </c>
      <c r="BR61" s="21">
        <f>EXP(-LN(2)/2)*BR60+(1-EXP(-LN(2)/2))/(LN(2)/2)*BL61*BO61*VLOOKUP('Données projet'!$B$11,Paramètres!$A$1:$I$89,3,0)*0.475*44/12</f>
        <v>3.6036649691524671E-5</v>
      </c>
      <c r="BS61" s="22">
        <f t="shared" si="9"/>
        <v>33.816338978153127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-1.7053025658242404E-13</v>
      </c>
      <c r="O62" s="13">
        <f>N62*VLOOKUP('Données projet'!$B$9,Paramètres!$A$1:$I$89,3,0)*VLOOKUP('Données projet'!$B$9,Paramètres!$A$1:$I$89,5,0)</f>
        <v>-1.0197709343628959E-13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323.17232038705157</v>
      </c>
      <c r="T62" s="59">
        <f t="shared" si="34"/>
        <v>402.34685738619197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153.45451313403709</v>
      </c>
      <c r="AA62" s="21">
        <f>EXP(-LN(2)/25)*AA61+(1-EXP(-LN(2)/25))/(LN(2)/25)*Calculateur!V62*Calculateur!X62*VLOOKUP('Données projet'!$B$9,Paramètres!$A$1:$I$89,3,0)*0.475*44/12</f>
        <v>40.672825651667054</v>
      </c>
      <c r="AB62" s="21">
        <f>EXP(-LN(2)/2)*AB61+(1-EXP(-LN(2)/2))/(LN(2)/2)*V62*Y62*VLOOKUP('Données projet'!$B$9,Paramètres!$A$1:$I$89,3,0)*0.475*44/12</f>
        <v>14.285809448399831</v>
      </c>
      <c r="AC62" s="22">
        <f t="shared" si="3"/>
        <v>208.41314823410397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12.05461538461538</v>
      </c>
      <c r="AI62" s="13">
        <f>IF('Données projet'!$A$62&gt;35,AI61+AH62-AQ61,IF(A62&lt;'Données projet'!$A$62,$AF$205^A62,IF(A62='Données projet'!$A$62,'Données projet'!$B$62,AI61+AH62-AQ61)))</f>
        <v>404.27153846153851</v>
      </c>
      <c r="AJ62" s="13">
        <f>AI62*VLOOKUP('Données projet'!$B$10,Paramètres!$A$1:$I$89,3,0)*VLOOKUP('Données projet'!$B$10,Paramètres!$A$1:$I$89,5,0)</f>
        <v>241.75438000000005</v>
      </c>
      <c r="AK62" s="13">
        <f t="shared" si="35"/>
        <v>58.816833733689712</v>
      </c>
      <c r="AL62" s="20">
        <f t="shared" si="4"/>
        <v>523.49486391950961</v>
      </c>
      <c r="AM62" s="59">
        <f t="shared" si="5"/>
        <v>816.82819725284298</v>
      </c>
      <c r="AN62" s="59">
        <f ca="1">AVERAGE(OFFSET($AM$3,0,0,'Données projet'!$E$10+1,1))-AVERAGE(OFFSET($H$3,0,0,'Données projet'!$E$10+1,1))</f>
        <v>355.09162485318728</v>
      </c>
      <c r="AO62" s="59">
        <f t="shared" si="36"/>
        <v>320.06572891923685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48.12793266871504</v>
      </c>
      <c r="AV62" s="21">
        <f>EXP(-LN(2)/25)*AV61+(1-EXP(-LN(2)/25))/(LN(2)/25)*Calculateur!AQ62*Calculateur!AS62*VLOOKUP('Données projet'!$B$10,Paramètres!$A$1:$I$89,3,0)*0.475*44/12</f>
        <v>13.207201878481829</v>
      </c>
      <c r="AW62" s="21">
        <f>EXP(-LN(2)/2)*AW61+(1-EXP(-LN(2)/2))/(LN(2)/2)*AQ62*AT62*VLOOKUP('Données projet'!$B$10,Paramètres!$A$1:$I$89,3,0)*0.475*44/12</f>
        <v>1.9726261481384255</v>
      </c>
      <c r="AX62" s="21">
        <f t="shared" si="6"/>
        <v>63.307760695335297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119.99995828001613</v>
      </c>
      <c r="BJ62" s="59">
        <f t="shared" si="38"/>
        <v>317.56542444086261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28.630685771130416</v>
      </c>
      <c r="BQ62" s="21">
        <f>EXP(-LN(2)/25)*BQ61+(1-EXP(-LN(2)/25))/(LN(2)/25)*Calculateur!BL62*Calculateur!BN62*VLOOKUP('Données projet'!$B$11,Paramètres!$A$1:$I$89,3,0)*0.475*44/12</f>
        <v>4.4868158140829628</v>
      </c>
      <c r="BR62" s="21">
        <f>EXP(-LN(2)/2)*BR61+(1-EXP(-LN(2)/2))/(LN(2)/2)*BL62*BO62*VLOOKUP('Données projet'!$B$11,Paramètres!$A$1:$I$89,3,0)*0.475*44/12</f>
        <v>2.5481759368121202E-5</v>
      </c>
      <c r="BS62" s="22">
        <f t="shared" si="9"/>
        <v>33.117527066972741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-1.7053025658242404E-13</v>
      </c>
      <c r="O63" s="13">
        <f>N63*VLOOKUP('Données projet'!$B$9,Paramètres!$A$1:$I$89,3,0)*VLOOKUP('Données projet'!$B$9,Paramètres!$A$1:$I$89,5,0)</f>
        <v>-1.0197709343628959E-13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323.17232038705157</v>
      </c>
      <c r="T63" s="59">
        <f t="shared" si="34"/>
        <v>402.34685738619197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150.4453637294896</v>
      </c>
      <c r="AA63" s="21">
        <f>EXP(-LN(2)/25)*AA62+(1-EXP(-LN(2)/25))/(LN(2)/25)*Calculateur!V63*Calculateur!X63*VLOOKUP('Données projet'!$B$9,Paramètres!$A$1:$I$89,3,0)*0.475*44/12</f>
        <v>39.560625095331275</v>
      </c>
      <c r="AB63" s="21">
        <f>EXP(-LN(2)/2)*AB62+(1-EXP(-LN(2)/2))/(LN(2)/2)*V63*Y63*VLOOKUP('Données projet'!$B$9,Paramètres!$A$1:$I$89,3,0)*0.475*44/12</f>
        <v>10.101592735702374</v>
      </c>
      <c r="AC63" s="22">
        <f t="shared" si="3"/>
        <v>200.10758156052324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12.05461538461538</v>
      </c>
      <c r="AI63" s="13">
        <f>IF('Données projet'!$A$62&gt;35,AI62+AH63-AQ62,IF(A63&lt;'Données projet'!$A$62,$AF$205^A63,IF(A63='Données projet'!$A$62,'Données projet'!$B$62,AI62+AH63-AQ62)))</f>
        <v>416.32615384615389</v>
      </c>
      <c r="AJ63" s="13">
        <f>AI63*VLOOKUP('Données projet'!$B$10,Paramètres!$A$1:$I$89,3,0)*VLOOKUP('Données projet'!$B$10,Paramètres!$A$1:$I$89,5,0)</f>
        <v>248.96304000000006</v>
      </c>
      <c r="AK63" s="13">
        <f t="shared" si="35"/>
        <v>60.363837788674616</v>
      </c>
      <c r="AL63" s="20">
        <f t="shared" si="4"/>
        <v>538.7443121486084</v>
      </c>
      <c r="AM63" s="59">
        <f t="shared" si="5"/>
        <v>832.07764548194177</v>
      </c>
      <c r="AN63" s="59">
        <f ca="1">AVERAGE(OFFSET($AM$3,0,0,'Données projet'!$E$10+1,1))-AVERAGE(OFFSET($H$3,0,0,'Données projet'!$E$10+1,1))</f>
        <v>355.09162485318728</v>
      </c>
      <c r="AO63" s="59">
        <f t="shared" si="36"/>
        <v>320.06572891923685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47.18417326422189</v>
      </c>
      <c r="AV63" s="21">
        <f>EXP(-LN(2)/25)*AV62+(1-EXP(-LN(2)/25))/(LN(2)/25)*Calculateur!AQ63*Calculateur!AS63*VLOOKUP('Données projet'!$B$10,Paramètres!$A$1:$I$89,3,0)*0.475*44/12</f>
        <v>12.846050248578182</v>
      </c>
      <c r="AW63" s="21">
        <f>EXP(-LN(2)/2)*AW62+(1-EXP(-LN(2)/2))/(LN(2)/2)*AQ63*AT63*VLOOKUP('Données projet'!$B$10,Paramètres!$A$1:$I$89,3,0)*0.475*44/12</f>
        <v>1.3948573260945798</v>
      </c>
      <c r="AX63" s="21">
        <f t="shared" si="6"/>
        <v>61.425080838894651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119.99995828001613</v>
      </c>
      <c r="BJ63" s="59">
        <f t="shared" si="38"/>
        <v>317.56542444086261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28.069255486152542</v>
      </c>
      <c r="BQ63" s="21">
        <f>EXP(-LN(2)/25)*BQ62+(1-EXP(-LN(2)/25))/(LN(2)/25)*Calculateur!BL63*Calculateur!BN63*VLOOKUP('Données projet'!$B$11,Paramètres!$A$1:$I$89,3,0)*0.475*44/12</f>
        <v>4.3641235996954757</v>
      </c>
      <c r="BR63" s="21">
        <f>EXP(-LN(2)/2)*BR62+(1-EXP(-LN(2)/2))/(LN(2)/2)*BL63*BO63*VLOOKUP('Données projet'!$B$11,Paramètres!$A$1:$I$89,3,0)*0.475*44/12</f>
        <v>1.8018324845762336E-5</v>
      </c>
      <c r="BS63" s="22">
        <f t="shared" si="9"/>
        <v>32.433397104172862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-1.7053025658242404E-13</v>
      </c>
      <c r="O64" s="13">
        <f>N64*VLOOKUP('Données projet'!$B$9,Paramètres!$A$1:$I$89,3,0)*VLOOKUP('Données projet'!$B$9,Paramètres!$A$1:$I$89,5,0)</f>
        <v>-1.0197709343628959E-13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323.17232038705157</v>
      </c>
      <c r="T64" s="59">
        <f t="shared" si="34"/>
        <v>402.34685738619197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147.49522190936537</v>
      </c>
      <c r="AA64" s="21">
        <f>EXP(-LN(2)/25)*AA63+(1-EXP(-LN(2)/25))/(LN(2)/25)*Calculateur!V64*Calculateur!X64*VLOOKUP('Données projet'!$B$9,Paramètres!$A$1:$I$89,3,0)*0.475*44/12</f>
        <v>38.478837721696586</v>
      </c>
      <c r="AB64" s="21">
        <f>EXP(-LN(2)/2)*AB63+(1-EXP(-LN(2)/2))/(LN(2)/2)*V64*Y64*VLOOKUP('Données projet'!$B$9,Paramètres!$A$1:$I$89,3,0)*0.475*44/12</f>
        <v>7.1429047241999166</v>
      </c>
      <c r="AC64" s="22">
        <f t="shared" si="3"/>
        <v>193.11696435526187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12.05461538461538</v>
      </c>
      <c r="AI64" s="13">
        <f>IF('Données projet'!$A$62&gt;35,AI63+AH64-AQ63,IF(A64&lt;'Données projet'!$A$62,$AF$205^A64,IF(A64='Données projet'!$A$62,'Données projet'!$B$62,AI63+AH64-AQ63)))</f>
        <v>428.38076923076926</v>
      </c>
      <c r="AJ64" s="13">
        <f>AI64*VLOOKUP('Données projet'!$B$10,Paramètres!$A$1:$I$89,3,0)*VLOOKUP('Données projet'!$B$10,Paramètres!$A$1:$I$89,5,0)</f>
        <v>256.17170000000004</v>
      </c>
      <c r="AK64" s="13">
        <f t="shared" si="35"/>
        <v>61.90563593470165</v>
      </c>
      <c r="AL64" s="20">
        <f t="shared" si="4"/>
        <v>553.98469341960538</v>
      </c>
      <c r="AM64" s="59">
        <f t="shared" si="5"/>
        <v>847.31802675293875</v>
      </c>
      <c r="AN64" s="59">
        <f ca="1">AVERAGE(OFFSET($AM$3,0,0,'Données projet'!$E$10+1,1))-AVERAGE(OFFSET($H$3,0,0,'Données projet'!$E$10+1,1))</f>
        <v>355.09162485318728</v>
      </c>
      <c r="AO64" s="59">
        <f t="shared" si="36"/>
        <v>320.06572891923685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46.258920406014447</v>
      </c>
      <c r="AV64" s="21">
        <f>EXP(-LN(2)/25)*AV63+(1-EXP(-LN(2)/25))/(LN(2)/25)*Calculateur!AQ64*Calculateur!AS64*VLOOKUP('Données projet'!$B$10,Paramètres!$A$1:$I$89,3,0)*0.475*44/12</f>
        <v>12.49477432898639</v>
      </c>
      <c r="AW64" s="21">
        <f>EXP(-LN(2)/2)*AW63+(1-EXP(-LN(2)/2))/(LN(2)/2)*AQ64*AT64*VLOOKUP('Données projet'!$B$10,Paramètres!$A$1:$I$89,3,0)*0.475*44/12</f>
        <v>0.98631307406921287</v>
      </c>
      <c r="AX64" s="21">
        <f t="shared" si="6"/>
        <v>59.74000780907005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119.99995828001613</v>
      </c>
      <c r="BJ64" s="59">
        <f t="shared" si="38"/>
        <v>317.56542444086261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27.518834506624422</v>
      </c>
      <c r="BQ64" s="21">
        <f>EXP(-LN(2)/25)*BQ63+(1-EXP(-LN(2)/25))/(LN(2)/25)*Calculateur!BL64*Calculateur!BN64*VLOOKUP('Données projet'!$B$11,Paramètres!$A$1:$I$89,3,0)*0.475*44/12</f>
        <v>4.2447864103625168</v>
      </c>
      <c r="BR64" s="21">
        <f>EXP(-LN(2)/2)*BR63+(1-EXP(-LN(2)/2))/(LN(2)/2)*BL64*BO64*VLOOKUP('Données projet'!$B$11,Paramètres!$A$1:$I$89,3,0)*0.475*44/12</f>
        <v>1.2740879684060601E-5</v>
      </c>
      <c r="BS64" s="22">
        <f t="shared" si="9"/>
        <v>31.76363365786662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-1.7053025658242404E-13</v>
      </c>
      <c r="O65" s="13">
        <f>N65*VLOOKUP('Données projet'!$B$9,Paramètres!$A$1:$I$89,3,0)*VLOOKUP('Données projet'!$B$9,Paramètres!$A$1:$I$89,5,0)</f>
        <v>-1.0197709343628959E-13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323.17232038705157</v>
      </c>
      <c r="T65" s="59">
        <f t="shared" si="34"/>
        <v>402.34685738619197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144.60293057092494</v>
      </c>
      <c r="AA65" s="21">
        <f>EXP(-LN(2)/25)*AA64+(1-EXP(-LN(2)/25))/(LN(2)/25)*Calculateur!V65*Calculateur!X65*VLOOKUP('Données projet'!$B$9,Paramètres!$A$1:$I$89,3,0)*0.475*44/12</f>
        <v>37.426631880682663</v>
      </c>
      <c r="AB65" s="21">
        <f>EXP(-LN(2)/2)*AB64+(1-EXP(-LN(2)/2))/(LN(2)/2)*V65*Y65*VLOOKUP('Données projet'!$B$9,Paramètres!$A$1:$I$89,3,0)*0.475*44/12</f>
        <v>5.0507963678511878</v>
      </c>
      <c r="AC65" s="22">
        <f t="shared" si="3"/>
        <v>187.08035881945878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12.05461538461538</v>
      </c>
      <c r="AI65" s="13">
        <f>IF('Données projet'!$A$62&gt;35,AI64+AH65-AQ64,IF(A65&lt;'Données projet'!$A$62,$AF$205^A65,IF(A65='Données projet'!$A$62,'Données projet'!$B$62,AI64+AH65-AQ64)))</f>
        <v>440.43538461538463</v>
      </c>
      <c r="AJ65" s="13">
        <f>AI65*VLOOKUP('Données projet'!$B$10,Paramètres!$A$1:$I$89,3,0)*VLOOKUP('Données projet'!$B$10,Paramètres!$A$1:$I$89,5,0)</f>
        <v>263.38036</v>
      </c>
      <c r="AK65" s="13">
        <f t="shared" si="35"/>
        <v>63.442391493835359</v>
      </c>
      <c r="AL65" s="20">
        <f t="shared" si="4"/>
        <v>569.21629218509656</v>
      </c>
      <c r="AM65" s="59">
        <f t="shared" si="5"/>
        <v>862.54962551842982</v>
      </c>
      <c r="AN65" s="59">
        <f ca="1">AVERAGE(OFFSET($AM$3,0,0,'Données projet'!$E$10+1,1))-AVERAGE(OFFSET($H$3,0,0,'Données projet'!$E$10+1,1))</f>
        <v>355.09162485318728</v>
      </c>
      <c r="AO65" s="59">
        <f t="shared" si="36"/>
        <v>320.06572891923685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45.351811192007936</v>
      </c>
      <c r="AV65" s="21">
        <f>EXP(-LN(2)/25)*AV64+(1-EXP(-LN(2)/25))/(LN(2)/25)*Calculateur!AQ65*Calculateur!AS65*VLOOKUP('Données projet'!$B$10,Paramètres!$A$1:$I$89,3,0)*0.475*44/12</f>
        <v>12.153104067888632</v>
      </c>
      <c r="AW65" s="21">
        <f>EXP(-LN(2)/2)*AW64+(1-EXP(-LN(2)/2))/(LN(2)/2)*AQ65*AT65*VLOOKUP('Données projet'!$B$10,Paramètres!$A$1:$I$89,3,0)*0.475*44/12</f>
        <v>0.69742866304729001</v>
      </c>
      <c r="AX65" s="21">
        <f t="shared" si="6"/>
        <v>58.202343922943861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119.99995828001613</v>
      </c>
      <c r="BJ65" s="59">
        <f t="shared" si="38"/>
        <v>317.56542444086261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26.979206946781201</v>
      </c>
      <c r="BQ65" s="21">
        <f>EXP(-LN(2)/25)*BQ64+(1-EXP(-LN(2)/25))/(LN(2)/25)*Calculateur!BL65*Calculateur!BN65*VLOOKUP('Données projet'!$B$11,Paramètres!$A$1:$I$89,3,0)*0.475*44/12</f>
        <v>4.128712502747538</v>
      </c>
      <c r="BR65" s="21">
        <f>EXP(-LN(2)/2)*BR64+(1-EXP(-LN(2)/2))/(LN(2)/2)*BL65*BO65*VLOOKUP('Données projet'!$B$11,Paramètres!$A$1:$I$89,3,0)*0.475*44/12</f>
        <v>9.0091624228811679E-6</v>
      </c>
      <c r="BS65" s="22">
        <f t="shared" si="9"/>
        <v>31.107928458691159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-1.7053025658242404E-13</v>
      </c>
      <c r="O66" s="13">
        <f>N66*VLOOKUP('Données projet'!$B$9,Paramètres!$A$1:$I$89,3,0)*VLOOKUP('Données projet'!$B$9,Paramètres!$A$1:$I$89,5,0)</f>
        <v>-1.0197709343628959E-13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323.17232038705157</v>
      </c>
      <c r="T66" s="59">
        <f t="shared" si="34"/>
        <v>402.34685738619197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141.76735530150782</v>
      </c>
      <c r="AA66" s="21">
        <f>EXP(-LN(2)/25)*AA65+(1-EXP(-LN(2)/25))/(LN(2)/25)*Calculateur!V66*Calculateur!X66*VLOOKUP('Données projet'!$B$9,Paramètres!$A$1:$I$89,3,0)*0.475*44/12</f>
        <v>36.403198663724368</v>
      </c>
      <c r="AB66" s="21">
        <f>EXP(-LN(2)/2)*AB65+(1-EXP(-LN(2)/2))/(LN(2)/2)*V66*Y66*VLOOKUP('Données projet'!$B$9,Paramètres!$A$1:$I$89,3,0)*0.475*44/12</f>
        <v>3.5714523620999592</v>
      </c>
      <c r="AC66" s="22">
        <f t="shared" si="3"/>
        <v>181.74200632733215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12.05461538461538</v>
      </c>
      <c r="AI66" s="13">
        <f>IF('Données projet'!$A$62&gt;35,AI65+AH66-AQ65,IF(A66&lt;'Données projet'!$A$62,$AF$205^A66,IF(A66='Données projet'!$A$62,'Données projet'!$B$62,AI65+AH66-AQ65)))</f>
        <v>452.49</v>
      </c>
      <c r="AJ66" s="13">
        <f>AI66*VLOOKUP('Données projet'!$B$10,Paramètres!$A$1:$I$89,3,0)*VLOOKUP('Données projet'!$B$10,Paramètres!$A$1:$I$89,5,0)</f>
        <v>270.58902000000006</v>
      </c>
      <c r="AK66" s="13">
        <f t="shared" si="35"/>
        <v>64.974258339135972</v>
      </c>
      <c r="AL66" s="20">
        <f t="shared" si="4"/>
        <v>584.43937644066193</v>
      </c>
      <c r="AM66" s="59">
        <f t="shared" si="5"/>
        <v>877.7727097739953</v>
      </c>
      <c r="AN66" s="59">
        <f ca="1">AVERAGE(OFFSET($AM$3,0,0,'Données projet'!$E$10+1,1))-AVERAGE(OFFSET($H$3,0,0,'Données projet'!$E$10+1,1))</f>
        <v>355.09162485318728</v>
      </c>
      <c r="AO66" s="59">
        <f t="shared" si="36"/>
        <v>320.06572891923685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44.462489836406107</v>
      </c>
      <c r="AV66" s="21">
        <f>EXP(-LN(2)/25)*AV65+(1-EXP(-LN(2)/25))/(LN(2)/25)*Calculateur!AQ66*Calculateur!AS66*VLOOKUP('Données projet'!$B$10,Paramètres!$A$1:$I$89,3,0)*0.475*44/12</f>
        <v>11.820776798048252</v>
      </c>
      <c r="AW66" s="21">
        <f>EXP(-LN(2)/2)*AW65+(1-EXP(-LN(2)/2))/(LN(2)/2)*AQ66*AT66*VLOOKUP('Données projet'!$B$10,Paramètres!$A$1:$I$89,3,0)*0.475*44/12</f>
        <v>0.49315653703460649</v>
      </c>
      <c r="AX66" s="21">
        <f t="shared" si="6"/>
        <v>56.776423171488965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119.99995828001613</v>
      </c>
      <c r="BJ66" s="59">
        <f t="shared" si="38"/>
        <v>317.56542444086261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26.450161154246196</v>
      </c>
      <c r="BQ66" s="21">
        <f>EXP(-LN(2)/25)*BQ65+(1-EXP(-LN(2)/25))/(LN(2)/25)*Calculateur!BL66*Calculateur!BN66*VLOOKUP('Données projet'!$B$11,Paramètres!$A$1:$I$89,3,0)*0.475*44/12</f>
        <v>4.0158126422403519</v>
      </c>
      <c r="BR66" s="21">
        <f>EXP(-LN(2)/2)*BR65+(1-EXP(-LN(2)/2))/(LN(2)/2)*BL66*BO66*VLOOKUP('Données projet'!$B$11,Paramètres!$A$1:$I$89,3,0)*0.475*44/12</f>
        <v>6.3704398420303004E-6</v>
      </c>
      <c r="BS66" s="22">
        <f t="shared" si="9"/>
        <v>30.465980166926389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-1.7053025658242404E-13</v>
      </c>
      <c r="O67" s="13">
        <f>N67*VLOOKUP('Données projet'!$B$9,Paramètres!$A$1:$I$89,3,0)*VLOOKUP('Données projet'!$B$9,Paramètres!$A$1:$I$89,5,0)</f>
        <v>-1.0197709343628959E-13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323.17232038705157</v>
      </c>
      <c r="T67" s="59">
        <f t="shared" si="34"/>
        <v>402.34685738619197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138.98738393359383</v>
      </c>
      <c r="AA67" s="21">
        <f>EXP(-LN(2)/25)*AA66+(1-EXP(-LN(2)/25))/(LN(2)/25)*Calculateur!V67*Calculateur!X67*VLOOKUP('Données projet'!$B$9,Paramètres!$A$1:$I$89,3,0)*0.475*44/12</f>
        <v>35.407751281903806</v>
      </c>
      <c r="AB67" s="21">
        <f>EXP(-LN(2)/2)*AB66+(1-EXP(-LN(2)/2))/(LN(2)/2)*V67*Y67*VLOOKUP('Données projet'!$B$9,Paramètres!$A$1:$I$89,3,0)*0.475*44/12</f>
        <v>2.5253981839255943</v>
      </c>
      <c r="AC67" s="22">
        <f t="shared" si="3"/>
        <v>176.92053339942325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12.05461538461538</v>
      </c>
      <c r="AI67" s="13">
        <f>IF('Données projet'!$A$62&gt;35,AI66+AH67-AQ66,IF(A67&lt;'Données projet'!$A$62,$AF$205^A67,IF(A67='Données projet'!$A$62,'Données projet'!$B$62,AI66+AH67-AQ66)))</f>
        <v>464.54461538461538</v>
      </c>
      <c r="AJ67" s="13">
        <f>AI67*VLOOKUP('Données projet'!$B$10,Paramètres!$A$1:$I$89,3,0)*VLOOKUP('Données projet'!$B$10,Paramètres!$A$1:$I$89,5,0)</f>
        <v>277.79768000000001</v>
      </c>
      <c r="AK67" s="13">
        <f t="shared" si="35"/>
        <v>66.501381678302167</v>
      </c>
      <c r="AL67" s="20">
        <f t="shared" si="4"/>
        <v>599.65419908970955</v>
      </c>
      <c r="AM67" s="59">
        <f t="shared" si="5"/>
        <v>892.98753242304292</v>
      </c>
      <c r="AN67" s="59">
        <f ca="1">AVERAGE(OFFSET($AM$3,0,0,'Données projet'!$E$10+1,1))-AVERAGE(OFFSET($H$3,0,0,'Données projet'!$E$10+1,1))</f>
        <v>355.09162485318728</v>
      </c>
      <c r="AO67" s="59">
        <f t="shared" si="36"/>
        <v>320.06572891923685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43.590607530155161</v>
      </c>
      <c r="AV67" s="21">
        <f>EXP(-LN(2)/25)*AV66+(1-EXP(-LN(2)/25))/(LN(2)/25)*Calculateur!AQ67*Calculateur!AS67*VLOOKUP('Données projet'!$B$10,Paramètres!$A$1:$I$89,3,0)*0.475*44/12</f>
        <v>11.497537034877988</v>
      </c>
      <c r="AW67" s="21">
        <f>EXP(-LN(2)/2)*AW66+(1-EXP(-LN(2)/2))/(LN(2)/2)*AQ67*AT67*VLOOKUP('Données projet'!$B$10,Paramètres!$A$1:$I$89,3,0)*0.475*44/12</f>
        <v>0.34871433152364506</v>
      </c>
      <c r="AX67" s="21">
        <f t="shared" si="6"/>
        <v>55.436858896556792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119.99995828001613</v>
      </c>
      <c r="BJ67" s="59">
        <f t="shared" si="38"/>
        <v>317.56542444086261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25.931489627016731</v>
      </c>
      <c r="BQ67" s="21">
        <f>EXP(-LN(2)/25)*BQ66+(1-EXP(-LN(2)/25))/(LN(2)/25)*Calculateur!BL67*Calculateur!BN67*VLOOKUP('Données projet'!$B$11,Paramètres!$A$1:$I$89,3,0)*0.475*44/12</f>
        <v>3.9060000343558809</v>
      </c>
      <c r="BR67" s="21">
        <f>EXP(-LN(2)/2)*BR66+(1-EXP(-LN(2)/2))/(LN(2)/2)*BL67*BO67*VLOOKUP('Données projet'!$B$11,Paramètres!$A$1:$I$89,3,0)*0.475*44/12</f>
        <v>4.5045812114405839E-6</v>
      </c>
      <c r="BS67" s="22">
        <f t="shared" si="9"/>
        <v>29.837494165953824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-1.7053025658242404E-13</v>
      </c>
      <c r="O68" s="13">
        <f>N68*VLOOKUP('Données projet'!$B$9,Paramètres!$A$1:$I$89,3,0)*VLOOKUP('Données projet'!$B$9,Paramètres!$A$1:$I$89,5,0)</f>
        <v>-1.0197709343628959E-13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323.17232038705157</v>
      </c>
      <c r="T68" s="59">
        <f t="shared" si="34"/>
        <v>402.34685738619197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136.26192610858953</v>
      </c>
      <c r="AA68" s="21">
        <f>EXP(-LN(2)/25)*AA67+(1-EXP(-LN(2)/25))/(LN(2)/25)*Calculateur!V68*Calculateur!X68*VLOOKUP('Données projet'!$B$9,Paramètres!$A$1:$I$89,3,0)*0.475*44/12</f>
        <v>34.43952446108743</v>
      </c>
      <c r="AB68" s="21">
        <f>EXP(-LN(2)/2)*AB67+(1-EXP(-LN(2)/2))/(LN(2)/2)*V68*Y68*VLOOKUP('Données projet'!$B$9,Paramètres!$A$1:$I$89,3,0)*0.475*44/12</f>
        <v>1.7857261810499798</v>
      </c>
      <c r="AC68" s="22">
        <f t="shared" ref="AC68:AC131" si="57">SUM(Z68:AB68)</f>
        <v>172.48717675072695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12.05461538461538</v>
      </c>
      <c r="AI68" s="13">
        <f>IF('Données projet'!$A$62&gt;35,AI67+AH68-AQ67,IF(A68&lt;'Données projet'!$A$62,$AF$205^A68,IF(A68='Données projet'!$A$62,'Données projet'!$B$62,AI67+AH68-AQ67)))</f>
        <v>476.59923076923076</v>
      </c>
      <c r="AJ68" s="13">
        <f>AI68*VLOOKUP('Données projet'!$B$10,Paramètres!$A$1:$I$89,3,0)*VLOOKUP('Données projet'!$B$10,Paramètres!$A$1:$I$89,5,0)</f>
        <v>285.00634000000002</v>
      </c>
      <c r="AK68" s="13">
        <f t="shared" si="35"/>
        <v>68.023898753685756</v>
      </c>
      <c r="AL68" s="20">
        <f t="shared" ref="AL68:AL131" si="58">(AJ68+AK68)*0.475*44/12</f>
        <v>614.86099916266949</v>
      </c>
      <c r="AM68" s="59">
        <f t="shared" ref="AM68:AM131" si="59">AL68+(AD68+AE68)*44/12</f>
        <v>908.19433249600274</v>
      </c>
      <c r="AN68" s="59">
        <f ca="1">AVERAGE(OFFSET($AM$3,0,0,'Données projet'!$E$10+1,1))-AVERAGE(OFFSET($H$3,0,0,'Données projet'!$E$10+1,1))</f>
        <v>355.09162485318728</v>
      </c>
      <c r="AO68" s="59">
        <f t="shared" si="36"/>
        <v>320.06572891923685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42.735822304134096</v>
      </c>
      <c r="AV68" s="21">
        <f>EXP(-LN(2)/25)*AV67+(1-EXP(-LN(2)/25))/(LN(2)/25)*Calculateur!AQ68*Calculateur!AS68*VLOOKUP('Données projet'!$B$10,Paramètres!$A$1:$I$89,3,0)*0.475*44/12</f>
        <v>11.183136280030055</v>
      </c>
      <c r="AW68" s="21">
        <f>EXP(-LN(2)/2)*AW67+(1-EXP(-LN(2)/2))/(LN(2)/2)*AQ68*AT68*VLOOKUP('Données projet'!$B$10,Paramètres!$A$1:$I$89,3,0)*0.475*44/12</f>
        <v>0.2465782685173033</v>
      </c>
      <c r="AX68" s="21">
        <f t="shared" ref="AX68:AX131" si="60">SUM(AU68:AW68)</f>
        <v>54.165536852681456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119.99995828001613</v>
      </c>
      <c r="BJ68" s="59">
        <f t="shared" si="38"/>
        <v>317.56542444086261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25.422988932077843</v>
      </c>
      <c r="BQ68" s="21">
        <f>EXP(-LN(2)/25)*BQ67+(1-EXP(-LN(2)/25))/(LN(2)/25)*Calculateur!BL68*Calculateur!BN68*VLOOKUP('Données projet'!$B$11,Paramètres!$A$1:$I$89,3,0)*0.475*44/12</f>
        <v>3.7991902580088048</v>
      </c>
      <c r="BR68" s="21">
        <f>EXP(-LN(2)/2)*BR67+(1-EXP(-LN(2)/2))/(LN(2)/2)*BL68*BO68*VLOOKUP('Données projet'!$B$11,Paramètres!$A$1:$I$89,3,0)*0.475*44/12</f>
        <v>3.1852199210151502E-6</v>
      </c>
      <c r="BS68" s="22">
        <f t="shared" ref="BS68:BS131" si="63">SUM(BP68:BR68)</f>
        <v>29.22218237530657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-1.7053025658242404E-13</v>
      </c>
      <c r="O69" s="13">
        <f>N69*VLOOKUP('Données projet'!$B$9,Paramètres!$A$1:$I$89,3,0)*VLOOKUP('Données projet'!$B$9,Paramètres!$A$1:$I$89,5,0)</f>
        <v>-1.0197709343628959E-13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323.17232038705157</v>
      </c>
      <c r="T69" s="59">
        <f t="shared" ref="T69:T132" si="88">$T$3</f>
        <v>402.34685738619197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133.58991284916843</v>
      </c>
      <c r="AA69" s="21">
        <f>EXP(-LN(2)/25)*AA68+(1-EXP(-LN(2)/25))/(LN(2)/25)*Calculateur!V69*Calculateur!X69*VLOOKUP('Données projet'!$B$9,Paramètres!$A$1:$I$89,3,0)*0.475*44/12</f>
        <v>33.497773853603114</v>
      </c>
      <c r="AB69" s="21">
        <f>EXP(-LN(2)/2)*AB68+(1-EXP(-LN(2)/2))/(LN(2)/2)*V69*Y69*VLOOKUP('Données projet'!$B$9,Paramètres!$A$1:$I$89,3,0)*0.475*44/12</f>
        <v>1.2626990919627974</v>
      </c>
      <c r="AC69" s="22">
        <f t="shared" si="57"/>
        <v>168.35038579473434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488.65384615384613</v>
      </c>
      <c r="AG69" s="12">
        <f>VLOOKUP(A69,'Données projet'!$A$61:$I$81,9,0)</f>
        <v>12.05461538461538</v>
      </c>
      <c r="AH69" s="12">
        <f t="array" ref="AH69">INDEX(AG:AG,MIN(IF(ISNUMBER(AG69:AG265),ROW(AG69:AG265),"")))</f>
        <v>12.05461538461538</v>
      </c>
      <c r="AI69" s="13">
        <f>IF('Données projet'!$A$62&gt;35,AI68+AH69-AQ68,IF(A69&lt;'Données projet'!$A$62,$AF$205^A69,IF(A69='Données projet'!$A$62,'Données projet'!$B$62,AI68+AH69-AQ68)))</f>
        <v>488.65384615384613</v>
      </c>
      <c r="AJ69" s="13">
        <f>AI69*VLOOKUP('Données projet'!$B$10,Paramètres!$A$1:$I$89,3,0)*VLOOKUP('Données projet'!$B$10,Paramètres!$A$1:$I$89,5,0)</f>
        <v>292.21500000000003</v>
      </c>
      <c r="AK69" s="13">
        <f t="shared" ref="AK69:AK132" si="89">EXP(-1.0587+0.8836*LN(AJ69)+0.284)</f>
        <v>69.541939469490984</v>
      </c>
      <c r="AL69" s="20">
        <f t="shared" si="58"/>
        <v>630.06000290936356</v>
      </c>
      <c r="AM69" s="59">
        <f t="shared" si="59"/>
        <v>923.39333624269693</v>
      </c>
      <c r="AN69" s="59">
        <f ca="1">AVERAGE(OFFSET($AM$3,0,0,'Données projet'!$E$10+1,1))-AVERAGE(OFFSET($H$3,0,0,'Données projet'!$E$10+1,1))</f>
        <v>355.09162485318728</v>
      </c>
      <c r="AO69" s="59">
        <f t="shared" ref="AO69:AO132" si="90">$AO$3</f>
        <v>320.06572891923685</v>
      </c>
      <c r="AP69" s="15">
        <f>IF(ISNA(VLOOKUP(A69,'Données projet'!$A$61:$I$81,3,0)),0,VLOOKUP(A69,'Données projet'!$A$61:$I$81,3,0))</f>
        <v>7</v>
      </c>
      <c r="AQ69" s="15">
        <f>IF(ISNA(VLOOKUP(A69,'Données projet'!$A$61:$I$81,4,0)),0,VLOOKUP(A69,'Données projet'!$A$61:$I$81,4,0))</f>
        <v>68.146153846153851</v>
      </c>
      <c r="AR69" s="16">
        <f>IF(ISNA(VLOOKUP(A69,'Données projet'!$A$61:$I$81,5,0)),0%,VLOOKUP(A69,'Données projet'!$A$61:$I$81,5,0)*VLOOKUP('Données projet'!$B$10,Paramètres!$A$1:$I$89,7,0))</f>
        <v>0.315</v>
      </c>
      <c r="AS69" s="16">
        <f>IF(ISNA(VLOOKUP(A69,'Données projet'!$A$61:$I$81,6,0)),0%,VLOOKUP(A69,'Données projet'!$A$61:$I$81,6,0)*VLOOKUP('Données projet'!$B$10,Paramètres!$A$1:$I$89,7,0))</f>
        <v>7.5600000000000001E-2</v>
      </c>
      <c r="AT69" s="16">
        <f>IF(ISNA(VLOOKUP(A69,'Données projet'!$A$61:$I$81,7,0)),0%,VLOOKUP(A69,'Données projet'!$A$61:$I$81,7,0))</f>
        <v>0.13200000000000001</v>
      </c>
      <c r="AU69" s="21">
        <f>EXP(-LN(2)/35)*AU68+(1-EXP(-LN(2)/35))/(LN(2)/35)*AQ69*AR69*VLOOKUP('Données projet'!$B$10,Paramètres!$A$1:$I$89,3,0)*0.475*44/12</f>
        <v>58.926496901088441</v>
      </c>
      <c r="AV69" s="21">
        <f>EXP(-LN(2)/25)*AV68+(1-EXP(-LN(2)/25))/(LN(2)/25)*Calculateur!AQ69*Calculateur!AS69*VLOOKUP('Données projet'!$B$10,Paramètres!$A$1:$I$89,3,0)*0.475*44/12</f>
        <v>14.948128718413415</v>
      </c>
      <c r="AW69" s="21">
        <f>EXP(-LN(2)/2)*AW68+(1-EXP(-LN(2)/2))/(LN(2)/2)*AQ69*AT69*VLOOKUP('Données projet'!$B$10,Paramètres!$A$1:$I$89,3,0)*0.475*44/12</f>
        <v>6.2648439306852666</v>
      </c>
      <c r="AX69" s="21">
        <f t="shared" si="60"/>
        <v>80.13946955018713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119.99995828001613</v>
      </c>
      <c r="BJ69" s="59">
        <f t="shared" ref="BJ69:BJ132" si="92">$BJ$3</f>
        <v>317.56542444086261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24.924459625611906</v>
      </c>
      <c r="BQ69" s="21">
        <f>EXP(-LN(2)/25)*BQ68+(1-EXP(-LN(2)/25))/(LN(2)/25)*Calculateur!BL69*Calculateur!BN69*VLOOKUP('Données projet'!$B$11,Paramètres!$A$1:$I$89,3,0)*0.475*44/12</f>
        <v>3.6953012006128216</v>
      </c>
      <c r="BR69" s="21">
        <f>EXP(-LN(2)/2)*BR68+(1-EXP(-LN(2)/2))/(LN(2)/2)*BL69*BO69*VLOOKUP('Données projet'!$B$11,Paramètres!$A$1:$I$89,3,0)*0.475*44/12</f>
        <v>2.252290605720292E-6</v>
      </c>
      <c r="BS69" s="22">
        <f t="shared" si="63"/>
        <v>28.619763078515334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-1.7053025658242404E-13</v>
      </c>
      <c r="O70" s="13">
        <f>N70*VLOOKUP('Données projet'!$B$9,Paramètres!$A$1:$I$89,3,0)*VLOOKUP('Données projet'!$B$9,Paramètres!$A$1:$I$89,5,0)</f>
        <v>-1.0197709343628959E-13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323.17232038705157</v>
      </c>
      <c r="T70" s="59">
        <f t="shared" si="88"/>
        <v>402.34685738619197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130.9702961399974</v>
      </c>
      <c r="AA70" s="21">
        <f>EXP(-LN(2)/25)*AA69+(1-EXP(-LN(2)/25))/(LN(2)/25)*Calculateur!V70*Calculateur!X70*VLOOKUP('Données projet'!$B$9,Paramètres!$A$1:$I$89,3,0)*0.475*44/12</f>
        <v>32.58177546600497</v>
      </c>
      <c r="AB70" s="21">
        <f>EXP(-LN(2)/2)*AB69+(1-EXP(-LN(2)/2))/(LN(2)/2)*V70*Y70*VLOOKUP('Données projet'!$B$9,Paramètres!$A$1:$I$89,3,0)*0.475*44/12</f>
        <v>0.89286309052499013</v>
      </c>
      <c r="AC70" s="22">
        <f t="shared" si="57"/>
        <v>164.44493469652735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9.9715384615384544</v>
      </c>
      <c r="AI70" s="13">
        <f>IF('Données projet'!$A$62&gt;35,AI69+AH70-AQ69,IF(A70&lt;'Données projet'!$A$62,$AF$205^A70,IF(A70='Données projet'!$A$62,'Données projet'!$B$62,AI69+AH70-AQ69)))</f>
        <v>430.47923076923075</v>
      </c>
      <c r="AJ70" s="13">
        <f>AI70*VLOOKUP('Données projet'!$B$10,Paramètres!$A$1:$I$89,3,0)*VLOOKUP('Données projet'!$B$10,Paramètres!$A$1:$I$89,5,0)</f>
        <v>257.42658</v>
      </c>
      <c r="AK70" s="13">
        <f t="shared" si="89"/>
        <v>62.173511644566837</v>
      </c>
      <c r="AL70" s="20">
        <f t="shared" si="58"/>
        <v>556.63682628095387</v>
      </c>
      <c r="AM70" s="59">
        <f t="shared" si="59"/>
        <v>849.97015961428724</v>
      </c>
      <c r="AN70" s="59">
        <f ca="1">AVERAGE(OFFSET($AM$3,0,0,'Données projet'!$E$10+1,1))-AVERAGE(OFFSET($H$3,0,0,'Données projet'!$E$10+1,1))</f>
        <v>355.09162485318728</v>
      </c>
      <c r="AO70" s="59">
        <f t="shared" si="90"/>
        <v>320.06572891923685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57.770984238472266</v>
      </c>
      <c r="AV70" s="21">
        <f>EXP(-LN(2)/25)*AV69+(1-EXP(-LN(2)/25))/(LN(2)/25)*Calculateur!AQ70*Calculateur!AS70*VLOOKUP('Données projet'!$B$10,Paramètres!$A$1:$I$89,3,0)*0.475*44/12</f>
        <v>14.539371352520474</v>
      </c>
      <c r="AW70" s="21">
        <f>EXP(-LN(2)/2)*AW69+(1-EXP(-LN(2)/2))/(LN(2)/2)*AQ70*AT70*VLOOKUP('Données projet'!$B$10,Paramètres!$A$1:$I$89,3,0)*0.475*44/12</f>
        <v>4.4299136264629375</v>
      </c>
      <c r="AX70" s="21">
        <f t="shared" si="60"/>
        <v>76.740269217455676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119.99995828001613</v>
      </c>
      <c r="BJ70" s="59">
        <f t="shared" si="92"/>
        <v>317.56542444086261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24.435706174772914</v>
      </c>
      <c r="BQ70" s="21">
        <f>EXP(-LN(2)/25)*BQ69+(1-EXP(-LN(2)/25))/(LN(2)/25)*Calculateur!BL70*Calculateur!BN70*VLOOKUP('Données projet'!$B$11,Paramètres!$A$1:$I$89,3,0)*0.475*44/12</f>
        <v>3.5942529949546196</v>
      </c>
      <c r="BR70" s="21">
        <f>EXP(-LN(2)/2)*BR69+(1-EXP(-LN(2)/2))/(LN(2)/2)*BL70*BO70*VLOOKUP('Données projet'!$B$11,Paramètres!$A$1:$I$89,3,0)*0.475*44/12</f>
        <v>1.5926099605075751E-6</v>
      </c>
      <c r="BS70" s="22">
        <f t="shared" si="63"/>
        <v>28.029960762337495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-1.7053025658242404E-13</v>
      </c>
      <c r="O71" s="13">
        <f>N71*VLOOKUP('Données projet'!$B$9,Paramètres!$A$1:$I$89,3,0)*VLOOKUP('Données projet'!$B$9,Paramètres!$A$1:$I$89,5,0)</f>
        <v>-1.0197709343628959E-13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323.17232038705157</v>
      </c>
      <c r="T71" s="59">
        <f t="shared" si="88"/>
        <v>402.34685738619197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128.4020485166848</v>
      </c>
      <c r="AA71" s="21">
        <f>EXP(-LN(2)/25)*AA70+(1-EXP(-LN(2)/25))/(LN(2)/25)*Calculateur!V71*Calculateur!X71*VLOOKUP('Données projet'!$B$9,Paramètres!$A$1:$I$89,3,0)*0.475*44/12</f>
        <v>31.69082510248596</v>
      </c>
      <c r="AB71" s="21">
        <f>EXP(-LN(2)/2)*AB70+(1-EXP(-LN(2)/2))/(LN(2)/2)*V71*Y71*VLOOKUP('Données projet'!$B$9,Paramètres!$A$1:$I$89,3,0)*0.475*44/12</f>
        <v>0.63134954598139881</v>
      </c>
      <c r="AC71" s="22">
        <f t="shared" si="57"/>
        <v>160.72422316515215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9.9715384615384544</v>
      </c>
      <c r="AI71" s="13">
        <f>IF('Données projet'!$A$62&gt;35,AI70+AH71-AQ70,IF(A71&lt;'Données projet'!$A$62,$AF$205^A71,IF(A71='Données projet'!$A$62,'Données projet'!$B$62,AI70+AH71-AQ70)))</f>
        <v>440.4507692307692</v>
      </c>
      <c r="AJ71" s="13">
        <f>AI71*VLOOKUP('Données projet'!$B$10,Paramètres!$A$1:$I$89,3,0)*VLOOKUP('Données projet'!$B$10,Paramètres!$A$1:$I$89,5,0)</f>
        <v>263.38956000000002</v>
      </c>
      <c r="AK71" s="13">
        <f t="shared" si="89"/>
        <v>63.444349611612601</v>
      </c>
      <c r="AL71" s="20">
        <f t="shared" si="58"/>
        <v>569.23572590689196</v>
      </c>
      <c r="AM71" s="59">
        <f t="shared" si="59"/>
        <v>862.56905924022522</v>
      </c>
      <c r="AN71" s="59">
        <f ca="1">AVERAGE(OFFSET($AM$3,0,0,'Données projet'!$E$10+1,1))-AVERAGE(OFFSET($H$3,0,0,'Données projet'!$E$10+1,1))</f>
        <v>355.09162485318728</v>
      </c>
      <c r="AO71" s="59">
        <f t="shared" si="90"/>
        <v>320.06572891923685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56.638130474376865</v>
      </c>
      <c r="AV71" s="21">
        <f>EXP(-LN(2)/25)*AV70+(1-EXP(-LN(2)/25))/(LN(2)/25)*Calculateur!AQ71*Calculateur!AS71*VLOOKUP('Données projet'!$B$10,Paramètres!$A$1:$I$89,3,0)*0.475*44/12</f>
        <v>14.141791478293493</v>
      </c>
      <c r="AW71" s="21">
        <f>EXP(-LN(2)/2)*AW70+(1-EXP(-LN(2)/2))/(LN(2)/2)*AQ71*AT71*VLOOKUP('Données projet'!$B$10,Paramètres!$A$1:$I$89,3,0)*0.475*44/12</f>
        <v>3.1324219653426337</v>
      </c>
      <c r="AX71" s="21">
        <f t="shared" si="60"/>
        <v>73.912343918012994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119.99995828001613</v>
      </c>
      <c r="BJ71" s="59">
        <f t="shared" si="92"/>
        <v>317.56542444086261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23.956536880994705</v>
      </c>
      <c r="BQ71" s="21">
        <f>EXP(-LN(2)/25)*BQ70+(1-EXP(-LN(2)/25))/(LN(2)/25)*Calculateur!BL71*Calculateur!BN71*VLOOKUP('Données projet'!$B$11,Paramètres!$A$1:$I$89,3,0)*0.475*44/12</f>
        <v>3.4959679577940355</v>
      </c>
      <c r="BR71" s="21">
        <f>EXP(-LN(2)/2)*BR70+(1-EXP(-LN(2)/2))/(LN(2)/2)*BL71*BO71*VLOOKUP('Données projet'!$B$11,Paramètres!$A$1:$I$89,3,0)*0.475*44/12</f>
        <v>1.126145302860146E-6</v>
      </c>
      <c r="BS71" s="22">
        <f t="shared" si="63"/>
        <v>27.452505964934044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-1.7053025658242404E-13</v>
      </c>
      <c r="O72" s="13">
        <f>N72*VLOOKUP('Données projet'!$B$9,Paramètres!$A$1:$I$89,3,0)*VLOOKUP('Données projet'!$B$9,Paramètres!$A$1:$I$89,5,0)</f>
        <v>-1.0197709343628959E-13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323.17232038705157</v>
      </c>
      <c r="T72" s="59">
        <f t="shared" si="88"/>
        <v>402.34685738619197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125.884162662789</v>
      </c>
      <c r="AA72" s="21">
        <f>EXP(-LN(2)/25)*AA71+(1-EXP(-LN(2)/25))/(LN(2)/25)*Calculateur!V72*Calculateur!X72*VLOOKUP('Données projet'!$B$9,Paramètres!$A$1:$I$89,3,0)*0.475*44/12</f>
        <v>30.824237823510419</v>
      </c>
      <c r="AB72" s="21">
        <f>EXP(-LN(2)/2)*AB71+(1-EXP(-LN(2)/2))/(LN(2)/2)*V72*Y72*VLOOKUP('Données projet'!$B$9,Paramètres!$A$1:$I$89,3,0)*0.475*44/12</f>
        <v>0.44643154526249512</v>
      </c>
      <c r="AC72" s="22">
        <f t="shared" si="57"/>
        <v>157.15483203156191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9.9715384615384544</v>
      </c>
      <c r="AI72" s="13">
        <f>IF('Données projet'!$A$62&gt;35,AI71+AH72-AQ71,IF(A72&lt;'Données projet'!$A$62,$AF$205^A72,IF(A72='Données projet'!$A$62,'Données projet'!$B$62,AI71+AH72-AQ71)))</f>
        <v>450.42230769230764</v>
      </c>
      <c r="AJ72" s="13">
        <f>AI72*VLOOKUP('Données projet'!$B$10,Paramètres!$A$1:$I$89,3,0)*VLOOKUP('Données projet'!$B$10,Paramètres!$A$1:$I$89,5,0)</f>
        <v>269.35253999999998</v>
      </c>
      <c r="AK72" s="13">
        <f t="shared" si="89"/>
        <v>64.711842740845071</v>
      </c>
      <c r="AL72" s="20">
        <f t="shared" si="58"/>
        <v>581.8287999403052</v>
      </c>
      <c r="AM72" s="59">
        <f t="shared" si="59"/>
        <v>875.16213327363857</v>
      </c>
      <c r="AN72" s="59">
        <f ca="1">AVERAGE(OFFSET($AM$3,0,0,'Données projet'!$E$10+1,1))-AVERAGE(OFFSET($H$3,0,0,'Données projet'!$E$10+1,1))</f>
        <v>355.09162485318728</v>
      </c>
      <c r="AO72" s="59">
        <f t="shared" si="90"/>
        <v>320.06572891923685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55.527491281622808</v>
      </c>
      <c r="AV72" s="21">
        <f>EXP(-LN(2)/25)*AV71+(1-EXP(-LN(2)/25))/(LN(2)/25)*Calculateur!AQ72*Calculateur!AS72*VLOOKUP('Données projet'!$B$10,Paramètres!$A$1:$I$89,3,0)*0.475*44/12</f>
        <v>13.755083446635066</v>
      </c>
      <c r="AW72" s="21">
        <f>EXP(-LN(2)/2)*AW71+(1-EXP(-LN(2)/2))/(LN(2)/2)*AQ72*AT72*VLOOKUP('Données projet'!$B$10,Paramètres!$A$1:$I$89,3,0)*0.475*44/12</f>
        <v>2.2149568132314692</v>
      </c>
      <c r="AX72" s="21">
        <f t="shared" si="60"/>
        <v>71.497531541489337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119.99995828001613</v>
      </c>
      <c r="BJ72" s="59">
        <f t="shared" si="92"/>
        <v>317.56542444086261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23.486763804803076</v>
      </c>
      <c r="BQ72" s="21">
        <f>EXP(-LN(2)/25)*BQ71+(1-EXP(-LN(2)/25))/(LN(2)/25)*Calculateur!BL72*Calculateur!BN72*VLOOKUP('Données projet'!$B$11,Paramètres!$A$1:$I$89,3,0)*0.475*44/12</f>
        <v>3.400370530143193</v>
      </c>
      <c r="BR72" s="21">
        <f>EXP(-LN(2)/2)*BR71+(1-EXP(-LN(2)/2))/(LN(2)/2)*BL72*BO72*VLOOKUP('Données projet'!$B$11,Paramètres!$A$1:$I$89,3,0)*0.475*44/12</f>
        <v>7.9630498025378755E-7</v>
      </c>
      <c r="BS72" s="22">
        <f t="shared" si="63"/>
        <v>26.887135131251249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-1.7053025658242404E-13</v>
      </c>
      <c r="O73" s="13">
        <f>N73*VLOOKUP('Données projet'!$B$9,Paramètres!$A$1:$I$89,3,0)*VLOOKUP('Données projet'!$B$9,Paramètres!$A$1:$I$89,5,0)</f>
        <v>-1.0197709343628959E-13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323.17232038705157</v>
      </c>
      <c r="T73" s="59">
        <f t="shared" si="88"/>
        <v>402.34685738619197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123.41565101472936</v>
      </c>
      <c r="AA73" s="21">
        <f>EXP(-LN(2)/25)*AA72+(1-EXP(-LN(2)/25))/(LN(2)/25)*Calculateur!V73*Calculateur!X73*VLOOKUP('Données projet'!$B$9,Paramètres!$A$1:$I$89,3,0)*0.475*44/12</f>
        <v>29.981347419250309</v>
      </c>
      <c r="AB73" s="21">
        <f>EXP(-LN(2)/2)*AB72+(1-EXP(-LN(2)/2))/(LN(2)/2)*V73*Y73*VLOOKUP('Données projet'!$B$9,Paramètres!$A$1:$I$89,3,0)*0.475*44/12</f>
        <v>0.31567477299069946</v>
      </c>
      <c r="AC73" s="22">
        <f t="shared" si="57"/>
        <v>153.71267320697035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9.9715384615384544</v>
      </c>
      <c r="AI73" s="13">
        <f>IF('Données projet'!$A$62&gt;35,AI72+AH73-AQ72,IF(A73&lt;'Données projet'!$A$62,$AF$205^A73,IF(A73='Données projet'!$A$62,'Données projet'!$B$62,AI72+AH73-AQ72)))</f>
        <v>460.39384615384608</v>
      </c>
      <c r="AJ73" s="13">
        <f>AI73*VLOOKUP('Données projet'!$B$10,Paramètres!$A$1:$I$89,3,0)*VLOOKUP('Données projet'!$B$10,Paramètres!$A$1:$I$89,5,0)</f>
        <v>275.31551999999994</v>
      </c>
      <c r="AK73" s="13">
        <f t="shared" si="89"/>
        <v>65.976073607419792</v>
      </c>
      <c r="AL73" s="20">
        <f t="shared" si="58"/>
        <v>594.41619219958932</v>
      </c>
      <c r="AM73" s="59">
        <f t="shared" si="59"/>
        <v>887.74952553292269</v>
      </c>
      <c r="AN73" s="59">
        <f ca="1">AVERAGE(OFFSET($AM$3,0,0,'Données projet'!$E$10+1,1))-AVERAGE(OFFSET($H$3,0,0,'Données projet'!$E$10+1,1))</f>
        <v>355.09162485318728</v>
      </c>
      <c r="AO73" s="59">
        <f t="shared" si="90"/>
        <v>320.06572891923685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54.438631046015637</v>
      </c>
      <c r="AV73" s="21">
        <f>EXP(-LN(2)/25)*AV72+(1-EXP(-LN(2)/25))/(LN(2)/25)*Calculateur!AQ73*Calculateur!AS73*VLOOKUP('Données projet'!$B$10,Paramètres!$A$1:$I$89,3,0)*0.475*44/12</f>
        <v>13.378949966438428</v>
      </c>
      <c r="AW73" s="21">
        <f>EXP(-LN(2)/2)*AW72+(1-EXP(-LN(2)/2))/(LN(2)/2)*AQ73*AT73*VLOOKUP('Données projet'!$B$10,Paramètres!$A$1:$I$89,3,0)*0.475*44/12</f>
        <v>1.5662109826713173</v>
      </c>
      <c r="AX73" s="21">
        <f t="shared" si="60"/>
        <v>69.383791995125392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119.99995828001613</v>
      </c>
      <c r="BJ73" s="59">
        <f t="shared" si="92"/>
        <v>317.56542444086261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23.026202692102281</v>
      </c>
      <c r="BQ73" s="21">
        <f>EXP(-LN(2)/25)*BQ72+(1-EXP(-LN(2)/25))/(LN(2)/25)*Calculateur!BL73*Calculateur!BN73*VLOOKUP('Données projet'!$B$11,Paramètres!$A$1:$I$89,3,0)*0.475*44/12</f>
        <v>3.3073872191787128</v>
      </c>
      <c r="BR73" s="21">
        <f>EXP(-LN(2)/2)*BR72+(1-EXP(-LN(2)/2))/(LN(2)/2)*BL73*BO73*VLOOKUP('Données projet'!$B$11,Paramètres!$A$1:$I$89,3,0)*0.475*44/12</f>
        <v>5.6307265143007299E-7</v>
      </c>
      <c r="BS73" s="22">
        <f t="shared" si="63"/>
        <v>26.333590474353645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-1.7053025658242404E-13</v>
      </c>
      <c r="O74" s="13">
        <f>N74*VLOOKUP('Données projet'!$B$9,Paramètres!$A$1:$I$89,3,0)*VLOOKUP('Données projet'!$B$9,Paramètres!$A$1:$I$89,5,0)</f>
        <v>-1.0197709343628959E-13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323.17232038705157</v>
      </c>
      <c r="T74" s="59">
        <f t="shared" si="88"/>
        <v>402.34685738619197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120.99554537444475</v>
      </c>
      <c r="AA74" s="21">
        <f>EXP(-LN(2)/25)*AA73+(1-EXP(-LN(2)/25))/(LN(2)/25)*Calculateur!V74*Calculateur!X74*VLOOKUP('Données projet'!$B$9,Paramètres!$A$1:$I$89,3,0)*0.475*44/12</f>
        <v>29.161505897420373</v>
      </c>
      <c r="AB74" s="21">
        <f>EXP(-LN(2)/2)*AB73+(1-EXP(-LN(2)/2))/(LN(2)/2)*V74*Y74*VLOOKUP('Données projet'!$B$9,Paramètres!$A$1:$I$89,3,0)*0.475*44/12</f>
        <v>0.22321577263124759</v>
      </c>
      <c r="AC74" s="22">
        <f t="shared" si="57"/>
        <v>150.38026704449638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9.9715384615384544</v>
      </c>
      <c r="AI74" s="13">
        <f>IF('Données projet'!$A$62&gt;35,AI73+AH74-AQ73,IF(A74&lt;'Données projet'!$A$62,$AF$205^A74,IF(A74='Données projet'!$A$62,'Données projet'!$B$62,AI73+AH74-AQ73)))</f>
        <v>470.36538461538453</v>
      </c>
      <c r="AJ74" s="13">
        <f>AI74*VLOOKUP('Données projet'!$B$10,Paramètres!$A$1:$I$89,3,0)*VLOOKUP('Données projet'!$B$10,Paramètres!$A$1:$I$89,5,0)</f>
        <v>281.27849999999995</v>
      </c>
      <c r="AK74" s="13">
        <f t="shared" si="89"/>
        <v>67.23712100524989</v>
      </c>
      <c r="AL74" s="20">
        <f t="shared" si="58"/>
        <v>606.99803991747683</v>
      </c>
      <c r="AM74" s="59">
        <f t="shared" si="59"/>
        <v>900.3313732508102</v>
      </c>
      <c r="AN74" s="59">
        <f ca="1">AVERAGE(OFFSET($AM$3,0,0,'Données projet'!$E$10+1,1))-AVERAGE(OFFSET($H$3,0,0,'Données projet'!$E$10+1,1))</f>
        <v>355.09162485318728</v>
      </c>
      <c r="AO74" s="59">
        <f t="shared" si="90"/>
        <v>320.06572891923685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53.371122695489554</v>
      </c>
      <c r="AV74" s="21">
        <f>EXP(-LN(2)/25)*AV73+(1-EXP(-LN(2)/25))/(LN(2)/25)*Calculateur!AQ74*Calculateur!AS74*VLOOKUP('Données projet'!$B$10,Paramètres!$A$1:$I$89,3,0)*0.475*44/12</f>
        <v>13.013101876037769</v>
      </c>
      <c r="AW74" s="21">
        <f>EXP(-LN(2)/2)*AW73+(1-EXP(-LN(2)/2))/(LN(2)/2)*AQ74*AT74*VLOOKUP('Données projet'!$B$10,Paramètres!$A$1:$I$89,3,0)*0.475*44/12</f>
        <v>1.1074784066157348</v>
      </c>
      <c r="AX74" s="21">
        <f t="shared" si="60"/>
        <v>67.491702978143067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119.99995828001613</v>
      </c>
      <c r="BJ74" s="59">
        <f t="shared" si="92"/>
        <v>317.56542444086261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22.574672901907007</v>
      </c>
      <c r="BQ74" s="21">
        <f>EXP(-LN(2)/25)*BQ73+(1-EXP(-LN(2)/25))/(LN(2)/25)*Calculateur!BL74*Calculateur!BN74*VLOOKUP('Données projet'!$B$11,Paramètres!$A$1:$I$89,3,0)*0.475*44/12</f>
        <v>3.2169465417423364</v>
      </c>
      <c r="BR74" s="21">
        <f>EXP(-LN(2)/2)*BR73+(1-EXP(-LN(2)/2))/(LN(2)/2)*BL74*BO74*VLOOKUP('Données projet'!$B$11,Paramètres!$A$1:$I$89,3,0)*0.475*44/12</f>
        <v>3.9815249012689378E-7</v>
      </c>
      <c r="BS74" s="22">
        <f t="shared" si="63"/>
        <v>25.791619841801836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-1.7053025658242404E-13</v>
      </c>
      <c r="O75" s="13">
        <f>N75*VLOOKUP('Données projet'!$B$9,Paramètres!$A$1:$I$89,3,0)*VLOOKUP('Données projet'!$B$9,Paramètres!$A$1:$I$89,5,0)</f>
        <v>-1.0197709343628959E-13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323.17232038705157</v>
      </c>
      <c r="T75" s="59">
        <f t="shared" si="88"/>
        <v>402.34685738619197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118.62289652964742</v>
      </c>
      <c r="AA75" s="21">
        <f>EXP(-LN(2)/25)*AA74+(1-EXP(-LN(2)/25))/(LN(2)/25)*Calculateur!V75*Calculateur!X75*VLOOKUP('Données projet'!$B$9,Paramètres!$A$1:$I$89,3,0)*0.475*44/12</f>
        <v>28.364082985118468</v>
      </c>
      <c r="AB75" s="21">
        <f>EXP(-LN(2)/2)*AB74+(1-EXP(-LN(2)/2))/(LN(2)/2)*V75*Y75*VLOOKUP('Données projet'!$B$9,Paramètres!$A$1:$I$89,3,0)*0.475*44/12</f>
        <v>0.15783738649534973</v>
      </c>
      <c r="AC75" s="22">
        <f t="shared" si="57"/>
        <v>147.14481690126124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9.9715384615384544</v>
      </c>
      <c r="AI75" s="13">
        <f>IF('Données projet'!$A$62&gt;35,AI74+AH75-AQ74,IF(A75&lt;'Données projet'!$A$62,$AF$205^A75,IF(A75='Données projet'!$A$62,'Données projet'!$B$62,AI74+AH75-AQ74)))</f>
        <v>480.33692307692297</v>
      </c>
      <c r="AJ75" s="13">
        <f>AI75*VLOOKUP('Données projet'!$B$10,Paramètres!$A$1:$I$89,3,0)*VLOOKUP('Données projet'!$B$10,Paramètres!$A$1:$I$89,5,0)</f>
        <v>287.24147999999997</v>
      </c>
      <c r="AK75" s="13">
        <f t="shared" si="89"/>
        <v>68.495060196585953</v>
      </c>
      <c r="AL75" s="20">
        <f t="shared" si="58"/>
        <v>619.57447417572041</v>
      </c>
      <c r="AM75" s="59">
        <f t="shared" si="59"/>
        <v>912.90780750905378</v>
      </c>
      <c r="AN75" s="59">
        <f ca="1">AVERAGE(OFFSET($AM$3,0,0,'Données projet'!$E$10+1,1))-AVERAGE(OFFSET($H$3,0,0,'Données projet'!$E$10+1,1))</f>
        <v>355.09162485318728</v>
      </c>
      <c r="AO75" s="59">
        <f t="shared" si="90"/>
        <v>320.06572891923685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52.324547532601493</v>
      </c>
      <c r="AV75" s="21">
        <f>EXP(-LN(2)/25)*AV74+(1-EXP(-LN(2)/25))/(LN(2)/25)*Calculateur!AQ75*Calculateur!AS75*VLOOKUP('Données projet'!$B$10,Paramètres!$A$1:$I$89,3,0)*0.475*44/12</f>
        <v>12.657257920908231</v>
      </c>
      <c r="AW75" s="21">
        <f>EXP(-LN(2)/2)*AW74+(1-EXP(-LN(2)/2))/(LN(2)/2)*AQ75*AT75*VLOOKUP('Données projet'!$B$10,Paramètres!$A$1:$I$89,3,0)*0.475*44/12</f>
        <v>0.78310549133565877</v>
      </c>
      <c r="AX75" s="21">
        <f t="shared" si="60"/>
        <v>65.764910944845383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119.99995828001613</v>
      </c>
      <c r="BJ75" s="59">
        <f t="shared" si="92"/>
        <v>317.56542444086261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22.131997335491487</v>
      </c>
      <c r="BQ75" s="21">
        <f>EXP(-LN(2)/25)*BQ74+(1-EXP(-LN(2)/25))/(LN(2)/25)*Calculateur!BL75*Calculateur!BN75*VLOOKUP('Données projet'!$B$11,Paramètres!$A$1:$I$89,3,0)*0.475*44/12</f>
        <v>3.1289789693865262</v>
      </c>
      <c r="BR75" s="21">
        <f>EXP(-LN(2)/2)*BR74+(1-EXP(-LN(2)/2))/(LN(2)/2)*BL75*BO75*VLOOKUP('Données projet'!$B$11,Paramètres!$A$1:$I$89,3,0)*0.475*44/12</f>
        <v>2.815363257150365E-7</v>
      </c>
      <c r="BS75" s="22">
        <f t="shared" si="63"/>
        <v>25.260976586414341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-1.7053025658242404E-13</v>
      </c>
      <c r="O76" s="13">
        <f>N76*VLOOKUP('Données projet'!$B$9,Paramètres!$A$1:$I$89,3,0)*VLOOKUP('Données projet'!$B$9,Paramètres!$A$1:$I$89,5,0)</f>
        <v>-1.0197709343628959E-13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323.17232038705157</v>
      </c>
      <c r="T76" s="59">
        <f t="shared" si="88"/>
        <v>402.34685738619197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116.29677388152366</v>
      </c>
      <c r="AA76" s="21">
        <f>EXP(-LN(2)/25)*AA75+(1-EXP(-LN(2)/25))/(LN(2)/25)*Calculateur!V76*Calculateur!X76*VLOOKUP('Données projet'!$B$9,Paramètres!$A$1:$I$89,3,0)*0.475*44/12</f>
        <v>27.588465644288107</v>
      </c>
      <c r="AB76" s="21">
        <f>EXP(-LN(2)/2)*AB75+(1-EXP(-LN(2)/2))/(LN(2)/2)*V76*Y76*VLOOKUP('Données projet'!$B$9,Paramètres!$A$1:$I$89,3,0)*0.475*44/12</f>
        <v>0.11160788631562379</v>
      </c>
      <c r="AC76" s="22">
        <f t="shared" si="57"/>
        <v>143.99684741212738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9.9715384615384544</v>
      </c>
      <c r="AI76" s="13">
        <f>IF('Données projet'!$A$62&gt;35,AI75+AH76-AQ75,IF(A76&lt;'Données projet'!$A$62,$AF$205^A76,IF(A76='Données projet'!$A$62,'Données projet'!$B$62,AI75+AH76-AQ75)))</f>
        <v>490.30846153846142</v>
      </c>
      <c r="AJ76" s="13">
        <f>AI76*VLOOKUP('Données projet'!$B$10,Paramètres!$A$1:$I$89,3,0)*VLOOKUP('Données projet'!$B$10,Paramètres!$A$1:$I$89,5,0)</f>
        <v>293.20445999999993</v>
      </c>
      <c r="AK76" s="13">
        <f t="shared" si="89"/>
        <v>69.749963140285985</v>
      </c>
      <c r="AL76" s="20">
        <f t="shared" si="58"/>
        <v>632.14562030266472</v>
      </c>
      <c r="AM76" s="59">
        <f t="shared" si="59"/>
        <v>925.4789536359981</v>
      </c>
      <c r="AN76" s="59">
        <f ca="1">AVERAGE(OFFSET($AM$3,0,0,'Données projet'!$E$10+1,1))-AVERAGE(OFFSET($H$3,0,0,'Données projet'!$E$10+1,1))</f>
        <v>355.09162485318728</v>
      </c>
      <c r="AO76" s="59">
        <f t="shared" si="90"/>
        <v>320.06572891923685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51.298495070309848</v>
      </c>
      <c r="AV76" s="21">
        <f>EXP(-LN(2)/25)*AV75+(1-EXP(-LN(2)/25))/(LN(2)/25)*Calculateur!AQ76*Calculateur!AS76*VLOOKUP('Données projet'!$B$10,Paramètres!$A$1:$I$89,3,0)*0.475*44/12</f>
        <v>12.311144537444729</v>
      </c>
      <c r="AW76" s="21">
        <f>EXP(-LN(2)/2)*AW75+(1-EXP(-LN(2)/2))/(LN(2)/2)*AQ76*AT76*VLOOKUP('Données projet'!$B$10,Paramètres!$A$1:$I$89,3,0)*0.475*44/12</f>
        <v>0.55373920330786752</v>
      </c>
      <c r="AX76" s="21">
        <f t="shared" si="60"/>
        <v>64.163378811062444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119.99995828001613</v>
      </c>
      <c r="BJ76" s="59">
        <f t="shared" si="92"/>
        <v>317.56542444086261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21.698002366927941</v>
      </c>
      <c r="BQ76" s="21">
        <f>EXP(-LN(2)/25)*BQ75+(1-EXP(-LN(2)/25))/(LN(2)/25)*Calculateur!BL76*Calculateur!BN76*VLOOKUP('Données projet'!$B$11,Paramètres!$A$1:$I$89,3,0)*0.475*44/12</f>
        <v>3.0434168749227992</v>
      </c>
      <c r="BR76" s="21">
        <f>EXP(-LN(2)/2)*BR75+(1-EXP(-LN(2)/2))/(LN(2)/2)*BL76*BO76*VLOOKUP('Données projet'!$B$11,Paramètres!$A$1:$I$89,3,0)*0.475*44/12</f>
        <v>1.9907624506344689E-7</v>
      </c>
      <c r="BS76" s="22">
        <f t="shared" si="63"/>
        <v>24.741419440926983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-1.7053025658242404E-13</v>
      </c>
      <c r="O77" s="13">
        <f>N77*VLOOKUP('Données projet'!$B$9,Paramètres!$A$1:$I$89,3,0)*VLOOKUP('Données projet'!$B$9,Paramètres!$A$1:$I$89,5,0)</f>
        <v>-1.0197709343628959E-13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323.17232038705157</v>
      </c>
      <c r="T77" s="59">
        <f t="shared" si="88"/>
        <v>402.34685738619197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114.01626507973489</v>
      </c>
      <c r="AA77" s="21">
        <f>EXP(-LN(2)/25)*AA76+(1-EXP(-LN(2)/25))/(LN(2)/25)*Calculateur!V77*Calculateur!X77*VLOOKUP('Données projet'!$B$9,Paramètres!$A$1:$I$89,3,0)*0.475*44/12</f>
        <v>26.834057600430693</v>
      </c>
      <c r="AB77" s="21">
        <f>EXP(-LN(2)/2)*AB76+(1-EXP(-LN(2)/2))/(LN(2)/2)*V77*Y77*VLOOKUP('Données projet'!$B$9,Paramètres!$A$1:$I$89,3,0)*0.475*44/12</f>
        <v>7.8918693247674865E-2</v>
      </c>
      <c r="AC77" s="22">
        <f t="shared" si="57"/>
        <v>140.92924137341328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9.9715384615384544</v>
      </c>
      <c r="AI77" s="13">
        <f>IF('Données projet'!$A$62&gt;35,AI76+AH77-AQ76,IF(A77&lt;'Données projet'!$A$62,$AF$205^A77,IF(A77='Données projet'!$A$62,'Données projet'!$B$62,AI76+AH77-AQ76)))</f>
        <v>500.27999999999986</v>
      </c>
      <c r="AJ77" s="13">
        <f>AI77*VLOOKUP('Données projet'!$B$10,Paramètres!$A$1:$I$89,3,0)*VLOOKUP('Données projet'!$B$10,Paramètres!$A$1:$I$89,5,0)</f>
        <v>299.16743999999994</v>
      </c>
      <c r="AK77" s="13">
        <f t="shared" si="89"/>
        <v>71.001898700991546</v>
      </c>
      <c r="AL77" s="20">
        <f t="shared" si="58"/>
        <v>644.71159823756022</v>
      </c>
      <c r="AM77" s="59">
        <f t="shared" si="59"/>
        <v>938.0449315708936</v>
      </c>
      <c r="AN77" s="59">
        <f ca="1">AVERAGE(OFFSET($AM$3,0,0,'Données projet'!$E$10+1,1))-AVERAGE(OFFSET($H$3,0,0,'Données projet'!$E$10+1,1))</f>
        <v>355.09162485318728</v>
      </c>
      <c r="AO77" s="59">
        <f t="shared" si="90"/>
        <v>320.06572891923685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50.292562870973534</v>
      </c>
      <c r="AV77" s="21">
        <f>EXP(-LN(2)/25)*AV76+(1-EXP(-LN(2)/25))/(LN(2)/25)*Calculateur!AQ77*Calculateur!AS77*VLOOKUP('Données projet'!$B$10,Paramètres!$A$1:$I$89,3,0)*0.475*44/12</f>
        <v>11.97449564265335</v>
      </c>
      <c r="AW77" s="21">
        <f>EXP(-LN(2)/2)*AW76+(1-EXP(-LN(2)/2))/(LN(2)/2)*AQ77*AT77*VLOOKUP('Données projet'!$B$10,Paramètres!$A$1:$I$89,3,0)*0.475*44/12</f>
        <v>0.39155274566782944</v>
      </c>
      <c r="AX77" s="21">
        <f t="shared" si="60"/>
        <v>62.658611259294716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119.99995828001613</v>
      </c>
      <c r="BJ77" s="59">
        <f t="shared" si="92"/>
        <v>317.56542444086261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21.272517774987133</v>
      </c>
      <c r="BQ77" s="21">
        <f>EXP(-LN(2)/25)*BQ76+(1-EXP(-LN(2)/25))/(LN(2)/25)*Calculateur!BL77*Calculateur!BN77*VLOOKUP('Données projet'!$B$11,Paramètres!$A$1:$I$89,3,0)*0.475*44/12</f>
        <v>2.9601944804316975</v>
      </c>
      <c r="BR77" s="21">
        <f>EXP(-LN(2)/2)*BR76+(1-EXP(-LN(2)/2))/(LN(2)/2)*BL77*BO77*VLOOKUP('Données projet'!$B$11,Paramètres!$A$1:$I$89,3,0)*0.475*44/12</f>
        <v>1.4076816285751825E-7</v>
      </c>
      <c r="BS77" s="22">
        <f t="shared" si="63"/>
        <v>24.232712396186994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-1.7053025658242404E-13</v>
      </c>
      <c r="O78" s="13">
        <f>N78*VLOOKUP('Données projet'!$B$9,Paramètres!$A$1:$I$89,3,0)*VLOOKUP('Données projet'!$B$9,Paramètres!$A$1:$I$89,5,0)</f>
        <v>-1.0197709343628959E-13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323.17232038705157</v>
      </c>
      <c r="T78" s="59">
        <f t="shared" si="88"/>
        <v>402.34685738619197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111.78047566457619</v>
      </c>
      <c r="AA78" s="21">
        <f>EXP(-LN(2)/25)*AA77+(1-EXP(-LN(2)/25))/(LN(2)/25)*Calculateur!V78*Calculateur!X78*VLOOKUP('Données projet'!$B$9,Paramètres!$A$1:$I$89,3,0)*0.475*44/12</f>
        <v>26.100278884205157</v>
      </c>
      <c r="AB78" s="21">
        <f>EXP(-LN(2)/2)*AB77+(1-EXP(-LN(2)/2))/(LN(2)/2)*V78*Y78*VLOOKUP('Données projet'!$B$9,Paramètres!$A$1:$I$89,3,0)*0.475*44/12</f>
        <v>5.5803943157811897E-2</v>
      </c>
      <c r="AC78" s="22">
        <f t="shared" si="57"/>
        <v>137.93655849193914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9.9715384615384544</v>
      </c>
      <c r="AI78" s="13">
        <f>IF('Données projet'!$A$62&gt;35,AI77+AH78-AQ77,IF(A78&lt;'Données projet'!$A$62,$AF$205^A78,IF(A78='Données projet'!$A$62,'Données projet'!$B$62,AI77+AH78-AQ77)))</f>
        <v>510.2515384615383</v>
      </c>
      <c r="AJ78" s="13">
        <f>AI78*VLOOKUP('Données projet'!$B$10,Paramètres!$A$1:$I$89,3,0)*VLOOKUP('Données projet'!$B$10,Paramètres!$A$1:$I$89,5,0)</f>
        <v>305.13041999999996</v>
      </c>
      <c r="AK78" s="13">
        <f t="shared" si="89"/>
        <v>72.250932841155517</v>
      </c>
      <c r="AL78" s="20">
        <f t="shared" si="58"/>
        <v>657.27252286501243</v>
      </c>
      <c r="AM78" s="59">
        <f t="shared" si="59"/>
        <v>950.60585619834569</v>
      </c>
      <c r="AN78" s="59">
        <f ca="1">AVERAGE(OFFSET($AM$3,0,0,'Données projet'!$E$10+1,1))-AVERAGE(OFFSET($H$3,0,0,'Données projet'!$E$10+1,1))</f>
        <v>355.09162485318728</v>
      </c>
      <c r="AO78" s="59">
        <f t="shared" si="90"/>
        <v>320.06572891923685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49.306356388508149</v>
      </c>
      <c r="AV78" s="21">
        <f>EXP(-LN(2)/25)*AV77+(1-EXP(-LN(2)/25))/(LN(2)/25)*Calculateur!AQ78*Calculateur!AS78*VLOOKUP('Données projet'!$B$10,Paramètres!$A$1:$I$89,3,0)*0.475*44/12</f>
        <v>11.647052429593636</v>
      </c>
      <c r="AW78" s="21">
        <f>EXP(-LN(2)/2)*AW77+(1-EXP(-LN(2)/2))/(LN(2)/2)*AQ78*AT78*VLOOKUP('Données projet'!$B$10,Paramètres!$A$1:$I$89,3,0)*0.475*44/12</f>
        <v>0.27686960165393376</v>
      </c>
      <c r="AX78" s="21">
        <f t="shared" si="60"/>
        <v>61.23027841975572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119.99995828001613</v>
      </c>
      <c r="BJ78" s="59">
        <f t="shared" si="92"/>
        <v>317.56542444086261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20.855376676374309</v>
      </c>
      <c r="BQ78" s="21">
        <f>EXP(-LN(2)/25)*BQ77+(1-EXP(-LN(2)/25))/(LN(2)/25)*Calculateur!BL78*Calculateur!BN78*VLOOKUP('Données projet'!$B$11,Paramètres!$A$1:$I$89,3,0)*0.475*44/12</f>
        <v>2.8792478066944307</v>
      </c>
      <c r="BR78" s="21">
        <f>EXP(-LN(2)/2)*BR77+(1-EXP(-LN(2)/2))/(LN(2)/2)*BL78*BO78*VLOOKUP('Données projet'!$B$11,Paramètres!$A$1:$I$89,3,0)*0.475*44/12</f>
        <v>9.9538122531723444E-8</v>
      </c>
      <c r="BS78" s="22">
        <f t="shared" si="63"/>
        <v>23.734624582606862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-1.7053025658242404E-13</v>
      </c>
      <c r="O79" s="13">
        <f>N79*VLOOKUP('Données projet'!$B$9,Paramètres!$A$1:$I$89,3,0)*VLOOKUP('Données projet'!$B$9,Paramètres!$A$1:$I$89,5,0)</f>
        <v>-1.0197709343628959E-13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323.17232038705157</v>
      </c>
      <c r="T79" s="59">
        <f t="shared" si="88"/>
        <v>402.34685738619197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109.58852871615186</v>
      </c>
      <c r="AA79" s="21">
        <f>EXP(-LN(2)/25)*AA78+(1-EXP(-LN(2)/25))/(LN(2)/25)*Calculateur!V79*Calculateur!X79*VLOOKUP('Données projet'!$B$9,Paramètres!$A$1:$I$89,3,0)*0.475*44/12</f>
        <v>25.386565385562552</v>
      </c>
      <c r="AB79" s="21">
        <f>EXP(-LN(2)/2)*AB78+(1-EXP(-LN(2)/2))/(LN(2)/2)*V79*Y79*VLOOKUP('Données projet'!$B$9,Paramètres!$A$1:$I$89,3,0)*0.475*44/12</f>
        <v>3.9459346623837432E-2</v>
      </c>
      <c r="AC79" s="22">
        <f t="shared" si="57"/>
        <v>135.01455344833823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>
        <f>VLOOKUP(A79,'Données projet'!$A$61:$I$81,2,0)</f>
        <v>520.22307692307686</v>
      </c>
      <c r="AG79" s="12">
        <f>VLOOKUP(A79,'Données projet'!$A$61:$I$81,9,0)</f>
        <v>9.9715384615384544</v>
      </c>
      <c r="AH79" s="12">
        <f t="array" ref="AH79">INDEX(AG:AG,MIN(IF(ISNUMBER(AG79:AG275),ROW(AG79:AG275),"")))</f>
        <v>9.9715384615384544</v>
      </c>
      <c r="AI79" s="13">
        <f>IF('Données projet'!$A$62&gt;35,AI78+AH79-AQ78,IF(A79&lt;'Données projet'!$A$62,$AF$205^A79,IF(A79='Données projet'!$A$62,'Données projet'!$B$62,AI78+AH79-AQ78)))</f>
        <v>520.22307692307675</v>
      </c>
      <c r="AJ79" s="13">
        <f>AI79*VLOOKUP('Données projet'!$B$10,Paramètres!$A$1:$I$89,3,0)*VLOOKUP('Données projet'!$B$10,Paramètres!$A$1:$I$89,5,0)</f>
        <v>311.09339999999992</v>
      </c>
      <c r="AK79" s="13">
        <f t="shared" si="89"/>
        <v>73.497128797635312</v>
      </c>
      <c r="AL79" s="20">
        <f t="shared" si="58"/>
        <v>669.82850432254793</v>
      </c>
      <c r="AM79" s="59">
        <f t="shared" si="59"/>
        <v>963.1618376558813</v>
      </c>
      <c r="AN79" s="59">
        <f ca="1">AVERAGE(OFFSET($AM$3,0,0,'Données projet'!$E$10+1,1))-AVERAGE(OFFSET($H$3,0,0,'Données projet'!$E$10+1,1))</f>
        <v>355.09162485318728</v>
      </c>
      <c r="AO79" s="59">
        <f t="shared" si="90"/>
        <v>320.06572891923685</v>
      </c>
      <c r="AP79" s="15">
        <f>IF(ISNA(VLOOKUP(A79,'Données projet'!$A$61:$I$81,3,0)),0,VLOOKUP(A79,'Données projet'!$A$61:$I$81,3,0))</f>
        <v>8</v>
      </c>
      <c r="AQ79" s="15">
        <f>IF(ISNA(VLOOKUP(A79,'Données projet'!$A$61:$I$81,4,0)),0,VLOOKUP(A79,'Données projet'!$A$61:$I$81,4,0))</f>
        <v>520.22307692307686</v>
      </c>
      <c r="AR79" s="16">
        <f>IF(ISNA(VLOOKUP(A79,'Données projet'!$A$61:$I$81,5,0)),0%,VLOOKUP(A79,'Données projet'!$A$61:$I$81,5,0)*VLOOKUP('Données projet'!$B$10,Paramètres!$A$1:$I$89,7,0))</f>
        <v>0.315</v>
      </c>
      <c r="AS79" s="16">
        <f>IF(ISNA(VLOOKUP(A79,'Données projet'!$A$61:$I$81,6,0)),0%,VLOOKUP(A79,'Données projet'!$A$61:$I$81,6,0)*VLOOKUP('Données projet'!$B$10,Paramètres!$A$1:$I$89,7,0))</f>
        <v>7.5600000000000001E-2</v>
      </c>
      <c r="AT79" s="16">
        <f>IF(ISNA(VLOOKUP(A79,'Données projet'!$A$61:$I$81,7,0)),0%,VLOOKUP(A79,'Données projet'!$A$61:$I$81,7,0))</f>
        <v>0.13200000000000001</v>
      </c>
      <c r="AU79" s="21">
        <f>EXP(-LN(2)/35)*AU78+(1-EXP(-LN(2)/35))/(LN(2)/35)*AQ79*AR79*VLOOKUP('Données projet'!$B$10,Paramètres!$A$1:$I$89,3,0)*0.475*44/12</f>
        <v>178.3354045436154</v>
      </c>
      <c r="AV79" s="21">
        <f>EXP(-LN(2)/25)*AV78+(1-EXP(-LN(2)/25))/(LN(2)/25)*Calculateur!AQ79*Calculateur!AS79*VLOOKUP('Données projet'!$B$10,Paramètres!$A$1:$I$89,3,0)*0.475*44/12</f>
        <v>42.404740514995794</v>
      </c>
      <c r="AW79" s="21">
        <f>EXP(-LN(2)/2)*AW78+(1-EXP(-LN(2)/2))/(LN(2)/2)*AQ79*AT79*VLOOKUP('Données projet'!$B$10,Paramètres!$A$1:$I$89,3,0)*0.475*44/12</f>
        <v>46.690135716440125</v>
      </c>
      <c r="AX79" s="21">
        <f t="shared" si="60"/>
        <v>267.4302807750513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119.99995828001613</v>
      </c>
      <c r="BJ79" s="59">
        <f t="shared" si="92"/>
        <v>317.56542444086261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20.446415460274334</v>
      </c>
      <c r="BQ79" s="21">
        <f>EXP(-LN(2)/25)*BQ78+(1-EXP(-LN(2)/25))/(LN(2)/25)*Calculateur!BL79*Calculateur!BN79*VLOOKUP('Données projet'!$B$11,Paramètres!$A$1:$I$89,3,0)*0.475*44/12</f>
        <v>2.80051462400731</v>
      </c>
      <c r="BR79" s="21">
        <f>EXP(-LN(2)/2)*BR78+(1-EXP(-LN(2)/2))/(LN(2)/2)*BL79*BO79*VLOOKUP('Données projet'!$B$11,Paramètres!$A$1:$I$89,3,0)*0.475*44/12</f>
        <v>7.0384081428759124E-8</v>
      </c>
      <c r="BS79" s="22">
        <f t="shared" si="63"/>
        <v>23.246930154665726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-1.7053025658242404E-13</v>
      </c>
      <c r="O80" s="13">
        <f>N80*VLOOKUP('Données projet'!$B$9,Paramètres!$A$1:$I$89,3,0)*VLOOKUP('Données projet'!$B$9,Paramètres!$A$1:$I$89,5,0)</f>
        <v>-1.0197709343628959E-13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323.17232038705157</v>
      </c>
      <c r="T80" s="59">
        <f t="shared" si="88"/>
        <v>402.34685738619197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107.4395645104305</v>
      </c>
      <c r="AA80" s="21">
        <f>EXP(-LN(2)/25)*AA79+(1-EXP(-LN(2)/25))/(LN(2)/25)*Calculateur!V80*Calculateur!X80*VLOOKUP('Données projet'!$B$9,Paramètres!$A$1:$I$89,3,0)*0.475*44/12</f>
        <v>24.692368420072892</v>
      </c>
      <c r="AB80" s="21">
        <f>EXP(-LN(2)/2)*AB79+(1-EXP(-LN(2)/2))/(LN(2)/2)*V80*Y80*VLOOKUP('Données projet'!$B$9,Paramètres!$A$1:$I$89,3,0)*0.475*44/12</f>
        <v>2.7901971578905949E-2</v>
      </c>
      <c r="AC80" s="22">
        <f t="shared" si="57"/>
        <v>132.15983490208228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-6.7984728957526396E-14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355.09162485318728</v>
      </c>
      <c r="AO80" s="59">
        <f t="shared" si="90"/>
        <v>320.06572891923685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174.83835603437134</v>
      </c>
      <c r="AV80" s="21">
        <f>EXP(-LN(2)/25)*AV79+(1-EXP(-LN(2)/25))/(LN(2)/25)*Calculateur!AQ80*Calculateur!AS80*VLOOKUP('Données projet'!$B$10,Paramètres!$A$1:$I$89,3,0)*0.475*44/12</f>
        <v>41.245180655644845</v>
      </c>
      <c r="AW80" s="21">
        <f>EXP(-LN(2)/2)*AW79+(1-EXP(-LN(2)/2))/(LN(2)/2)*AQ80*AT80*VLOOKUP('Données projet'!$B$10,Paramètres!$A$1:$I$89,3,0)*0.475*44/12</f>
        <v>33.014911579615038</v>
      </c>
      <c r="AX80" s="21">
        <f t="shared" si="60"/>
        <v>249.09844826963123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119.99995828001613</v>
      </c>
      <c r="BJ80" s="59">
        <f t="shared" si="92"/>
        <v>317.56542444086261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20.045473724180368</v>
      </c>
      <c r="BQ80" s="21">
        <f>EXP(-LN(2)/25)*BQ79+(1-EXP(-LN(2)/25))/(LN(2)/25)*Calculateur!BL80*Calculateur!BN80*VLOOKUP('Données projet'!$B$11,Paramètres!$A$1:$I$89,3,0)*0.475*44/12</f>
        <v>2.7239344043411666</v>
      </c>
      <c r="BR80" s="21">
        <f>EXP(-LN(2)/2)*BR79+(1-EXP(-LN(2)/2))/(LN(2)/2)*BL80*BO80*VLOOKUP('Données projet'!$B$11,Paramètres!$A$1:$I$89,3,0)*0.475*44/12</f>
        <v>4.9769061265861722E-8</v>
      </c>
      <c r="BS80" s="22">
        <f t="shared" si="63"/>
        <v>22.769408178290593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-1.7053025658242404E-13</v>
      </c>
      <c r="O81" s="13">
        <f>N81*VLOOKUP('Données projet'!$B$9,Paramètres!$A$1:$I$89,3,0)*VLOOKUP('Données projet'!$B$9,Paramètres!$A$1:$I$89,5,0)</f>
        <v>-1.0197709343628959E-13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323.17232038705157</v>
      </c>
      <c r="T81" s="59">
        <f t="shared" si="88"/>
        <v>402.34685738619197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105.33274018204459</v>
      </c>
      <c r="AA81" s="21">
        <f>EXP(-LN(2)/25)*AA80+(1-EXP(-LN(2)/25))/(LN(2)/25)*Calculateur!V81*Calculateur!X81*VLOOKUP('Données projet'!$B$9,Paramètres!$A$1:$I$89,3,0)*0.475*44/12</f>
        <v>24.017154307110779</v>
      </c>
      <c r="AB81" s="21">
        <f>EXP(-LN(2)/2)*AB80+(1-EXP(-LN(2)/2))/(LN(2)/2)*V81*Y81*VLOOKUP('Données projet'!$B$9,Paramètres!$A$1:$I$89,3,0)*0.475*44/12</f>
        <v>1.9729673311918716E-2</v>
      </c>
      <c r="AC81" s="22">
        <f t="shared" si="57"/>
        <v>129.36962416246729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-6.7984728957526396E-14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355.09162485318728</v>
      </c>
      <c r="AO81" s="59">
        <f t="shared" si="90"/>
        <v>320.06572891923685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171.4098825134046</v>
      </c>
      <c r="AV81" s="21">
        <f>EXP(-LN(2)/25)*AV80+(1-EXP(-LN(2)/25))/(LN(2)/25)*Calculateur!AQ81*Calculateur!AS81*VLOOKUP('Données projet'!$B$10,Paramètres!$A$1:$I$89,3,0)*0.475*44/12</f>
        <v>40.117329021626453</v>
      </c>
      <c r="AW81" s="21">
        <f>EXP(-LN(2)/2)*AW80+(1-EXP(-LN(2)/2))/(LN(2)/2)*AQ81*AT81*VLOOKUP('Données projet'!$B$10,Paramètres!$A$1:$I$89,3,0)*0.475*44/12</f>
        <v>23.345067858220066</v>
      </c>
      <c r="AX81" s="21">
        <f t="shared" si="60"/>
        <v>234.87227939325112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119.99995828001613</v>
      </c>
      <c r="BJ81" s="59">
        <f t="shared" si="92"/>
        <v>317.56542444086261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19.652394210980894</v>
      </c>
      <c r="BQ81" s="21">
        <f>EXP(-LN(2)/25)*BQ80+(1-EXP(-LN(2)/25))/(LN(2)/25)*Calculateur!BL81*Calculateur!BN81*VLOOKUP('Données projet'!$B$11,Paramètres!$A$1:$I$89,3,0)*0.475*44/12</f>
        <v>2.6494482748089729</v>
      </c>
      <c r="BR81" s="21">
        <f>EXP(-LN(2)/2)*BR80+(1-EXP(-LN(2)/2))/(LN(2)/2)*BL81*BO81*VLOOKUP('Données projet'!$B$11,Paramètres!$A$1:$I$89,3,0)*0.475*44/12</f>
        <v>3.5192040714379562E-8</v>
      </c>
      <c r="BS81" s="22">
        <f t="shared" si="63"/>
        <v>22.301842520981907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-1.7053025658242404E-13</v>
      </c>
      <c r="O82" s="13">
        <f>N82*VLOOKUP('Données projet'!$B$9,Paramètres!$A$1:$I$89,3,0)*VLOOKUP('Données projet'!$B$9,Paramètres!$A$1:$I$89,5,0)</f>
        <v>-1.0197709343628959E-13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323.17232038705157</v>
      </c>
      <c r="T82" s="59">
        <f t="shared" si="88"/>
        <v>402.34685738619197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103.26722939370238</v>
      </c>
      <c r="AA82" s="21">
        <f>EXP(-LN(2)/25)*AA81+(1-EXP(-LN(2)/25))/(LN(2)/25)*Calculateur!V82*Calculateur!X82*VLOOKUP('Données projet'!$B$9,Paramètres!$A$1:$I$89,3,0)*0.475*44/12</f>
        <v>23.360403959575581</v>
      </c>
      <c r="AB82" s="21">
        <f>EXP(-LN(2)/2)*AB81+(1-EXP(-LN(2)/2))/(LN(2)/2)*V82*Y82*VLOOKUP('Données projet'!$B$9,Paramètres!$A$1:$I$89,3,0)*0.475*44/12</f>
        <v>1.3950985789452974E-2</v>
      </c>
      <c r="AC82" s="22">
        <f t="shared" si="57"/>
        <v>126.64158433906741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-6.7984728957526396E-14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355.09162485318728</v>
      </c>
      <c r="AO82" s="59">
        <f t="shared" si="90"/>
        <v>320.06572891923685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168.04863926702163</v>
      </c>
      <c r="AV82" s="21">
        <f>EXP(-LN(2)/25)*AV81+(1-EXP(-LN(2)/25))/(LN(2)/25)*Calculateur!AQ82*Calculateur!AS82*VLOOKUP('Données projet'!$B$10,Paramètres!$A$1:$I$89,3,0)*0.475*44/12</f>
        <v>39.020318549851432</v>
      </c>
      <c r="AW82" s="21">
        <f>EXP(-LN(2)/2)*AW81+(1-EXP(-LN(2)/2))/(LN(2)/2)*AQ82*AT82*VLOOKUP('Données projet'!$B$10,Paramètres!$A$1:$I$89,3,0)*0.475*44/12</f>
        <v>16.507455789807523</v>
      </c>
      <c r="AX82" s="21">
        <f t="shared" si="60"/>
        <v>223.57641360668057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119.99995828001613</v>
      </c>
      <c r="BJ82" s="59">
        <f t="shared" si="92"/>
        <v>317.56542444086261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19.267022747280432</v>
      </c>
      <c r="BQ82" s="21">
        <f>EXP(-LN(2)/25)*BQ81+(1-EXP(-LN(2)/25))/(LN(2)/25)*Calculateur!BL82*Calculateur!BN82*VLOOKUP('Données projet'!$B$11,Paramètres!$A$1:$I$89,3,0)*0.475*44/12</f>
        <v>2.5769989724058924</v>
      </c>
      <c r="BR82" s="21">
        <f>EXP(-LN(2)/2)*BR81+(1-EXP(-LN(2)/2))/(LN(2)/2)*BL82*BO82*VLOOKUP('Données projet'!$B$11,Paramètres!$A$1:$I$89,3,0)*0.475*44/12</f>
        <v>2.4884530632930861E-8</v>
      </c>
      <c r="BS82" s="22">
        <f t="shared" si="63"/>
        <v>21.844021744570856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-1.7053025658242404E-13</v>
      </c>
      <c r="O83" s="13">
        <f>N83*VLOOKUP('Données projet'!$B$9,Paramètres!$A$1:$I$89,3,0)*VLOOKUP('Données projet'!$B$9,Paramètres!$A$1:$I$89,5,0)</f>
        <v>-1.0197709343628959E-13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323.17232038705157</v>
      </c>
      <c r="T83" s="59">
        <f t="shared" si="88"/>
        <v>402.34685738619197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101.24222201208238</v>
      </c>
      <c r="AA83" s="21">
        <f>EXP(-LN(2)/25)*AA82+(1-EXP(-LN(2)/25))/(LN(2)/25)*Calculateur!V83*Calculateur!X83*VLOOKUP('Données projet'!$B$9,Paramètres!$A$1:$I$89,3,0)*0.475*44/12</f>
        <v>22.721612484830732</v>
      </c>
      <c r="AB83" s="21">
        <f>EXP(-LN(2)/2)*AB82+(1-EXP(-LN(2)/2))/(LN(2)/2)*V83*Y83*VLOOKUP('Données projet'!$B$9,Paramètres!$A$1:$I$89,3,0)*0.475*44/12</f>
        <v>9.8648366559593581E-3</v>
      </c>
      <c r="AC83" s="22">
        <f t="shared" si="57"/>
        <v>123.97369933356907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-6.7984728957526396E-14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355.09162485318728</v>
      </c>
      <c r="AO83" s="59">
        <f t="shared" si="90"/>
        <v>320.06572891923685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164.7533079505443</v>
      </c>
      <c r="AV83" s="21">
        <f>EXP(-LN(2)/25)*AV82+(1-EXP(-LN(2)/25))/(LN(2)/25)*Calculateur!AQ83*Calculateur!AS83*VLOOKUP('Données projet'!$B$10,Paramètres!$A$1:$I$89,3,0)*0.475*44/12</f>
        <v>37.953305887116372</v>
      </c>
      <c r="AW83" s="21">
        <f>EXP(-LN(2)/2)*AW82+(1-EXP(-LN(2)/2))/(LN(2)/2)*AQ83*AT83*VLOOKUP('Données projet'!$B$10,Paramètres!$A$1:$I$89,3,0)*0.475*44/12</f>
        <v>11.672533929110037</v>
      </c>
      <c r="AX83" s="21">
        <f t="shared" si="60"/>
        <v>214.3791477667707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119.99995828001613</v>
      </c>
      <c r="BJ83" s="59">
        <f t="shared" si="92"/>
        <v>317.56542444086261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18.889208182929753</v>
      </c>
      <c r="BQ83" s="21">
        <f>EXP(-LN(2)/25)*BQ82+(1-EXP(-LN(2)/25))/(LN(2)/25)*Calculateur!BL83*Calculateur!BN83*VLOOKUP('Données projet'!$B$11,Paramètres!$A$1:$I$89,3,0)*0.475*44/12</f>
        <v>2.506530799986967</v>
      </c>
      <c r="BR83" s="21">
        <f>EXP(-LN(2)/2)*BR82+(1-EXP(-LN(2)/2))/(LN(2)/2)*BL83*BO83*VLOOKUP('Données projet'!$B$11,Paramètres!$A$1:$I$89,3,0)*0.475*44/12</f>
        <v>1.7596020357189781E-8</v>
      </c>
      <c r="BS83" s="22">
        <f t="shared" si="63"/>
        <v>21.395739000512737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-1.7053025658242404E-13</v>
      </c>
      <c r="O84" s="13">
        <f>N84*VLOOKUP('Données projet'!$B$9,Paramètres!$A$1:$I$89,3,0)*VLOOKUP('Données projet'!$B$9,Paramètres!$A$1:$I$89,5,0)</f>
        <v>-1.0197709343628959E-13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323.17232038705157</v>
      </c>
      <c r="T84" s="59">
        <f t="shared" si="88"/>
        <v>402.34685738619197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99.256923790083405</v>
      </c>
      <c r="AA84" s="21">
        <f>EXP(-LN(2)/25)*AA83+(1-EXP(-LN(2)/25))/(LN(2)/25)*Calculateur!V84*Calculateur!X84*VLOOKUP('Données projet'!$B$9,Paramètres!$A$1:$I$89,3,0)*0.475*44/12</f>
        <v>22.100288796555365</v>
      </c>
      <c r="AB84" s="21">
        <f>EXP(-LN(2)/2)*AB83+(1-EXP(-LN(2)/2))/(LN(2)/2)*V84*Y84*VLOOKUP('Données projet'!$B$9,Paramètres!$A$1:$I$89,3,0)*0.475*44/12</f>
        <v>6.9754928947264871E-3</v>
      </c>
      <c r="AC84" s="22">
        <f t="shared" si="57"/>
        <v>121.36418807953349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-6.7984728957526396E-14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355.09162485318728</v>
      </c>
      <c r="AO84" s="59">
        <f t="shared" si="90"/>
        <v>320.06572891923685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161.52259607122946</v>
      </c>
      <c r="AV84" s="21">
        <f>EXP(-LN(2)/25)*AV83+(1-EXP(-LN(2)/25))/(LN(2)/25)*Calculateur!AQ84*Calculateur!AS84*VLOOKUP('Données projet'!$B$10,Paramètres!$A$1:$I$89,3,0)*0.475*44/12</f>
        <v>36.915470741755563</v>
      </c>
      <c r="AW84" s="21">
        <f>EXP(-LN(2)/2)*AW83+(1-EXP(-LN(2)/2))/(LN(2)/2)*AQ84*AT84*VLOOKUP('Données projet'!$B$10,Paramètres!$A$1:$I$89,3,0)*0.475*44/12</f>
        <v>8.2537278949037631</v>
      </c>
      <c r="AX84" s="21">
        <f t="shared" si="60"/>
        <v>206.69179470788879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119.99995828001613</v>
      </c>
      <c r="BJ84" s="59">
        <f t="shared" si="92"/>
        <v>317.56542444086261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18.51880233174186</v>
      </c>
      <c r="BQ84" s="21">
        <f>EXP(-LN(2)/25)*BQ83+(1-EXP(-LN(2)/25))/(LN(2)/25)*Calculateur!BL84*Calculateur!BN84*VLOOKUP('Données projet'!$B$11,Paramètres!$A$1:$I$89,3,0)*0.475*44/12</f>
        <v>2.4379895834485974</v>
      </c>
      <c r="BR84" s="21">
        <f>EXP(-LN(2)/2)*BR83+(1-EXP(-LN(2)/2))/(LN(2)/2)*BL84*BO84*VLOOKUP('Données projet'!$B$11,Paramètres!$A$1:$I$89,3,0)*0.475*44/12</f>
        <v>1.244226531646543E-8</v>
      </c>
      <c r="BS84" s="22">
        <f t="shared" si="63"/>
        <v>20.956791927632722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-1.7053025658242404E-13</v>
      </c>
      <c r="O85" s="13">
        <f>N85*VLOOKUP('Données projet'!$B$9,Paramètres!$A$1:$I$89,3,0)*VLOOKUP('Données projet'!$B$9,Paramètres!$A$1:$I$89,5,0)</f>
        <v>-1.0197709343628959E-13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323.17232038705157</v>
      </c>
      <c r="T85" s="59">
        <f t="shared" si="88"/>
        <v>402.34685738619197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97.310556055305483</v>
      </c>
      <c r="AA85" s="21">
        <f>EXP(-LN(2)/25)*AA84+(1-EXP(-LN(2)/25))/(LN(2)/25)*Calculateur!V85*Calculateur!X85*VLOOKUP('Données projet'!$B$9,Paramètres!$A$1:$I$89,3,0)*0.475*44/12</f>
        <v>21.495955237209881</v>
      </c>
      <c r="AB85" s="21">
        <f>EXP(-LN(2)/2)*AB84+(1-EXP(-LN(2)/2))/(LN(2)/2)*V85*Y85*VLOOKUP('Données projet'!$B$9,Paramètres!$A$1:$I$89,3,0)*0.475*44/12</f>
        <v>4.9324183279796791E-3</v>
      </c>
      <c r="AC85" s="22">
        <f t="shared" si="57"/>
        <v>118.81144371084335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-6.7984728957526396E-14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355.09162485318728</v>
      </c>
      <c r="AO85" s="59">
        <f t="shared" si="90"/>
        <v>320.06572891923685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158.35523648132829</v>
      </c>
      <c r="AV85" s="21">
        <f>EXP(-LN(2)/25)*AV84+(1-EXP(-LN(2)/25))/(LN(2)/25)*Calculateur!AQ85*Calculateur!AS85*VLOOKUP('Données projet'!$B$10,Paramètres!$A$1:$I$89,3,0)*0.475*44/12</f>
        <v>35.906015253022019</v>
      </c>
      <c r="AW85" s="21">
        <f>EXP(-LN(2)/2)*AW84+(1-EXP(-LN(2)/2))/(LN(2)/2)*AQ85*AT85*VLOOKUP('Données projet'!$B$10,Paramètres!$A$1:$I$89,3,0)*0.475*44/12</f>
        <v>5.8362669645550191</v>
      </c>
      <c r="AX85" s="21">
        <f t="shared" si="60"/>
        <v>200.09751869890533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119.99995828001613</v>
      </c>
      <c r="BJ85" s="59">
        <f t="shared" si="92"/>
        <v>317.56542444086261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18.155659913370499</v>
      </c>
      <c r="BQ85" s="21">
        <f>EXP(-LN(2)/25)*BQ84+(1-EXP(-LN(2)/25))/(LN(2)/25)*Calculateur!BL85*Calculateur!BN85*VLOOKUP('Données projet'!$B$11,Paramètres!$A$1:$I$89,3,0)*0.475*44/12</f>
        <v>2.3713226300808956</v>
      </c>
      <c r="BR85" s="21">
        <f>EXP(-LN(2)/2)*BR84+(1-EXP(-LN(2)/2))/(LN(2)/2)*BL85*BO85*VLOOKUP('Données projet'!$B$11,Paramètres!$A$1:$I$89,3,0)*0.475*44/12</f>
        <v>8.7980101785948905E-9</v>
      </c>
      <c r="BS85" s="22">
        <f t="shared" si="63"/>
        <v>20.526982552249407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-1.7053025658242404E-13</v>
      </c>
      <c r="O86" s="13">
        <f>N86*VLOOKUP('Données projet'!$B$9,Paramètres!$A$1:$I$89,3,0)*VLOOKUP('Données projet'!$B$9,Paramètres!$A$1:$I$89,5,0)</f>
        <v>-1.0197709343628959E-13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323.17232038705157</v>
      </c>
      <c r="T86" s="59">
        <f t="shared" si="88"/>
        <v>402.34685738619197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95.402355404639451</v>
      </c>
      <c r="AA86" s="21">
        <f>EXP(-LN(2)/25)*AA85+(1-EXP(-LN(2)/25))/(LN(2)/25)*Calculateur!V86*Calculateur!X86*VLOOKUP('Données projet'!$B$9,Paramètres!$A$1:$I$89,3,0)*0.475*44/12</f>
        <v>20.90814721082522</v>
      </c>
      <c r="AB86" s="21">
        <f>EXP(-LN(2)/2)*AB85+(1-EXP(-LN(2)/2))/(LN(2)/2)*V86*Y86*VLOOKUP('Données projet'!$B$9,Paramètres!$A$1:$I$89,3,0)*0.475*44/12</f>
        <v>3.4877464473632436E-3</v>
      </c>
      <c r="AC86" s="22">
        <f t="shared" si="57"/>
        <v>116.31399036191203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-6.7984728957526396E-14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355.09162485318728</v>
      </c>
      <c r="AO86" s="59">
        <f t="shared" si="90"/>
        <v>320.06572891923685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155.2499868810865</v>
      </c>
      <c r="AV86" s="21">
        <f>EXP(-LN(2)/25)*AV85+(1-EXP(-LN(2)/25))/(LN(2)/25)*Calculateur!AQ86*Calculateur!AS86*VLOOKUP('Données projet'!$B$10,Paramètres!$A$1:$I$89,3,0)*0.475*44/12</f>
        <v>34.924163377712851</v>
      </c>
      <c r="AW86" s="21">
        <f>EXP(-LN(2)/2)*AW85+(1-EXP(-LN(2)/2))/(LN(2)/2)*AQ86*AT86*VLOOKUP('Données projet'!$B$10,Paramètres!$A$1:$I$89,3,0)*0.475*44/12</f>
        <v>4.1268639474518825</v>
      </c>
      <c r="AX86" s="21">
        <f t="shared" si="60"/>
        <v>194.30101420625124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119.99995828001613</v>
      </c>
      <c r="BJ86" s="59">
        <f t="shared" si="92"/>
        <v>317.56542444086261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17.799638496328399</v>
      </c>
      <c r="BQ86" s="21">
        <f>EXP(-LN(2)/25)*BQ85+(1-EXP(-LN(2)/25))/(LN(2)/25)*Calculateur!BL86*Calculateur!BN86*VLOOKUP('Données projet'!$B$11,Paramètres!$A$1:$I$89,3,0)*0.475*44/12</f>
        <v>2.3064786880588963</v>
      </c>
      <c r="BR86" s="21">
        <f>EXP(-LN(2)/2)*BR85+(1-EXP(-LN(2)/2))/(LN(2)/2)*BL86*BO86*VLOOKUP('Données projet'!$B$11,Paramètres!$A$1:$I$89,3,0)*0.475*44/12</f>
        <v>6.2211326582327152E-9</v>
      </c>
      <c r="BS86" s="22">
        <f t="shared" si="63"/>
        <v>20.106117190608426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-1.7053025658242404E-13</v>
      </c>
      <c r="O87" s="13">
        <f>N87*VLOOKUP('Données projet'!$B$9,Paramètres!$A$1:$I$89,3,0)*VLOOKUP('Données projet'!$B$9,Paramètres!$A$1:$I$89,5,0)</f>
        <v>-1.0197709343628959E-13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323.17232038705157</v>
      </c>
      <c r="T87" s="59">
        <f t="shared" si="88"/>
        <v>402.34685738619197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93.531573404845517</v>
      </c>
      <c r="AA87" s="21">
        <f>EXP(-LN(2)/25)*AA86+(1-EXP(-LN(2)/25))/(LN(2)/25)*Calculateur!V87*Calculateur!X87*VLOOKUP('Données projet'!$B$9,Paramètres!$A$1:$I$89,3,0)*0.475*44/12</f>
        <v>20.336412825833527</v>
      </c>
      <c r="AB87" s="21">
        <f>EXP(-LN(2)/2)*AB86+(1-EXP(-LN(2)/2))/(LN(2)/2)*V87*Y87*VLOOKUP('Données projet'!$B$9,Paramètres!$A$1:$I$89,3,0)*0.475*44/12</f>
        <v>2.4662091639898395E-3</v>
      </c>
      <c r="AC87" s="22">
        <f t="shared" si="57"/>
        <v>113.87045243984302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-6.7984728957526396E-14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355.09162485318728</v>
      </c>
      <c r="AO87" s="59">
        <f t="shared" si="90"/>
        <v>320.06572891923685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152.20562933149023</v>
      </c>
      <c r="AV87" s="21">
        <f>EXP(-LN(2)/25)*AV86+(1-EXP(-LN(2)/25))/(LN(2)/25)*Calculateur!AQ87*Calculateur!AS87*VLOOKUP('Données projet'!$B$10,Paramètres!$A$1:$I$89,3,0)*0.475*44/12</f>
        <v>33.969160293567363</v>
      </c>
      <c r="AW87" s="21">
        <f>EXP(-LN(2)/2)*AW86+(1-EXP(-LN(2)/2))/(LN(2)/2)*AQ87*AT87*VLOOKUP('Données projet'!$B$10,Paramètres!$A$1:$I$89,3,0)*0.475*44/12</f>
        <v>2.91813348227751</v>
      </c>
      <c r="AX87" s="21">
        <f t="shared" si="60"/>
        <v>189.09292310733511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119.99995828001613</v>
      </c>
      <c r="BJ87" s="59">
        <f t="shared" si="92"/>
        <v>317.56542444086261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17.450598442122871</v>
      </c>
      <c r="BQ87" s="21">
        <f>EXP(-LN(2)/25)*BQ86+(1-EXP(-LN(2)/25))/(LN(2)/25)*Calculateur!BL87*Calculateur!BN87*VLOOKUP('Données projet'!$B$11,Paramètres!$A$1:$I$89,3,0)*0.475*44/12</f>
        <v>2.2434079070414832</v>
      </c>
      <c r="BR87" s="21">
        <f>EXP(-LN(2)/2)*BR86+(1-EXP(-LN(2)/2))/(LN(2)/2)*BL87*BO87*VLOOKUP('Données projet'!$B$11,Paramètres!$A$1:$I$89,3,0)*0.475*44/12</f>
        <v>4.3990050892974452E-9</v>
      </c>
      <c r="BS87" s="22">
        <f t="shared" si="63"/>
        <v>19.69400635356336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-1.7053025658242404E-13</v>
      </c>
      <c r="O88" s="13">
        <f>N88*VLOOKUP('Données projet'!$B$9,Paramètres!$A$1:$I$89,3,0)*VLOOKUP('Données projet'!$B$9,Paramètres!$A$1:$I$89,5,0)</f>
        <v>-1.0197709343628959E-13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323.17232038705157</v>
      </c>
      <c r="T88" s="59">
        <f t="shared" si="88"/>
        <v>402.34685738619197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91.697476299003185</v>
      </c>
      <c r="AA88" s="21">
        <f>EXP(-LN(2)/25)*AA87+(1-EXP(-LN(2)/25))/(LN(2)/25)*Calculateur!V88*Calculateur!X88*VLOOKUP('Données projet'!$B$9,Paramètres!$A$1:$I$89,3,0)*0.475*44/12</f>
        <v>19.780312547665638</v>
      </c>
      <c r="AB88" s="21">
        <f>EXP(-LN(2)/2)*AB87+(1-EXP(-LN(2)/2))/(LN(2)/2)*V88*Y88*VLOOKUP('Données projet'!$B$9,Paramètres!$A$1:$I$89,3,0)*0.475*44/12</f>
        <v>1.7438732236816218E-3</v>
      </c>
      <c r="AC88" s="22">
        <f t="shared" si="57"/>
        <v>111.47953271989252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-6.7984728957526396E-14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355.09162485318728</v>
      </c>
      <c r="AO88" s="59">
        <f t="shared" si="90"/>
        <v>320.06572891923685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149.22096977656679</v>
      </c>
      <c r="AV88" s="21">
        <f>EXP(-LN(2)/25)*AV87+(1-EXP(-LN(2)/25))/(LN(2)/25)*Calculateur!AQ88*Calculateur!AS88*VLOOKUP('Données projet'!$B$10,Paramètres!$A$1:$I$89,3,0)*0.475*44/12</f>
        <v>33.040271818979264</v>
      </c>
      <c r="AW88" s="21">
        <f>EXP(-LN(2)/2)*AW87+(1-EXP(-LN(2)/2))/(LN(2)/2)*AQ88*AT88*VLOOKUP('Données projet'!$B$10,Paramètres!$A$1:$I$89,3,0)*0.475*44/12</f>
        <v>2.0634319737259412</v>
      </c>
      <c r="AX88" s="21">
        <f t="shared" si="60"/>
        <v>184.32467356927199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119.99995828001613</v>
      </c>
      <c r="BJ88" s="59">
        <f t="shared" si="92"/>
        <v>317.56542444086261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17.1084028504869</v>
      </c>
      <c r="BQ88" s="21">
        <f>EXP(-LN(2)/25)*BQ87+(1-EXP(-LN(2)/25))/(LN(2)/25)*Calculateur!BL88*Calculateur!BN88*VLOOKUP('Données projet'!$B$11,Paramètres!$A$1:$I$89,3,0)*0.475*44/12</f>
        <v>2.1820617998477392</v>
      </c>
      <c r="BR88" s="21">
        <f>EXP(-LN(2)/2)*BR87+(1-EXP(-LN(2)/2))/(LN(2)/2)*BL88*BO88*VLOOKUP('Données projet'!$B$11,Paramètres!$A$1:$I$89,3,0)*0.475*44/12</f>
        <v>3.1105663291163576E-9</v>
      </c>
      <c r="BS88" s="22">
        <f t="shared" si="63"/>
        <v>19.290464653445209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-1.7053025658242404E-13</v>
      </c>
      <c r="O89" s="13">
        <f>N89*VLOOKUP('Données projet'!$B$9,Paramètres!$A$1:$I$89,3,0)*VLOOKUP('Données projet'!$B$9,Paramètres!$A$1:$I$89,5,0)</f>
        <v>-1.0197709343628959E-13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323.17232038705157</v>
      </c>
      <c r="T89" s="59">
        <f t="shared" si="88"/>
        <v>402.34685738619197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89.899344718717657</v>
      </c>
      <c r="AA89" s="21">
        <f>EXP(-LN(2)/25)*AA88+(1-EXP(-LN(2)/25))/(LN(2)/25)*Calculateur!V89*Calculateur!X89*VLOOKUP('Données projet'!$B$9,Paramètres!$A$1:$I$89,3,0)*0.475*44/12</f>
        <v>19.239418860848293</v>
      </c>
      <c r="AB89" s="21">
        <f>EXP(-LN(2)/2)*AB88+(1-EXP(-LN(2)/2))/(LN(2)/2)*V89*Y89*VLOOKUP('Données projet'!$B$9,Paramètres!$A$1:$I$89,3,0)*0.475*44/12</f>
        <v>1.2331045819949198E-3</v>
      </c>
      <c r="AC89" s="22">
        <f t="shared" si="57"/>
        <v>109.13999668414795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-6.7984728957526396E-14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355.09162485318728</v>
      </c>
      <c r="AO89" s="59">
        <f t="shared" si="90"/>
        <v>320.06572891923685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146.29483757505281</v>
      </c>
      <c r="AV89" s="21">
        <f>EXP(-LN(2)/25)*AV88+(1-EXP(-LN(2)/25))/(LN(2)/25)*Calculateur!AQ89*Calculateur!AS89*VLOOKUP('Données projet'!$B$10,Paramètres!$A$1:$I$89,3,0)*0.475*44/12</f>
        <v>32.136783848576897</v>
      </c>
      <c r="AW89" s="21">
        <f>EXP(-LN(2)/2)*AW88+(1-EXP(-LN(2)/2))/(LN(2)/2)*AQ89*AT89*VLOOKUP('Données projet'!$B$10,Paramètres!$A$1:$I$89,3,0)*0.475*44/12</f>
        <v>1.459066741138755</v>
      </c>
      <c r="AX89" s="21">
        <f t="shared" si="60"/>
        <v>179.89068816476845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119.99995828001613</v>
      </c>
      <c r="BJ89" s="59">
        <f t="shared" si="92"/>
        <v>317.56542444086261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16.772917505684212</v>
      </c>
      <c r="BQ89" s="21">
        <f>EXP(-LN(2)/25)*BQ88+(1-EXP(-LN(2)/25))/(LN(2)/25)*Calculateur!BL89*Calculateur!BN89*VLOOKUP('Données projet'!$B$11,Paramètres!$A$1:$I$89,3,0)*0.475*44/12</f>
        <v>2.1223932051812597</v>
      </c>
      <c r="BR89" s="21">
        <f>EXP(-LN(2)/2)*BR88+(1-EXP(-LN(2)/2))/(LN(2)/2)*BL89*BO89*VLOOKUP('Données projet'!$B$11,Paramètres!$A$1:$I$89,3,0)*0.475*44/12</f>
        <v>2.1995025446487226E-9</v>
      </c>
      <c r="BS89" s="22">
        <f t="shared" si="63"/>
        <v>18.895310713064976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-1.7053025658242404E-13</v>
      </c>
      <c r="O90" s="13">
        <f>N90*VLOOKUP('Données projet'!$B$9,Paramètres!$A$1:$I$89,3,0)*VLOOKUP('Données projet'!$B$9,Paramètres!$A$1:$I$89,5,0)</f>
        <v>-1.0197709343628959E-13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323.17232038705157</v>
      </c>
      <c r="T90" s="59">
        <f t="shared" si="88"/>
        <v>402.34685738619197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88.136473401969553</v>
      </c>
      <c r="AA90" s="21">
        <f>EXP(-LN(2)/25)*AA89+(1-EXP(-LN(2)/25))/(LN(2)/25)*Calculateur!V90*Calculateur!X90*VLOOKUP('Données projet'!$B$9,Paramètres!$A$1:$I$89,3,0)*0.475*44/12</f>
        <v>18.713315940341332</v>
      </c>
      <c r="AB90" s="21">
        <f>EXP(-LN(2)/2)*AB89+(1-EXP(-LN(2)/2))/(LN(2)/2)*V90*Y90*VLOOKUP('Données projet'!$B$9,Paramètres!$A$1:$I$89,3,0)*0.475*44/12</f>
        <v>8.7193661184081089E-4</v>
      </c>
      <c r="AC90" s="22">
        <f t="shared" si="57"/>
        <v>106.85066127892273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-6.7984728957526396E-14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355.09162485318728</v>
      </c>
      <c r="AO90" s="59">
        <f t="shared" si="90"/>
        <v>320.06572891923685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143.42608504124613</v>
      </c>
      <c r="AV90" s="21">
        <f>EXP(-LN(2)/25)*AV89+(1-EXP(-LN(2)/25))/(LN(2)/25)*Calculateur!AQ90*Calculateur!AS90*VLOOKUP('Données projet'!$B$10,Paramètres!$A$1:$I$89,3,0)*0.475*44/12</f>
        <v>31.258001804237548</v>
      </c>
      <c r="AW90" s="21">
        <f>EXP(-LN(2)/2)*AW89+(1-EXP(-LN(2)/2))/(LN(2)/2)*AQ90*AT90*VLOOKUP('Données projet'!$B$10,Paramètres!$A$1:$I$89,3,0)*0.475*44/12</f>
        <v>1.0317159868629706</v>
      </c>
      <c r="AX90" s="21">
        <f t="shared" si="60"/>
        <v>175.71580283234664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119.99995828001613</v>
      </c>
      <c r="BJ90" s="59">
        <f t="shared" si="92"/>
        <v>317.56542444086261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16.444010823867249</v>
      </c>
      <c r="BQ90" s="21">
        <f>EXP(-LN(2)/25)*BQ89+(1-EXP(-LN(2)/25))/(LN(2)/25)*Calculateur!BL90*Calculateur!BN90*VLOOKUP('Données projet'!$B$11,Paramètres!$A$1:$I$89,3,0)*0.475*44/12</f>
        <v>2.0643562513737703</v>
      </c>
      <c r="BR90" s="21">
        <f>EXP(-LN(2)/2)*BR89+(1-EXP(-LN(2)/2))/(LN(2)/2)*BL90*BO90*VLOOKUP('Données projet'!$B$11,Paramètres!$A$1:$I$89,3,0)*0.475*44/12</f>
        <v>1.5552831645581788E-9</v>
      </c>
      <c r="BS90" s="22">
        <f t="shared" si="63"/>
        <v>18.508367076796301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-1.7053025658242404E-13</v>
      </c>
      <c r="O91" s="13">
        <f>N91*VLOOKUP('Données projet'!$B$9,Paramètres!$A$1:$I$89,3,0)*VLOOKUP('Données projet'!$B$9,Paramètres!$A$1:$I$89,5,0)</f>
        <v>-1.0197709343628959E-13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323.17232038705157</v>
      </c>
      <c r="T91" s="59">
        <f t="shared" si="88"/>
        <v>402.34685738619197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86.408170916497554</v>
      </c>
      <c r="AA91" s="21">
        <f>EXP(-LN(2)/25)*AA90+(1-EXP(-LN(2)/25))/(LN(2)/25)*Calculateur!V91*Calculateur!X91*VLOOKUP('Données projet'!$B$9,Paramètres!$A$1:$I$89,3,0)*0.475*44/12</f>
        <v>18.201599331862184</v>
      </c>
      <c r="AB91" s="21">
        <f>EXP(-LN(2)/2)*AB90+(1-EXP(-LN(2)/2))/(LN(2)/2)*V91*Y91*VLOOKUP('Données projet'!$B$9,Paramètres!$A$1:$I$89,3,0)*0.475*44/12</f>
        <v>6.1655229099745988E-4</v>
      </c>
      <c r="AC91" s="22">
        <f t="shared" si="57"/>
        <v>104.61038680065073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-6.7984728957526396E-14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355.09162485318728</v>
      </c>
      <c r="AO91" s="59">
        <f t="shared" si="90"/>
        <v>320.06572891923685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140.61358699486109</v>
      </c>
      <c r="AV91" s="21">
        <f>EXP(-LN(2)/25)*AV90+(1-EXP(-LN(2)/25))/(LN(2)/25)*Calculateur!AQ91*Calculateur!AS91*VLOOKUP('Données projet'!$B$10,Paramètres!$A$1:$I$89,3,0)*0.475*44/12</f>
        <v>30.403250101113798</v>
      </c>
      <c r="AW91" s="21">
        <f>EXP(-LN(2)/2)*AW90+(1-EXP(-LN(2)/2))/(LN(2)/2)*AQ91*AT91*VLOOKUP('Données projet'!$B$10,Paramètres!$A$1:$I$89,3,0)*0.475*44/12</f>
        <v>0.7295333705693775</v>
      </c>
      <c r="AX91" s="21">
        <f t="shared" si="60"/>
        <v>171.74637046654428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119.99995828001613</v>
      </c>
      <c r="BJ91" s="59">
        <f t="shared" si="92"/>
        <v>317.56542444086261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16.121553801467449</v>
      </c>
      <c r="BQ91" s="21">
        <f>EXP(-LN(2)/25)*BQ90+(1-EXP(-LN(2)/25))/(LN(2)/25)*Calculateur!BL91*Calculateur!BN91*VLOOKUP('Données projet'!$B$11,Paramètres!$A$1:$I$89,3,0)*0.475*44/12</f>
        <v>2.0079063211201773</v>
      </c>
      <c r="BR91" s="21">
        <f>EXP(-LN(2)/2)*BR90+(1-EXP(-LN(2)/2))/(LN(2)/2)*BL91*BO91*VLOOKUP('Données projet'!$B$11,Paramètres!$A$1:$I$89,3,0)*0.475*44/12</f>
        <v>1.0997512723243613E-9</v>
      </c>
      <c r="BS91" s="22">
        <f t="shared" si="63"/>
        <v>18.129460123687377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-1.7053025658242404E-13</v>
      </c>
      <c r="O92" s="13">
        <f>N92*VLOOKUP('Données projet'!$B$9,Paramètres!$A$1:$I$89,3,0)*VLOOKUP('Données projet'!$B$9,Paramètres!$A$1:$I$89,5,0)</f>
        <v>-1.0197709343628959E-13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323.17232038705157</v>
      </c>
      <c r="T92" s="59">
        <f t="shared" si="88"/>
        <v>402.34685738619197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84.713759388605226</v>
      </c>
      <c r="AA92" s="21">
        <f>EXP(-LN(2)/25)*AA91+(1-EXP(-LN(2)/25))/(LN(2)/25)*Calculateur!V92*Calculateur!X92*VLOOKUP('Données projet'!$B$9,Paramètres!$A$1:$I$89,3,0)*0.475*44/12</f>
        <v>17.703875640951903</v>
      </c>
      <c r="AB92" s="21">
        <f>EXP(-LN(2)/2)*AB91+(1-EXP(-LN(2)/2))/(LN(2)/2)*V92*Y92*VLOOKUP('Données projet'!$B$9,Paramètres!$A$1:$I$89,3,0)*0.475*44/12</f>
        <v>4.3596830592040545E-4</v>
      </c>
      <c r="AC92" s="22">
        <f t="shared" si="57"/>
        <v>102.41807099786305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-6.7984728957526396E-14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355.09162485318728</v>
      </c>
      <c r="AO92" s="59">
        <f t="shared" si="90"/>
        <v>320.06572891923685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137.85624031971128</v>
      </c>
      <c r="AV92" s="21">
        <f>EXP(-LN(2)/25)*AV91+(1-EXP(-LN(2)/25))/(LN(2)/25)*Calculateur!AQ92*Calculateur!AS92*VLOOKUP('Données projet'!$B$10,Paramètres!$A$1:$I$89,3,0)*0.475*44/12</f>
        <v>29.571871628261405</v>
      </c>
      <c r="AW92" s="21">
        <f>EXP(-LN(2)/2)*AW91+(1-EXP(-LN(2)/2))/(LN(2)/2)*AQ92*AT92*VLOOKUP('Données projet'!$B$10,Paramètres!$A$1:$I$89,3,0)*0.475*44/12</f>
        <v>0.51585799343148531</v>
      </c>
      <c r="AX92" s="21">
        <f t="shared" si="60"/>
        <v>167.94396994140419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119.99995828001613</v>
      </c>
      <c r="BJ92" s="59">
        <f t="shared" si="92"/>
        <v>317.56542444086261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15.805419964597546</v>
      </c>
      <c r="BQ92" s="21">
        <f>EXP(-LN(2)/25)*BQ91+(1-EXP(-LN(2)/25))/(LN(2)/25)*Calculateur!BL92*Calculateur!BN92*VLOOKUP('Données projet'!$B$11,Paramètres!$A$1:$I$89,3,0)*0.475*44/12</f>
        <v>1.9530000171779418</v>
      </c>
      <c r="BR92" s="21">
        <f>EXP(-LN(2)/2)*BR91+(1-EXP(-LN(2)/2))/(LN(2)/2)*BL92*BO92*VLOOKUP('Données projet'!$B$11,Paramètres!$A$1:$I$89,3,0)*0.475*44/12</f>
        <v>7.7764158227908941E-10</v>
      </c>
      <c r="BS92" s="22">
        <f t="shared" si="63"/>
        <v>17.758419982553129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-1.7053025658242404E-13</v>
      </c>
      <c r="O93" s="13">
        <f>N93*VLOOKUP('Données projet'!$B$9,Paramètres!$A$1:$I$89,3,0)*VLOOKUP('Données projet'!$B$9,Paramètres!$A$1:$I$89,5,0)</f>
        <v>-1.0197709343628959E-13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323.17232038705157</v>
      </c>
      <c r="T93" s="59">
        <f t="shared" si="88"/>
        <v>402.34685738619197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83.052574237285882</v>
      </c>
      <c r="AA93" s="21">
        <f>EXP(-LN(2)/25)*AA92+(1-EXP(-LN(2)/25))/(LN(2)/25)*Calculateur!V93*Calculateur!X93*VLOOKUP('Données projet'!$B$9,Paramètres!$A$1:$I$89,3,0)*0.475*44/12</f>
        <v>17.219762230543715</v>
      </c>
      <c r="AB93" s="21">
        <f>EXP(-LN(2)/2)*AB92+(1-EXP(-LN(2)/2))/(LN(2)/2)*V93*Y93*VLOOKUP('Données projet'!$B$9,Paramètres!$A$1:$I$89,3,0)*0.475*44/12</f>
        <v>3.0827614549872994E-4</v>
      </c>
      <c r="AC93" s="22">
        <f t="shared" si="57"/>
        <v>100.27264474397511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-6.7984728957526396E-14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355.09162485318728</v>
      </c>
      <c r="AO93" s="59">
        <f t="shared" si="90"/>
        <v>320.06572891923685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135.15296353104571</v>
      </c>
      <c r="AV93" s="21">
        <f>EXP(-LN(2)/25)*AV92+(1-EXP(-LN(2)/25))/(LN(2)/25)*Calculateur!AQ93*Calculateur!AS93*VLOOKUP('Données projet'!$B$10,Paramètres!$A$1:$I$89,3,0)*0.475*44/12</f>
        <v>28.763227243469455</v>
      </c>
      <c r="AW93" s="21">
        <f>EXP(-LN(2)/2)*AW92+(1-EXP(-LN(2)/2))/(LN(2)/2)*AQ93*AT93*VLOOKUP('Données projet'!$B$10,Paramètres!$A$1:$I$89,3,0)*0.475*44/12</f>
        <v>0.36476668528468875</v>
      </c>
      <c r="AX93" s="21">
        <f t="shared" si="60"/>
        <v>164.28095745979985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119.99995828001613</v>
      </c>
      <c r="BJ93" s="59">
        <f t="shared" si="92"/>
        <v>317.56542444086261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15.495485319446059</v>
      </c>
      <c r="BQ93" s="21">
        <f>EXP(-LN(2)/25)*BQ92+(1-EXP(-LN(2)/25))/(LN(2)/25)*Calculateur!BL93*Calculateur!BN93*VLOOKUP('Données projet'!$B$11,Paramètres!$A$1:$I$89,3,0)*0.475*44/12</f>
        <v>1.8995951290044037</v>
      </c>
      <c r="BR93" s="21">
        <f>EXP(-LN(2)/2)*BR92+(1-EXP(-LN(2)/2))/(LN(2)/2)*BL93*BO93*VLOOKUP('Données projet'!$B$11,Paramètres!$A$1:$I$89,3,0)*0.475*44/12</f>
        <v>5.4987563616218066E-10</v>
      </c>
      <c r="BS93" s="22">
        <f t="shared" si="63"/>
        <v>17.395080449000339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-1.0197709343628959E-13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323.17232038705157</v>
      </c>
      <c r="T94" s="59">
        <f t="shared" si="88"/>
        <v>402.34685738619197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81.423963913561025</v>
      </c>
      <c r="AA94" s="21">
        <f>EXP(-LN(2)/25)*AA93+(1-EXP(-LN(2)/25))/(LN(2)/25)*Calculateur!V94*Calculateur!X94*VLOOKUP('Données projet'!$B$9,Paramètres!$A$1:$I$89,3,0)*0.475*44/12</f>
        <v>16.748886926801557</v>
      </c>
      <c r="AB94" s="21">
        <f>EXP(-LN(2)/2)*AB93+(1-EXP(-LN(2)/2))/(LN(2)/2)*V94*Y94*VLOOKUP('Données projet'!$B$9,Paramètres!$A$1:$I$89,3,0)*0.475*44/12</f>
        <v>2.1798415296020272E-4</v>
      </c>
      <c r="AC94" s="22">
        <f t="shared" si="57"/>
        <v>98.173068824515539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-6.7984728957526396E-14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355.09162485318728</v>
      </c>
      <c r="AO94" s="59">
        <f t="shared" si="90"/>
        <v>320.06572891923685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132.50269635136988</v>
      </c>
      <c r="AV94" s="21">
        <f>EXP(-LN(2)/25)*AV93+(1-EXP(-LN(2)/25))/(LN(2)/25)*Calculateur!AQ94*Calculateur!AS94*VLOOKUP('Données projet'!$B$10,Paramètres!$A$1:$I$89,3,0)*0.475*44/12</f>
        <v>27.976695281904401</v>
      </c>
      <c r="AW94" s="21">
        <f>EXP(-LN(2)/2)*AW93+(1-EXP(-LN(2)/2))/(LN(2)/2)*AQ94*AT94*VLOOKUP('Données projet'!$B$10,Paramètres!$A$1:$I$89,3,0)*0.475*44/12</f>
        <v>0.25792899671574265</v>
      </c>
      <c r="AX94" s="21">
        <f t="shared" si="60"/>
        <v>160.73732062999002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119.99995828001613</v>
      </c>
      <c r="BJ94" s="59">
        <f t="shared" si="92"/>
        <v>317.56542444086261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15.191628303644528</v>
      </c>
      <c r="BQ94" s="21">
        <f>EXP(-LN(2)/25)*BQ93+(1-EXP(-LN(2)/25))/(LN(2)/25)*Calculateur!BL94*Calculateur!BN94*VLOOKUP('Données projet'!$B$11,Paramètres!$A$1:$I$89,3,0)*0.475*44/12</f>
        <v>1.8476506003064121</v>
      </c>
      <c r="BR94" s="21">
        <f>EXP(-LN(2)/2)*BR93+(1-EXP(-LN(2)/2))/(LN(2)/2)*BL94*BO94*VLOOKUP('Données projet'!$B$11,Paramètres!$A$1:$I$89,3,0)*0.475*44/12</f>
        <v>3.888207911395447E-10</v>
      </c>
      <c r="BS94" s="22">
        <f t="shared" si="63"/>
        <v>17.03927890433976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-1.0197709343628959E-13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323.17232038705157</v>
      </c>
      <c r="T95" s="59">
        <f t="shared" si="88"/>
        <v>402.34685738619197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79.82728964493019</v>
      </c>
      <c r="AA95" s="21">
        <f>EXP(-LN(2)/25)*AA94+(1-EXP(-LN(2)/25))/(LN(2)/25)*Calculateur!V95*Calculateur!X95*VLOOKUP('Données projet'!$B$9,Paramètres!$A$1:$I$89,3,0)*0.475*44/12</f>
        <v>16.290887733002485</v>
      </c>
      <c r="AB95" s="21">
        <f>EXP(-LN(2)/2)*AB94+(1-EXP(-LN(2)/2))/(LN(2)/2)*V95*Y95*VLOOKUP('Données projet'!$B$9,Paramètres!$A$1:$I$89,3,0)*0.475*44/12</f>
        <v>1.5413807274936497E-4</v>
      </c>
      <c r="AC95" s="22">
        <f t="shared" si="57"/>
        <v>96.118331516005426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-6.7984728957526396E-14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355.09162485318728</v>
      </c>
      <c r="AO95" s="59">
        <f t="shared" si="90"/>
        <v>320.06572891923685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129.9043992945841</v>
      </c>
      <c r="AV95" s="21">
        <f>EXP(-LN(2)/25)*AV94+(1-EXP(-LN(2)/25))/(LN(2)/25)*Calculateur!AQ95*Calculateur!AS95*VLOOKUP('Données projet'!$B$10,Paramètres!$A$1:$I$89,3,0)*0.475*44/12</f>
        <v>27.211671078190264</v>
      </c>
      <c r="AW95" s="21">
        <f>EXP(-LN(2)/2)*AW94+(1-EXP(-LN(2)/2))/(LN(2)/2)*AQ95*AT95*VLOOKUP('Données projet'!$B$10,Paramètres!$A$1:$I$89,3,0)*0.475*44/12</f>
        <v>0.18238334264234438</v>
      </c>
      <c r="AX95" s="21">
        <f t="shared" si="60"/>
        <v>157.29845371541668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119.99995828001613</v>
      </c>
      <c r="BJ95" s="59">
        <f t="shared" si="92"/>
        <v>317.56542444086261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14.893729738588384</v>
      </c>
      <c r="BQ95" s="21">
        <f>EXP(-LN(2)/25)*BQ94+(1-EXP(-LN(2)/25))/(LN(2)/25)*Calculateur!BL95*Calculateur!BN95*VLOOKUP('Données projet'!$B$11,Paramètres!$A$1:$I$89,3,0)*0.475*44/12</f>
        <v>1.7971264974773111</v>
      </c>
      <c r="BR95" s="21">
        <f>EXP(-LN(2)/2)*BR94+(1-EXP(-LN(2)/2))/(LN(2)/2)*BL95*BO95*VLOOKUP('Données projet'!$B$11,Paramètres!$A$1:$I$89,3,0)*0.475*44/12</f>
        <v>2.7493781808109033E-10</v>
      </c>
      <c r="BS95" s="22">
        <f t="shared" si="63"/>
        <v>16.690856236340633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-1.0197709343628959E-13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323.17232038705157</v>
      </c>
      <c r="T96" s="59">
        <f t="shared" si="88"/>
        <v>402.34685738619197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78.261925184832066</v>
      </c>
      <c r="AA96" s="21">
        <f>EXP(-LN(2)/25)*AA95+(1-EXP(-LN(2)/25))/(LN(2)/25)*Calculateur!V96*Calculateur!X96*VLOOKUP('Données projet'!$B$9,Paramètres!$A$1:$I$89,3,0)*0.475*44/12</f>
        <v>15.84541255124298</v>
      </c>
      <c r="AB96" s="21">
        <f>EXP(-LN(2)/2)*AB95+(1-EXP(-LN(2)/2))/(LN(2)/2)*V96*Y96*VLOOKUP('Données projet'!$B$9,Paramètres!$A$1:$I$89,3,0)*0.475*44/12</f>
        <v>1.0899207648010136E-4</v>
      </c>
      <c r="AC96" s="22">
        <f t="shared" si="57"/>
        <v>94.107446728151515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-6.7984728957526396E-14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355.09162485318728</v>
      </c>
      <c r="AO96" s="59">
        <f t="shared" si="90"/>
        <v>320.06572891923685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127.35705325827718</v>
      </c>
      <c r="AV96" s="21">
        <f>EXP(-LN(2)/25)*AV95+(1-EXP(-LN(2)/25))/(LN(2)/25)*Calculateur!AQ96*Calculateur!AS96*VLOOKUP('Données projet'!$B$10,Paramètres!$A$1:$I$89,3,0)*0.475*44/12</f>
        <v>26.467566501557563</v>
      </c>
      <c r="AW96" s="21">
        <f>EXP(-LN(2)/2)*AW95+(1-EXP(-LN(2)/2))/(LN(2)/2)*AQ96*AT96*VLOOKUP('Données projet'!$B$10,Paramètres!$A$1:$I$89,3,0)*0.475*44/12</f>
        <v>0.12896449835787133</v>
      </c>
      <c r="AX96" s="21">
        <f t="shared" si="60"/>
        <v>153.95358425819262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119.99995828001613</v>
      </c>
      <c r="BJ96" s="59">
        <f t="shared" si="92"/>
        <v>317.56542444086261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14.601672782692809</v>
      </c>
      <c r="BQ96" s="21">
        <f>EXP(-LN(2)/25)*BQ95+(1-EXP(-LN(2)/25))/(LN(2)/25)*Calculateur!BL96*Calculateur!BN96*VLOOKUP('Données projet'!$B$11,Paramètres!$A$1:$I$89,3,0)*0.475*44/12</f>
        <v>1.7479839788970188</v>
      </c>
      <c r="BR96" s="21">
        <f>EXP(-LN(2)/2)*BR95+(1-EXP(-LN(2)/2))/(LN(2)/2)*BL96*BO96*VLOOKUP('Données projet'!$B$11,Paramètres!$A$1:$I$89,3,0)*0.475*44/12</f>
        <v>1.9441039556977235E-10</v>
      </c>
      <c r="BS96" s="22">
        <f t="shared" si="63"/>
        <v>16.349656761784239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-1.0197709343628959E-13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323.17232038705157</v>
      </c>
      <c r="T97" s="59">
        <f t="shared" si="88"/>
        <v>402.34685738619197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76.727256567018429</v>
      </c>
      <c r="AA97" s="21">
        <f>EXP(-LN(2)/25)*AA96+(1-EXP(-LN(2)/25))/(LN(2)/25)*Calculateur!V97*Calculateur!X97*VLOOKUP('Données projet'!$B$9,Paramètres!$A$1:$I$89,3,0)*0.475*44/12</f>
        <v>15.41211891175521</v>
      </c>
      <c r="AB97" s="21">
        <f>EXP(-LN(2)/2)*AB96+(1-EXP(-LN(2)/2))/(LN(2)/2)*V97*Y97*VLOOKUP('Données projet'!$B$9,Paramètres!$A$1:$I$89,3,0)*0.475*44/12</f>
        <v>7.7069036374682485E-5</v>
      </c>
      <c r="AC97" s="22">
        <f t="shared" si="57"/>
        <v>92.139452547810023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-6.7984728957526396E-14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355.09162485318728</v>
      </c>
      <c r="AO97" s="59">
        <f t="shared" si="90"/>
        <v>320.06572891923685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124.85965912401457</v>
      </c>
      <c r="AV97" s="21">
        <f>EXP(-LN(2)/25)*AV96+(1-EXP(-LN(2)/25))/(LN(2)/25)*Calculateur!AQ97*Calculateur!AS97*VLOOKUP('Données projet'!$B$10,Paramètres!$A$1:$I$89,3,0)*0.475*44/12</f>
        <v>25.743809503703641</v>
      </c>
      <c r="AW97" s="21">
        <f>EXP(-LN(2)/2)*AW96+(1-EXP(-LN(2)/2))/(LN(2)/2)*AQ97*AT97*VLOOKUP('Données projet'!$B$10,Paramètres!$A$1:$I$89,3,0)*0.475*44/12</f>
        <v>9.1191671321172188E-2</v>
      </c>
      <c r="AX97" s="21">
        <f t="shared" si="60"/>
        <v>150.69466029903938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119.99995828001613</v>
      </c>
      <c r="BJ97" s="59">
        <f t="shared" si="92"/>
        <v>317.56542444086261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14.315342885565192</v>
      </c>
      <c r="BQ97" s="21">
        <f>EXP(-LN(2)/25)*BQ96+(1-EXP(-LN(2)/25))/(LN(2)/25)*Calculateur!BL97*Calculateur!BN97*VLOOKUP('Données projet'!$B$11,Paramètres!$A$1:$I$89,3,0)*0.475*44/12</f>
        <v>1.7001852650715974</v>
      </c>
      <c r="BR97" s="21">
        <f>EXP(-LN(2)/2)*BR96+(1-EXP(-LN(2)/2))/(LN(2)/2)*BL97*BO97*VLOOKUP('Données projet'!$B$11,Paramètres!$A$1:$I$89,3,0)*0.475*44/12</f>
        <v>1.3746890904054516E-10</v>
      </c>
      <c r="BS97" s="22">
        <f t="shared" si="63"/>
        <v>16.015528150774259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-1.0197709343628959E-13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323.17232038705157</v>
      </c>
      <c r="T98" s="59">
        <f t="shared" si="88"/>
        <v>402.34685738619197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75.222681864744686</v>
      </c>
      <c r="AA98" s="21">
        <f>EXP(-LN(2)/25)*AA97+(1-EXP(-LN(2)/25))/(LN(2)/25)*Calculateur!V98*Calculateur!X98*VLOOKUP('Données projet'!$B$9,Paramètres!$A$1:$I$89,3,0)*0.475*44/12</f>
        <v>14.990673709625154</v>
      </c>
      <c r="AB98" s="21">
        <f>EXP(-LN(2)/2)*AB97+(1-EXP(-LN(2)/2))/(LN(2)/2)*V98*Y98*VLOOKUP('Données projet'!$B$9,Paramètres!$A$1:$I$89,3,0)*0.475*44/12</f>
        <v>5.4496038240050681E-5</v>
      </c>
      <c r="AC98" s="22">
        <f t="shared" si="57"/>
        <v>90.213410070408088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-6.7984728957526396E-14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355.09162485318728</v>
      </c>
      <c r="AO98" s="59">
        <f t="shared" si="90"/>
        <v>320.06572891923685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122.41123736546484</v>
      </c>
      <c r="AV98" s="21">
        <f>EXP(-LN(2)/25)*AV97+(1-EXP(-LN(2)/25))/(LN(2)/25)*Calculateur!AQ98*Calculateur!AS98*VLOOKUP('Données projet'!$B$10,Paramètres!$A$1:$I$89,3,0)*0.475*44/12</f>
        <v>25.039843679016762</v>
      </c>
      <c r="AW98" s="21">
        <f>EXP(-LN(2)/2)*AW97+(1-EXP(-LN(2)/2))/(LN(2)/2)*AQ98*AT98*VLOOKUP('Données projet'!$B$10,Paramètres!$A$1:$I$89,3,0)*0.475*44/12</f>
        <v>6.4482249178935663E-2</v>
      </c>
      <c r="AX98" s="21">
        <f t="shared" si="60"/>
        <v>147.51556329366053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119.99995828001613</v>
      </c>
      <c r="BJ98" s="59">
        <f t="shared" si="92"/>
        <v>317.56542444086261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14.034627743076255</v>
      </c>
      <c r="BQ98" s="21">
        <f>EXP(-LN(2)/25)*BQ97+(1-EXP(-LN(2)/25))/(LN(2)/25)*Calculateur!BL98*Calculateur!BN98*VLOOKUP('Données projet'!$B$11,Paramètres!$A$1:$I$89,3,0)*0.475*44/12</f>
        <v>1.6536936095893573</v>
      </c>
      <c r="BR98" s="21">
        <f>EXP(-LN(2)/2)*BR97+(1-EXP(-LN(2)/2))/(LN(2)/2)*BL98*BO98*VLOOKUP('Données projet'!$B$11,Paramètres!$A$1:$I$89,3,0)*0.475*44/12</f>
        <v>9.7205197784886176E-11</v>
      </c>
      <c r="BS98" s="22">
        <f t="shared" si="63"/>
        <v>15.688321352762818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-1.0197709343628959E-13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323.17232038705157</v>
      </c>
      <c r="T99" s="59">
        <f t="shared" si="88"/>
        <v>402.34685738619197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73.747610954682571</v>
      </c>
      <c r="AA99" s="21">
        <f>EXP(-LN(2)/25)*AA98+(1-EXP(-LN(2)/25))/(LN(2)/25)*Calculateur!V99*Calculateur!X99*VLOOKUP('Données projet'!$B$9,Paramètres!$A$1:$I$89,3,0)*0.475*44/12</f>
        <v>14.580752948710186</v>
      </c>
      <c r="AB99" s="21">
        <f>EXP(-LN(2)/2)*AB98+(1-EXP(-LN(2)/2))/(LN(2)/2)*V99*Y99*VLOOKUP('Données projet'!$B$9,Paramètres!$A$1:$I$89,3,0)*0.475*44/12</f>
        <v>3.8534518187341243E-5</v>
      </c>
      <c r="AC99" s="22">
        <f t="shared" si="57"/>
        <v>88.328402437910938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-6.7984728957526396E-14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355.09162485318728</v>
      </c>
      <c r="AO99" s="59">
        <f t="shared" si="90"/>
        <v>320.06572891923685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120.01082766421047</v>
      </c>
      <c r="AV99" s="21">
        <f>EXP(-LN(2)/25)*AV98+(1-EXP(-LN(2)/25))/(LN(2)/25)*Calculateur!AQ99*Calculateur!AS99*VLOOKUP('Données projet'!$B$10,Paramètres!$A$1:$I$89,3,0)*0.475*44/12</f>
        <v>24.355127836825901</v>
      </c>
      <c r="AW99" s="21">
        <f>EXP(-LN(2)/2)*AW98+(1-EXP(-LN(2)/2))/(LN(2)/2)*AQ99*AT99*VLOOKUP('Données projet'!$B$10,Paramètres!$A$1:$I$89,3,0)*0.475*44/12</f>
        <v>4.5595835660586094E-2</v>
      </c>
      <c r="AX99" s="21">
        <f t="shared" si="60"/>
        <v>144.41155133669693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119.99995828001613</v>
      </c>
      <c r="BJ99" s="59">
        <f t="shared" si="92"/>
        <v>317.56542444086261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13.759417253312195</v>
      </c>
      <c r="BQ99" s="21">
        <f>EXP(-LN(2)/25)*BQ98+(1-EXP(-LN(2)/25))/(LN(2)/25)*Calculateur!BL99*Calculateur!BN99*VLOOKUP('Données projet'!$B$11,Paramètres!$A$1:$I$89,3,0)*0.475*44/12</f>
        <v>1.6084732708711689</v>
      </c>
      <c r="BR99" s="21">
        <f>EXP(-LN(2)/2)*BR98+(1-EXP(-LN(2)/2))/(LN(2)/2)*BL99*BO99*VLOOKUP('Données projet'!$B$11,Paramètres!$A$1:$I$89,3,0)*0.475*44/12</f>
        <v>6.8734454520272582E-11</v>
      </c>
      <c r="BS99" s="22">
        <f t="shared" si="63"/>
        <v>15.367890524252099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-1.0197709343628959E-13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323.17232038705157</v>
      </c>
      <c r="T100" s="59">
        <f t="shared" si="88"/>
        <v>402.34685738619197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72.301465285462371</v>
      </c>
      <c r="AA100" s="21">
        <f>EXP(-LN(2)/25)*AA99+(1-EXP(-LN(2)/25))/(LN(2)/25)*Calculateur!V100*Calculateur!X100*VLOOKUP('Données projet'!$B$9,Paramètres!$A$1:$I$89,3,0)*0.475*44/12</f>
        <v>14.182041492559234</v>
      </c>
      <c r="AB100" s="21">
        <f>EXP(-LN(2)/2)*AB99+(1-EXP(-LN(2)/2))/(LN(2)/2)*V100*Y100*VLOOKUP('Données projet'!$B$9,Paramètres!$A$1:$I$89,3,0)*0.475*44/12</f>
        <v>2.724801912002534E-5</v>
      </c>
      <c r="AC100" s="22">
        <f t="shared" si="57"/>
        <v>86.483534026040729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-6.7984728957526396E-14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355.09162485318728</v>
      </c>
      <c r="AO100" s="59">
        <f t="shared" si="90"/>
        <v>320.06572891923685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117.65748853309233</v>
      </c>
      <c r="AV100" s="21">
        <f>EXP(-LN(2)/25)*AV99+(1-EXP(-LN(2)/25))/(LN(2)/25)*Calculateur!AQ100*Calculateur!AS100*VLOOKUP('Données projet'!$B$10,Paramètres!$A$1:$I$89,3,0)*0.475*44/12</f>
        <v>23.689135585347387</v>
      </c>
      <c r="AW100" s="21">
        <f>EXP(-LN(2)/2)*AW99+(1-EXP(-LN(2)/2))/(LN(2)/2)*AQ100*AT100*VLOOKUP('Données projet'!$B$10,Paramètres!$A$1:$I$89,3,0)*0.475*44/12</f>
        <v>3.2241124589467832E-2</v>
      </c>
      <c r="AX100" s="21">
        <f t="shared" si="60"/>
        <v>141.37886524302917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119.99995828001613</v>
      </c>
      <c r="BJ100" s="59">
        <f t="shared" si="92"/>
        <v>317.56542444086261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13.489603473390586</v>
      </c>
      <c r="BQ100" s="21">
        <f>EXP(-LN(2)/25)*BQ99+(1-EXP(-LN(2)/25))/(LN(2)/25)*Calculateur!BL100*Calculateur!BN100*VLOOKUP('Données projet'!$B$11,Paramètres!$A$1:$I$89,3,0)*0.475*44/12</f>
        <v>1.5644894846932638</v>
      </c>
      <c r="BR100" s="21">
        <f>EXP(-LN(2)/2)*BR99+(1-EXP(-LN(2)/2))/(LN(2)/2)*BL100*BO100*VLOOKUP('Données projet'!$B$11,Paramètres!$A$1:$I$89,3,0)*0.475*44/12</f>
        <v>4.8602598892443088E-11</v>
      </c>
      <c r="BS100" s="22">
        <f t="shared" si="63"/>
        <v>15.054092958132452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-1.0197709343628959E-13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323.17232038705157</v>
      </c>
      <c r="T101" s="59">
        <f t="shared" si="88"/>
        <v>402.34685738619197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70.88367765075381</v>
      </c>
      <c r="AA101" s="21">
        <f>EXP(-LN(2)/25)*AA100+(1-EXP(-LN(2)/25))/(LN(2)/25)*Calculateur!V101*Calculateur!X101*VLOOKUP('Données projet'!$B$9,Paramètres!$A$1:$I$89,3,0)*0.475*44/12</f>
        <v>13.794232822144053</v>
      </c>
      <c r="AB101" s="21">
        <f>EXP(-LN(2)/2)*AB100+(1-EXP(-LN(2)/2))/(LN(2)/2)*V101*Y101*VLOOKUP('Données projet'!$B$9,Paramètres!$A$1:$I$89,3,0)*0.475*44/12</f>
        <v>1.9267259093670621E-5</v>
      </c>
      <c r="AC101" s="22">
        <f t="shared" si="57"/>
        <v>84.677929740156955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-6.7984728957526396E-14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355.09162485318728</v>
      </c>
      <c r="AO101" s="59">
        <f t="shared" si="90"/>
        <v>320.06572891923685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115.35029694694029</v>
      </c>
      <c r="AV101" s="21">
        <f>EXP(-LN(2)/25)*AV100+(1-EXP(-LN(2)/25))/(LN(2)/25)*Calculateur!AQ101*Calculateur!AS101*VLOOKUP('Données projet'!$B$10,Paramètres!$A$1:$I$89,3,0)*0.475*44/12</f>
        <v>23.041354927008566</v>
      </c>
      <c r="AW101" s="21">
        <f>EXP(-LN(2)/2)*AW100+(1-EXP(-LN(2)/2))/(LN(2)/2)*AQ101*AT101*VLOOKUP('Données projet'!$B$10,Paramètres!$A$1:$I$89,3,0)*0.475*44/12</f>
        <v>2.2797917830293047E-2</v>
      </c>
      <c r="AX101" s="21">
        <f t="shared" si="60"/>
        <v>138.41444979177916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119.99995828001613</v>
      </c>
      <c r="BJ101" s="59">
        <f t="shared" si="92"/>
        <v>317.56542444086261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13.225080577123084</v>
      </c>
      <c r="BQ101" s="21">
        <f>EXP(-LN(2)/25)*BQ100+(1-EXP(-LN(2)/25))/(LN(2)/25)*Calculateur!BL101*Calculateur!BN101*VLOOKUP('Données projet'!$B$11,Paramètres!$A$1:$I$89,3,0)*0.475*44/12</f>
        <v>1.5217084374614001</v>
      </c>
      <c r="BR101" s="21">
        <f>EXP(-LN(2)/2)*BR100+(1-EXP(-LN(2)/2))/(LN(2)/2)*BL101*BO101*VLOOKUP('Données projet'!$B$11,Paramètres!$A$1:$I$89,3,0)*0.475*44/12</f>
        <v>3.4367227260136291E-11</v>
      </c>
      <c r="BS101" s="22">
        <f t="shared" si="63"/>
        <v>14.746789014618852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-1.0197709343628959E-13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323.17232038705157</v>
      </c>
      <c r="T102" s="59">
        <f t="shared" si="88"/>
        <v>402.34685738619197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69.493691966796817</v>
      </c>
      <c r="AA102" s="21">
        <f>EXP(-LN(2)/25)*AA101+(1-EXP(-LN(2)/25))/(LN(2)/25)*Calculateur!V102*Calculateur!X102*VLOOKUP('Données projet'!$B$9,Paramètres!$A$1:$I$89,3,0)*0.475*44/12</f>
        <v>13.417028800215347</v>
      </c>
      <c r="AB102" s="21">
        <f>EXP(-LN(2)/2)*AB101+(1-EXP(-LN(2)/2))/(LN(2)/2)*V102*Y102*VLOOKUP('Données projet'!$B$9,Paramètres!$A$1:$I$89,3,0)*0.475*44/12</f>
        <v>1.362400956001267E-5</v>
      </c>
      <c r="AC102" s="22">
        <f t="shared" si="57"/>
        <v>82.91073439102172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-6.7984728957526396E-14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355.09162485318728</v>
      </c>
      <c r="AO102" s="59">
        <f t="shared" si="90"/>
        <v>320.06572891923685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113.08834798054478</v>
      </c>
      <c r="AV102" s="21">
        <f>EXP(-LN(2)/25)*AV101+(1-EXP(-LN(2)/25))/(LN(2)/25)*Calculateur!AQ102*Calculateur!AS102*VLOOKUP('Données projet'!$B$10,Paramètres!$A$1:$I$89,3,0)*0.475*44/12</f>
        <v>22.411287864837323</v>
      </c>
      <c r="AW102" s="21">
        <f>EXP(-LN(2)/2)*AW101+(1-EXP(-LN(2)/2))/(LN(2)/2)*AQ102*AT102*VLOOKUP('Données projet'!$B$10,Paramètres!$A$1:$I$89,3,0)*0.475*44/12</f>
        <v>1.6120562294733916E-2</v>
      </c>
      <c r="AX102" s="21">
        <f t="shared" si="60"/>
        <v>135.51575640767683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119.99995828001613</v>
      </c>
      <c r="BJ102" s="59">
        <f t="shared" si="92"/>
        <v>317.56542444086261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12.965744813508351</v>
      </c>
      <c r="BQ102" s="21">
        <f>EXP(-LN(2)/25)*BQ101+(1-EXP(-LN(2)/25))/(LN(2)/25)*Calculateur!BL102*Calculateur!BN102*VLOOKUP('Données projet'!$B$11,Paramètres!$A$1:$I$89,3,0)*0.475*44/12</f>
        <v>1.4800972402158492</v>
      </c>
      <c r="BR102" s="21">
        <f>EXP(-LN(2)/2)*BR101+(1-EXP(-LN(2)/2))/(LN(2)/2)*BL102*BO102*VLOOKUP('Données projet'!$B$11,Paramètres!$A$1:$I$89,3,0)*0.475*44/12</f>
        <v>2.4301299446221544E-11</v>
      </c>
      <c r="BS102" s="22">
        <f t="shared" si="63"/>
        <v>14.445842053748501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-1.0197709343628959E-13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323.17232038705157</v>
      </c>
      <c r="T103" s="59">
        <f t="shared" si="88"/>
        <v>402.34685738619197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68.130963054294668</v>
      </c>
      <c r="AA103" s="21">
        <f>EXP(-LN(2)/25)*AA102+(1-EXP(-LN(2)/25))/(LN(2)/25)*Calculateur!V103*Calculateur!X103*VLOOKUP('Données projet'!$B$9,Paramètres!$A$1:$I$89,3,0)*0.475*44/12</f>
        <v>13.050139442102578</v>
      </c>
      <c r="AB103" s="21">
        <f>EXP(-LN(2)/2)*AB102+(1-EXP(-LN(2)/2))/(LN(2)/2)*V103*Y103*VLOOKUP('Données projet'!$B$9,Paramètres!$A$1:$I$89,3,0)*0.475*44/12</f>
        <v>9.6336295468353106E-6</v>
      </c>
      <c r="AC103" s="22">
        <f t="shared" si="57"/>
        <v>81.18111213002679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-6.7984728957526396E-14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355.09162485318728</v>
      </c>
      <c r="AO103" s="59">
        <f t="shared" si="90"/>
        <v>320.06572891923685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110.87075445372764</v>
      </c>
      <c r="AV103" s="21">
        <f>EXP(-LN(2)/25)*AV102+(1-EXP(-LN(2)/25))/(LN(2)/25)*Calculateur!AQ103*Calculateur!AS103*VLOOKUP('Données projet'!$B$10,Paramètres!$A$1:$I$89,3,0)*0.475*44/12</f>
        <v>21.79845001961494</v>
      </c>
      <c r="AW103" s="21">
        <f>EXP(-LN(2)/2)*AW102+(1-EXP(-LN(2)/2))/(LN(2)/2)*AQ103*AT103*VLOOKUP('Données projet'!$B$10,Paramètres!$A$1:$I$89,3,0)*0.475*44/12</f>
        <v>1.1398958915146523E-2</v>
      </c>
      <c r="AX103" s="21">
        <f t="shared" si="60"/>
        <v>132.68060343225773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119.99995828001613</v>
      </c>
      <c r="BJ103" s="59">
        <f t="shared" si="92"/>
        <v>317.56542444086261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12.711494466038907</v>
      </c>
      <c r="BQ103" s="21">
        <f>EXP(-LN(2)/25)*BQ102+(1-EXP(-LN(2)/25))/(LN(2)/25)*Calculateur!BL103*Calculateur!BN103*VLOOKUP('Données projet'!$B$11,Paramètres!$A$1:$I$89,3,0)*0.475*44/12</f>
        <v>1.4396239033472158</v>
      </c>
      <c r="BR103" s="21">
        <f>EXP(-LN(2)/2)*BR102+(1-EXP(-LN(2)/2))/(LN(2)/2)*BL103*BO103*VLOOKUP('Données projet'!$B$11,Paramètres!$A$1:$I$89,3,0)*0.475*44/12</f>
        <v>1.7183613630068146E-11</v>
      </c>
      <c r="BS103" s="22">
        <f t="shared" si="63"/>
        <v>14.151118369403306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-1.0197709343628959E-13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323.17232038705157</v>
      </c>
      <c r="T104" s="59">
        <f t="shared" si="88"/>
        <v>402.34685738619197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66.794956424584115</v>
      </c>
      <c r="AA104" s="21">
        <f>EXP(-LN(2)/25)*AA103+(1-EXP(-LN(2)/25))/(LN(2)/25)*Calculateur!V104*Calculateur!X104*VLOOKUP('Données projet'!$B$9,Paramètres!$A$1:$I$89,3,0)*0.475*44/12</f>
        <v>12.693282692781276</v>
      </c>
      <c r="AB104" s="21">
        <f>EXP(-LN(2)/2)*AB103+(1-EXP(-LN(2)/2))/(LN(2)/2)*V104*Y104*VLOOKUP('Données projet'!$B$9,Paramètres!$A$1:$I$89,3,0)*0.475*44/12</f>
        <v>6.8120047800063351E-6</v>
      </c>
      <c r="AC104" s="22">
        <f t="shared" si="57"/>
        <v>79.48824592937018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-6.7984728957526396E-14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355.09162485318728</v>
      </c>
      <c r="AO104" s="59">
        <f t="shared" si="90"/>
        <v>320.06572891923685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108.6966465833729</v>
      </c>
      <c r="AV104" s="21">
        <f>EXP(-LN(2)/25)*AV103+(1-EXP(-LN(2)/25))/(LN(2)/25)*Calculateur!AQ104*Calculateur!AS104*VLOOKUP('Données projet'!$B$10,Paramètres!$A$1:$I$89,3,0)*0.475*44/12</f>
        <v>21.202370257497904</v>
      </c>
      <c r="AW104" s="21">
        <f>EXP(-LN(2)/2)*AW103+(1-EXP(-LN(2)/2))/(LN(2)/2)*AQ104*AT104*VLOOKUP('Données projet'!$B$10,Paramètres!$A$1:$I$89,3,0)*0.475*44/12</f>
        <v>8.0602811473669579E-3</v>
      </c>
      <c r="AX104" s="21">
        <f t="shared" si="60"/>
        <v>129.90707712201817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119.99995828001613</v>
      </c>
      <c r="BJ104" s="59">
        <f t="shared" si="92"/>
        <v>317.56542444086261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12.462229812805939</v>
      </c>
      <c r="BQ104" s="21">
        <f>EXP(-LN(2)/25)*BQ103+(1-EXP(-LN(2)/25))/(LN(2)/25)*Calculateur!BL104*Calculateur!BN104*VLOOKUP('Données projet'!$B$11,Paramètres!$A$1:$I$89,3,0)*0.475*44/12</f>
        <v>1.4002573120036554</v>
      </c>
      <c r="BR104" s="21">
        <f>EXP(-LN(2)/2)*BR103+(1-EXP(-LN(2)/2))/(LN(2)/2)*BL104*BO104*VLOOKUP('Données projet'!$B$11,Paramètres!$A$1:$I$89,3,0)*0.475*44/12</f>
        <v>1.2150649723110772E-11</v>
      </c>
      <c r="BS104" s="22">
        <f t="shared" si="63"/>
        <v>13.862487124821744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-1.0197709343628959E-13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323.17232038705157</v>
      </c>
      <c r="T105" s="59">
        <f t="shared" si="88"/>
        <v>402.34685738619197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65.485148069998615</v>
      </c>
      <c r="AA105" s="21">
        <f>EXP(-LN(2)/25)*AA104+(1-EXP(-LN(2)/25))/(LN(2)/25)*Calculateur!V105*Calculateur!X105*VLOOKUP('Données projet'!$B$9,Paramètres!$A$1:$I$89,3,0)*0.475*44/12</f>
        <v>12.346184210036446</v>
      </c>
      <c r="AB105" s="21">
        <f>EXP(-LN(2)/2)*AB104+(1-EXP(-LN(2)/2))/(LN(2)/2)*V105*Y105*VLOOKUP('Données projet'!$B$9,Paramètres!$A$1:$I$89,3,0)*0.475*44/12</f>
        <v>4.8168147734176553E-6</v>
      </c>
      <c r="AC105" s="22">
        <f t="shared" si="57"/>
        <v>77.831337096849836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-6.7984728957526396E-14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355.09162485318728</v>
      </c>
      <c r="AO105" s="59">
        <f t="shared" si="90"/>
        <v>320.06572891923685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106.56517164228094</v>
      </c>
      <c r="AV105" s="21">
        <f>EXP(-LN(2)/25)*AV104+(1-EXP(-LN(2)/25))/(LN(2)/25)*Calculateur!AQ105*Calculateur!AS105*VLOOKUP('Données projet'!$B$10,Paramètres!$A$1:$I$89,3,0)*0.475*44/12</f>
        <v>20.622590327822429</v>
      </c>
      <c r="AW105" s="21">
        <f>EXP(-LN(2)/2)*AW104+(1-EXP(-LN(2)/2))/(LN(2)/2)*AQ105*AT105*VLOOKUP('Données projet'!$B$10,Paramètres!$A$1:$I$89,3,0)*0.475*44/12</f>
        <v>5.6994794575732617E-3</v>
      </c>
      <c r="AX105" s="21">
        <f t="shared" si="60"/>
        <v>127.19346144956094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119.99995828001613</v>
      </c>
      <c r="BJ105" s="59">
        <f t="shared" si="92"/>
        <v>317.56542444086261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12.217853087386443</v>
      </c>
      <c r="BQ105" s="21">
        <f>EXP(-LN(2)/25)*BQ104+(1-EXP(-LN(2)/25))/(LN(2)/25)*Calculateur!BL105*Calculateur!BN105*VLOOKUP('Données projet'!$B$11,Paramètres!$A$1:$I$89,3,0)*0.475*44/12</f>
        <v>1.3619672021705838</v>
      </c>
      <c r="BR105" s="21">
        <f>EXP(-LN(2)/2)*BR104+(1-EXP(-LN(2)/2))/(LN(2)/2)*BL105*BO105*VLOOKUP('Données projet'!$B$11,Paramètres!$A$1:$I$89,3,0)*0.475*44/12</f>
        <v>8.5918068150340728E-12</v>
      </c>
      <c r="BS105" s="22">
        <f t="shared" si="63"/>
        <v>13.579820289565619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-1.0197709343628959E-13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323.17232038705157</v>
      </c>
      <c r="T106" s="59">
        <f t="shared" si="88"/>
        <v>402.34685738619197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64.201024258342315</v>
      </c>
      <c r="AA106" s="21">
        <f>EXP(-LN(2)/25)*AA105+(1-EXP(-LN(2)/25))/(LN(2)/25)*Calculateur!V106*Calculateur!X106*VLOOKUP('Données projet'!$B$9,Paramètres!$A$1:$I$89,3,0)*0.475*44/12</f>
        <v>12.00857715355539</v>
      </c>
      <c r="AB106" s="21">
        <f>EXP(-LN(2)/2)*AB105+(1-EXP(-LN(2)/2))/(LN(2)/2)*V106*Y106*VLOOKUP('Données projet'!$B$9,Paramètres!$A$1:$I$89,3,0)*0.475*44/12</f>
        <v>3.4060023900031676E-6</v>
      </c>
      <c r="AC106" s="22">
        <f t="shared" si="57"/>
        <v>76.2096048179001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-6.7984728957526396E-14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355.09162485318728</v>
      </c>
      <c r="AO106" s="59">
        <f t="shared" si="90"/>
        <v>320.06572891923685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104.47549362471247</v>
      </c>
      <c r="AV106" s="21">
        <f>EXP(-LN(2)/25)*AV105+(1-EXP(-LN(2)/25))/(LN(2)/25)*Calculateur!AQ106*Calculateur!AS106*VLOOKUP('Données projet'!$B$10,Paramètres!$A$1:$I$89,3,0)*0.475*44/12</f>
        <v>20.058664510813234</v>
      </c>
      <c r="AW106" s="21">
        <f>EXP(-LN(2)/2)*AW105+(1-EXP(-LN(2)/2))/(LN(2)/2)*AQ106*AT106*VLOOKUP('Données projet'!$B$10,Paramètres!$A$1:$I$89,3,0)*0.475*44/12</f>
        <v>4.030140573683479E-3</v>
      </c>
      <c r="AX106" s="21">
        <f t="shared" si="60"/>
        <v>124.53818827609939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119.99995828001613</v>
      </c>
      <c r="BJ106" s="59">
        <f t="shared" si="92"/>
        <v>317.56542444086261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11.978268440497338</v>
      </c>
      <c r="BQ106" s="21">
        <f>EXP(-LN(2)/25)*BQ105+(1-EXP(-LN(2)/25))/(LN(2)/25)*Calculateur!BL106*Calculateur!BN106*VLOOKUP('Données projet'!$B$11,Paramètres!$A$1:$I$89,3,0)*0.475*44/12</f>
        <v>1.3247241374044867</v>
      </c>
      <c r="BR106" s="21">
        <f>EXP(-LN(2)/2)*BR105+(1-EXP(-LN(2)/2))/(LN(2)/2)*BL106*BO106*VLOOKUP('Données projet'!$B$11,Paramètres!$A$1:$I$89,3,0)*0.475*44/12</f>
        <v>6.075324861555386E-12</v>
      </c>
      <c r="BS106" s="22">
        <f t="shared" si="63"/>
        <v>13.302992577907901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-1.0197709343628959E-13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323.17232038705157</v>
      </c>
      <c r="T107" s="59">
        <f t="shared" si="88"/>
        <v>402.34685738619197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62.942081331394412</v>
      </c>
      <c r="AA107" s="21">
        <f>EXP(-LN(2)/25)*AA106+(1-EXP(-LN(2)/25))/(LN(2)/25)*Calculateur!V107*Calculateur!X107*VLOOKUP('Données projet'!$B$9,Paramètres!$A$1:$I$89,3,0)*0.475*44/12</f>
        <v>11.680201979787791</v>
      </c>
      <c r="AB107" s="21">
        <f>EXP(-LN(2)/2)*AB106+(1-EXP(-LN(2)/2))/(LN(2)/2)*V107*Y107*VLOOKUP('Données projet'!$B$9,Paramètres!$A$1:$I$89,3,0)*0.475*44/12</f>
        <v>2.4084073867088277E-6</v>
      </c>
      <c r="AC107" s="22">
        <f t="shared" si="57"/>
        <v>74.622285719589584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-6.7984728957526396E-14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355.09162485318728</v>
      </c>
      <c r="AO107" s="59">
        <f t="shared" si="90"/>
        <v>320.06572891923685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102.42679291849078</v>
      </c>
      <c r="AV107" s="21">
        <f>EXP(-LN(2)/25)*AV106+(1-EXP(-LN(2)/25))/(LN(2)/25)*Calculateur!AQ107*Calculateur!AS107*VLOOKUP('Données projet'!$B$10,Paramètres!$A$1:$I$89,3,0)*0.475*44/12</f>
        <v>19.510159274925723</v>
      </c>
      <c r="AW107" s="21">
        <f>EXP(-LN(2)/2)*AW106+(1-EXP(-LN(2)/2))/(LN(2)/2)*AQ107*AT107*VLOOKUP('Données projet'!$B$10,Paramètres!$A$1:$I$89,3,0)*0.475*44/12</f>
        <v>2.8497397287866309E-3</v>
      </c>
      <c r="AX107" s="21">
        <f t="shared" si="60"/>
        <v>121.93980193314529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119.99995828001613</v>
      </c>
      <c r="BJ107" s="59">
        <f t="shared" si="92"/>
        <v>317.56542444086261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11.743381902401524</v>
      </c>
      <c r="BQ107" s="21">
        <f>EXP(-LN(2)/25)*BQ106+(1-EXP(-LN(2)/25))/(LN(2)/25)*Calculateur!BL107*Calculateur!BN107*VLOOKUP('Données projet'!$B$11,Paramètres!$A$1:$I$89,3,0)*0.475*44/12</f>
        <v>1.2884994862029464</v>
      </c>
      <c r="BR107" s="21">
        <f>EXP(-LN(2)/2)*BR106+(1-EXP(-LN(2)/2))/(LN(2)/2)*BL107*BO107*VLOOKUP('Données projet'!$B$11,Paramètres!$A$1:$I$89,3,0)*0.475*44/12</f>
        <v>4.2959034075170364E-12</v>
      </c>
      <c r="BS107" s="22">
        <f t="shared" si="63"/>
        <v>13.031881388608765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-1.0197709343628959E-13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323.17232038705157</v>
      </c>
      <c r="T108" s="59">
        <f t="shared" si="88"/>
        <v>402.34685738619197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61.707825507364596</v>
      </c>
      <c r="AA108" s="21">
        <f>EXP(-LN(2)/25)*AA107+(1-EXP(-LN(2)/25))/(LN(2)/25)*Calculateur!V108*Calculateur!X108*VLOOKUP('Données projet'!$B$9,Paramètres!$A$1:$I$89,3,0)*0.475*44/12</f>
        <v>11.360806242415366</v>
      </c>
      <c r="AB108" s="21">
        <f>EXP(-LN(2)/2)*AB107+(1-EXP(-LN(2)/2))/(LN(2)/2)*V108*Y108*VLOOKUP('Données projet'!$B$9,Paramètres!$A$1:$I$89,3,0)*0.475*44/12</f>
        <v>1.7030011950015838E-6</v>
      </c>
      <c r="AC108" s="22">
        <f t="shared" si="57"/>
        <v>73.068633452781157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-6.7984728957526396E-14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355.09162485318728</v>
      </c>
      <c r="AO108" s="59">
        <f t="shared" si="90"/>
        <v>320.06572891923685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100.41826598353404</v>
      </c>
      <c r="AV108" s="21">
        <f>EXP(-LN(2)/25)*AV107+(1-EXP(-LN(2)/25))/(LN(2)/25)*Calculateur!AQ108*Calculateur!AS108*VLOOKUP('Données projet'!$B$10,Paramètres!$A$1:$I$89,3,0)*0.475*44/12</f>
        <v>18.976652943558193</v>
      </c>
      <c r="AW108" s="21">
        <f>EXP(-LN(2)/2)*AW107+(1-EXP(-LN(2)/2))/(LN(2)/2)*AQ108*AT108*VLOOKUP('Données projet'!$B$10,Paramètres!$A$1:$I$89,3,0)*0.475*44/12</f>
        <v>2.0150702868417395E-3</v>
      </c>
      <c r="AX108" s="21">
        <f t="shared" si="60"/>
        <v>119.39693399737908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119.99995828001613</v>
      </c>
      <c r="BJ108" s="59">
        <f t="shared" si="92"/>
        <v>317.56542444086261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11.513101346051126</v>
      </c>
      <c r="BQ108" s="21">
        <f>EXP(-LN(2)/25)*BQ107+(1-EXP(-LN(2)/25))/(LN(2)/25)*Calculateur!BL108*Calculateur!BN108*VLOOKUP('Données projet'!$B$11,Paramètres!$A$1:$I$89,3,0)*0.475*44/12</f>
        <v>1.2532653999934837</v>
      </c>
      <c r="BR108" s="21">
        <f>EXP(-LN(2)/2)*BR107+(1-EXP(-LN(2)/2))/(LN(2)/2)*BL108*BO108*VLOOKUP('Données projet'!$B$11,Paramètres!$A$1:$I$89,3,0)*0.475*44/12</f>
        <v>3.037662430777693E-12</v>
      </c>
      <c r="BS108" s="22">
        <f t="shared" si="63"/>
        <v>12.766366746047648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-1.0197709343628959E-13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323.17232038705157</v>
      </c>
      <c r="T109" s="59">
        <f t="shared" si="88"/>
        <v>402.34685738619197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60.497772687222287</v>
      </c>
      <c r="AA109" s="21">
        <f>EXP(-LN(2)/25)*AA108+(1-EXP(-LN(2)/25))/(LN(2)/25)*Calculateur!V109*Calculateur!X109*VLOOKUP('Données projet'!$B$9,Paramètres!$A$1:$I$89,3,0)*0.475*44/12</f>
        <v>11.050144398277682</v>
      </c>
      <c r="AB109" s="21">
        <f>EXP(-LN(2)/2)*AB108+(1-EXP(-LN(2)/2))/(LN(2)/2)*V109*Y109*VLOOKUP('Données projet'!$B$9,Paramètres!$A$1:$I$89,3,0)*0.475*44/12</f>
        <v>1.2042036933544138E-6</v>
      </c>
      <c r="AC109" s="22">
        <f t="shared" si="57"/>
        <v>71.547918289703674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-6.7984728957526396E-14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355.09162485318728</v>
      </c>
      <c r="AO109" s="59">
        <f t="shared" si="90"/>
        <v>320.06572891923685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98.449125036691342</v>
      </c>
      <c r="AV109" s="21">
        <f>EXP(-LN(2)/25)*AV108+(1-EXP(-LN(2)/25))/(LN(2)/25)*Calculateur!AQ109*Calculateur!AS109*VLOOKUP('Données projet'!$B$10,Paramètres!$A$1:$I$89,3,0)*0.475*44/12</f>
        <v>18.457735370877788</v>
      </c>
      <c r="AW109" s="21">
        <f>EXP(-LN(2)/2)*AW108+(1-EXP(-LN(2)/2))/(LN(2)/2)*AQ109*AT109*VLOOKUP('Données projet'!$B$10,Paramètres!$A$1:$I$89,3,0)*0.475*44/12</f>
        <v>1.4248698643933154E-3</v>
      </c>
      <c r="AX109" s="21">
        <f t="shared" si="60"/>
        <v>116.90828527743352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119.99995828001613</v>
      </c>
      <c r="BJ109" s="59">
        <f t="shared" si="92"/>
        <v>317.56542444086261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11.287336450953489</v>
      </c>
      <c r="BQ109" s="21">
        <f>EXP(-LN(2)/25)*BQ108+(1-EXP(-LN(2)/25))/(LN(2)/25)*Calculateur!BL109*Calculateur!BN109*VLOOKUP('Données projet'!$B$11,Paramètres!$A$1:$I$89,3,0)*0.475*44/12</f>
        <v>1.2189947917242989</v>
      </c>
      <c r="BR109" s="21">
        <f>EXP(-LN(2)/2)*BR108+(1-EXP(-LN(2)/2))/(LN(2)/2)*BL109*BO109*VLOOKUP('Données projet'!$B$11,Paramètres!$A$1:$I$89,3,0)*0.475*44/12</f>
        <v>2.1479517037585182E-12</v>
      </c>
      <c r="BS109" s="22">
        <f t="shared" si="63"/>
        <v>12.506331242679936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-1.0197709343628959E-13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323.17232038705157</v>
      </c>
      <c r="T110" s="59">
        <f t="shared" si="88"/>
        <v>402.34685738619197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59.311448264823625</v>
      </c>
      <c r="AA110" s="21">
        <f>EXP(-LN(2)/25)*AA109+(1-EXP(-LN(2)/25))/(LN(2)/25)*Calculateur!V110*Calculateur!X110*VLOOKUP('Données projet'!$B$9,Paramètres!$A$1:$I$89,3,0)*0.475*44/12</f>
        <v>10.74797761860494</v>
      </c>
      <c r="AB110" s="21">
        <f>EXP(-LN(2)/2)*AB109+(1-EXP(-LN(2)/2))/(LN(2)/2)*V110*Y110*VLOOKUP('Données projet'!$B$9,Paramètres!$A$1:$I$89,3,0)*0.475*44/12</f>
        <v>8.5150059750079189E-7</v>
      </c>
      <c r="AC110" s="22">
        <f t="shared" si="57"/>
        <v>70.059426734929161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-6.7984728957526396E-14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355.09162485318728</v>
      </c>
      <c r="AO110" s="59">
        <f t="shared" si="90"/>
        <v>320.06572891923685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96.518597742758843</v>
      </c>
      <c r="AV110" s="21">
        <f>EXP(-LN(2)/25)*AV109+(1-EXP(-LN(2)/25))/(LN(2)/25)*Calculateur!AQ110*Calculateur!AS110*VLOOKUP('Données projet'!$B$10,Paramètres!$A$1:$I$89,3,0)*0.475*44/12</f>
        <v>17.953007626511017</v>
      </c>
      <c r="AW110" s="21">
        <f>EXP(-LN(2)/2)*AW109+(1-EXP(-LN(2)/2))/(LN(2)/2)*AQ110*AT110*VLOOKUP('Données projet'!$B$10,Paramètres!$A$1:$I$89,3,0)*0.475*44/12</f>
        <v>1.0075351434208697E-3</v>
      </c>
      <c r="AX110" s="21">
        <f t="shared" si="60"/>
        <v>114.47261290441328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119.99995828001613</v>
      </c>
      <c r="BJ110" s="59">
        <f t="shared" si="92"/>
        <v>317.56542444086261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11.065998667745729</v>
      </c>
      <c r="BQ110" s="21">
        <f>EXP(-LN(2)/25)*BQ109+(1-EXP(-LN(2)/25))/(LN(2)/25)*Calculateur!BL110*Calculateur!BN110*VLOOKUP('Données projet'!$B$11,Paramètres!$A$1:$I$89,3,0)*0.475*44/12</f>
        <v>1.185661315040448</v>
      </c>
      <c r="BR110" s="21">
        <f>EXP(-LN(2)/2)*BR109+(1-EXP(-LN(2)/2))/(LN(2)/2)*BL110*BO110*VLOOKUP('Données projet'!$B$11,Paramètres!$A$1:$I$89,3,0)*0.475*44/12</f>
        <v>1.5188312153888465E-12</v>
      </c>
      <c r="BS110" s="22">
        <f t="shared" si="63"/>
        <v>12.251659982787697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-1.0197709343628959E-13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323.17232038705157</v>
      </c>
      <c r="T111" s="59">
        <f t="shared" si="88"/>
        <v>402.34685738619197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58.148386940761753</v>
      </c>
      <c r="AA111" s="21">
        <f>EXP(-LN(2)/25)*AA110+(1-EXP(-LN(2)/25))/(LN(2)/25)*Calculateur!V111*Calculateur!X111*VLOOKUP('Données projet'!$B$9,Paramètres!$A$1:$I$89,3,0)*0.475*44/12</f>
        <v>10.45407360541261</v>
      </c>
      <c r="AB111" s="21">
        <f>EXP(-LN(2)/2)*AB110+(1-EXP(-LN(2)/2))/(LN(2)/2)*V111*Y111*VLOOKUP('Données projet'!$B$9,Paramètres!$A$1:$I$89,3,0)*0.475*44/12</f>
        <v>6.0210184667720692E-7</v>
      </c>
      <c r="AC111" s="22">
        <f t="shared" si="57"/>
        <v>68.60246114827622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-6.7984728957526396E-14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355.09162485318728</v>
      </c>
      <c r="AO111" s="59">
        <f t="shared" si="90"/>
        <v>320.06572891923685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94.625926911554984</v>
      </c>
      <c r="AV111" s="21">
        <f>EXP(-LN(2)/25)*AV110+(1-EXP(-LN(2)/25))/(LN(2)/25)*Calculateur!AQ111*Calculateur!AS111*VLOOKUP('Données projet'!$B$10,Paramètres!$A$1:$I$89,3,0)*0.475*44/12</f>
        <v>17.462081688856433</v>
      </c>
      <c r="AW111" s="21">
        <f>EXP(-LN(2)/2)*AW110+(1-EXP(-LN(2)/2))/(LN(2)/2)*AQ111*AT111*VLOOKUP('Données projet'!$B$10,Paramètres!$A$1:$I$89,3,0)*0.475*44/12</f>
        <v>7.1243493219665772E-4</v>
      </c>
      <c r="AX111" s="21">
        <f t="shared" si="60"/>
        <v>112.08872103534361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119.99995828001613</v>
      </c>
      <c r="BJ111" s="59">
        <f t="shared" si="92"/>
        <v>317.56542444086261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10.849001183463956</v>
      </c>
      <c r="BQ111" s="21">
        <f>EXP(-LN(2)/25)*BQ110+(1-EXP(-LN(2)/25))/(LN(2)/25)*Calculateur!BL111*Calculateur!BN111*VLOOKUP('Données projet'!$B$11,Paramètres!$A$1:$I$89,3,0)*0.475*44/12</f>
        <v>1.1532393440294484</v>
      </c>
      <c r="BR111" s="21">
        <f>EXP(-LN(2)/2)*BR110+(1-EXP(-LN(2)/2))/(LN(2)/2)*BL111*BO111*VLOOKUP('Données projet'!$B$11,Paramètres!$A$1:$I$89,3,0)*0.475*44/12</f>
        <v>1.0739758518792591E-12</v>
      </c>
      <c r="BS111" s="22">
        <f t="shared" si="63"/>
        <v>12.002240527494479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-1.0197709343628959E-13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323.17232038705157</v>
      </c>
      <c r="T112" s="59">
        <f t="shared" si="88"/>
        <v>402.34685738619197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57.008132539867375</v>
      </c>
      <c r="AA112" s="21">
        <f>EXP(-LN(2)/25)*AA111+(1-EXP(-LN(2)/25))/(LN(2)/25)*Calculateur!V112*Calculateur!X112*VLOOKUP('Données projet'!$B$9,Paramètres!$A$1:$I$89,3,0)*0.475*44/12</f>
        <v>10.168206412916764</v>
      </c>
      <c r="AB112" s="21">
        <f>EXP(-LN(2)/2)*AB111+(1-EXP(-LN(2)/2))/(LN(2)/2)*V112*Y112*VLOOKUP('Données projet'!$B$9,Paramètres!$A$1:$I$89,3,0)*0.475*44/12</f>
        <v>4.2575029875039594E-7</v>
      </c>
      <c r="AC112" s="22">
        <f t="shared" si="57"/>
        <v>67.176339378534436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-6.7984728957526396E-14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355.09162485318728</v>
      </c>
      <c r="AO112" s="59">
        <f t="shared" si="90"/>
        <v>320.06572891923685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92.770370200935815</v>
      </c>
      <c r="AV112" s="21">
        <f>EXP(-LN(2)/25)*AV111+(1-EXP(-LN(2)/25))/(LN(2)/25)*Calculateur!AQ112*Calculateur!AS112*VLOOKUP('Données projet'!$B$10,Paramètres!$A$1:$I$89,3,0)*0.475*44/12</f>
        <v>16.984580146783689</v>
      </c>
      <c r="AW112" s="21">
        <f>EXP(-LN(2)/2)*AW111+(1-EXP(-LN(2)/2))/(LN(2)/2)*AQ112*AT112*VLOOKUP('Données projet'!$B$10,Paramètres!$A$1:$I$89,3,0)*0.475*44/12</f>
        <v>5.0376757171043487E-4</v>
      </c>
      <c r="AX112" s="21">
        <f t="shared" si="60"/>
        <v>109.75545411529122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119.99995828001613</v>
      </c>
      <c r="BJ112" s="59">
        <f t="shared" si="92"/>
        <v>317.56542444086261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10.636258887493552</v>
      </c>
      <c r="BQ112" s="21">
        <f>EXP(-LN(2)/25)*BQ111+(1-EXP(-LN(2)/25))/(LN(2)/25)*Calculateur!BL112*Calculateur!BN112*VLOOKUP('Données projet'!$B$11,Paramètres!$A$1:$I$89,3,0)*0.475*44/12</f>
        <v>1.1217039535207418</v>
      </c>
      <c r="BR112" s="21">
        <f>EXP(-LN(2)/2)*BR111+(1-EXP(-LN(2)/2))/(LN(2)/2)*BL112*BO112*VLOOKUP('Données projet'!$B$11,Paramètres!$A$1:$I$89,3,0)*0.475*44/12</f>
        <v>7.5941560769442325E-13</v>
      </c>
      <c r="BS112" s="22">
        <f t="shared" si="63"/>
        <v>11.757962841015054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-1.0197709343628959E-13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323.17232038705157</v>
      </c>
      <c r="T113" s="59">
        <f t="shared" si="88"/>
        <v>402.34685738619197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55.890237832288022</v>
      </c>
      <c r="AA113" s="21">
        <f>EXP(-LN(2)/25)*AA112+(1-EXP(-LN(2)/25))/(LN(2)/25)*Calculateur!V113*Calculateur!X113*VLOOKUP('Données projet'!$B$9,Paramètres!$A$1:$I$89,3,0)*0.475*44/12</f>
        <v>9.8901562738328188</v>
      </c>
      <c r="AB113" s="21">
        <f>EXP(-LN(2)/2)*AB112+(1-EXP(-LN(2)/2))/(LN(2)/2)*V113*Y113*VLOOKUP('Données projet'!$B$9,Paramètres!$A$1:$I$89,3,0)*0.475*44/12</f>
        <v>3.0105092333860346E-7</v>
      </c>
      <c r="AC113" s="22">
        <f t="shared" si="57"/>
        <v>65.780394407171755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-6.7984728957526396E-14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355.09162485318728</v>
      </c>
      <c r="AO113" s="59">
        <f t="shared" si="90"/>
        <v>320.06572891923685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90.951199825634049</v>
      </c>
      <c r="AV113" s="21">
        <f>EXP(-LN(2)/25)*AV112+(1-EXP(-LN(2)/25))/(LN(2)/25)*Calculateur!AQ113*Calculateur!AS113*VLOOKUP('Données projet'!$B$10,Paramètres!$A$1:$I$89,3,0)*0.475*44/12</f>
        <v>16.520135909489639</v>
      </c>
      <c r="AW113" s="21">
        <f>EXP(-LN(2)/2)*AW112+(1-EXP(-LN(2)/2))/(LN(2)/2)*AQ113*AT113*VLOOKUP('Données projet'!$B$10,Paramètres!$A$1:$I$89,3,0)*0.475*44/12</f>
        <v>3.5621746609832886E-4</v>
      </c>
      <c r="AX113" s="21">
        <f t="shared" si="60"/>
        <v>107.47169195258978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119.99995828001613</v>
      </c>
      <c r="BJ113" s="59">
        <f t="shared" si="92"/>
        <v>317.56542444086261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10.42768833818714</v>
      </c>
      <c r="BQ113" s="21">
        <f>EXP(-LN(2)/25)*BQ112+(1-EXP(-LN(2)/25))/(LN(2)/25)*Calculateur!BL113*Calculateur!BN113*VLOOKUP('Données projet'!$B$11,Paramètres!$A$1:$I$89,3,0)*0.475*44/12</f>
        <v>1.0910308999238698</v>
      </c>
      <c r="BR113" s="21">
        <f>EXP(-LN(2)/2)*BR112+(1-EXP(-LN(2)/2))/(LN(2)/2)*BL113*BO113*VLOOKUP('Données projet'!$B$11,Paramètres!$A$1:$I$89,3,0)*0.475*44/12</f>
        <v>5.3698792593962955E-13</v>
      </c>
      <c r="BS113" s="22">
        <f t="shared" si="63"/>
        <v>11.518719238111547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-1.0197709343628959E-13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323.17232038705157</v>
      </c>
      <c r="T114" s="59">
        <f t="shared" si="88"/>
        <v>402.34685738619197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54.794264358075857</v>
      </c>
      <c r="AA114" s="21">
        <f>EXP(-LN(2)/25)*AA113+(1-EXP(-LN(2)/25))/(LN(2)/25)*Calculateur!V114*Calculateur!X114*VLOOKUP('Données projet'!$B$9,Paramètres!$A$1:$I$89,3,0)*0.475*44/12</f>
        <v>9.6197094304241464</v>
      </c>
      <c r="AB114" s="21">
        <f>EXP(-LN(2)/2)*AB113+(1-EXP(-LN(2)/2))/(LN(2)/2)*V114*Y114*VLOOKUP('Données projet'!$B$9,Paramètres!$A$1:$I$89,3,0)*0.475*44/12</f>
        <v>2.1287514937519797E-7</v>
      </c>
      <c r="AC114" s="22">
        <f t="shared" si="57"/>
        <v>64.413974001375152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-6.7984728957526396E-14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355.09162485318728</v>
      </c>
      <c r="AO114" s="59">
        <f t="shared" si="90"/>
        <v>320.06572891923685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89.167702271807585</v>
      </c>
      <c r="AV114" s="21">
        <f>EXP(-LN(2)/25)*AV113+(1-EXP(-LN(2)/25))/(LN(2)/25)*Calculateur!AQ114*Calculateur!AS114*VLOOKUP('Données projet'!$B$10,Paramètres!$A$1:$I$89,3,0)*0.475*44/12</f>
        <v>16.068391924288456</v>
      </c>
      <c r="AW114" s="21">
        <f>EXP(-LN(2)/2)*AW113+(1-EXP(-LN(2)/2))/(LN(2)/2)*AQ114*AT114*VLOOKUP('Données projet'!$B$10,Paramètres!$A$1:$I$89,3,0)*0.475*44/12</f>
        <v>2.5188378585521743E-4</v>
      </c>
      <c r="AX114" s="21">
        <f t="shared" si="60"/>
        <v>105.2363460798819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119.99995828001613</v>
      </c>
      <c r="BJ114" s="59">
        <f t="shared" si="92"/>
        <v>317.56542444086261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10.223207730137153</v>
      </c>
      <c r="BQ114" s="21">
        <f>EXP(-LN(2)/25)*BQ113+(1-EXP(-LN(2)/25))/(LN(2)/25)*Calculateur!BL114*Calculateur!BN114*VLOOKUP('Données projet'!$B$11,Paramètres!$A$1:$I$89,3,0)*0.475*44/12</f>
        <v>1.0611966025906301</v>
      </c>
      <c r="BR114" s="21">
        <f>EXP(-LN(2)/2)*BR113+(1-EXP(-LN(2)/2))/(LN(2)/2)*BL114*BO114*VLOOKUP('Données projet'!$B$11,Paramètres!$A$1:$I$89,3,0)*0.475*44/12</f>
        <v>3.7970780384721162E-13</v>
      </c>
      <c r="BS114" s="22">
        <f t="shared" si="63"/>
        <v>11.284404332728164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-1.0197709343628959E-13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323.17232038705157</v>
      </c>
      <c r="T115" s="59">
        <f t="shared" si="88"/>
        <v>402.34685738619197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53.719782255215179</v>
      </c>
      <c r="AA115" s="21">
        <f>EXP(-LN(2)/25)*AA114+(1-EXP(-LN(2)/25))/(LN(2)/25)*Calculateur!V115*Calculateur!X115*VLOOKUP('Données projet'!$B$9,Paramètres!$A$1:$I$89,3,0)*0.475*44/12</f>
        <v>9.3566579701706658</v>
      </c>
      <c r="AB115" s="21">
        <f>EXP(-LN(2)/2)*AB114+(1-EXP(-LN(2)/2))/(LN(2)/2)*V115*Y115*VLOOKUP('Données projet'!$B$9,Paramètres!$A$1:$I$89,3,0)*0.475*44/12</f>
        <v>1.5052546166930173E-7</v>
      </c>
      <c r="AC115" s="22">
        <f t="shared" si="57"/>
        <v>63.076440375911304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-6.7984728957526396E-14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355.09162485318728</v>
      </c>
      <c r="AO115" s="59">
        <f t="shared" si="90"/>
        <v>320.06572891923685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87.419178017185558</v>
      </c>
      <c r="AV115" s="21">
        <f>EXP(-LN(2)/25)*AV114+(1-EXP(-LN(2)/25))/(LN(2)/25)*Calculateur!AQ115*Calculateur!AS115*VLOOKUP('Données projet'!$B$10,Paramètres!$A$1:$I$89,3,0)*0.475*44/12</f>
        <v>15.629000902118781</v>
      </c>
      <c r="AW115" s="21">
        <f>EXP(-LN(2)/2)*AW114+(1-EXP(-LN(2)/2))/(LN(2)/2)*AQ115*AT115*VLOOKUP('Données projet'!$B$10,Paramètres!$A$1:$I$89,3,0)*0.475*44/12</f>
        <v>1.7810873304916443E-4</v>
      </c>
      <c r="AX115" s="21">
        <f t="shared" si="60"/>
        <v>103.04835702803739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119.99995828001613</v>
      </c>
      <c r="BJ115" s="59">
        <f t="shared" si="92"/>
        <v>317.56542444086261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10.02273686209017</v>
      </c>
      <c r="BQ115" s="21">
        <f>EXP(-LN(2)/25)*BQ114+(1-EXP(-LN(2)/25))/(LN(2)/25)*Calculateur!BL115*Calculateur!BN115*VLOOKUP('Données projet'!$B$11,Paramètres!$A$1:$I$89,3,0)*0.475*44/12</f>
        <v>1.0321781256868854</v>
      </c>
      <c r="BR115" s="21">
        <f>EXP(-LN(2)/2)*BR114+(1-EXP(-LN(2)/2))/(LN(2)/2)*BL115*BO115*VLOOKUP('Données projet'!$B$11,Paramètres!$A$1:$I$89,3,0)*0.475*44/12</f>
        <v>2.6849396296981477E-13</v>
      </c>
      <c r="BS115" s="22">
        <f t="shared" si="63"/>
        <v>11.054914987777323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-1.0197709343628959E-13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323.17232038705157</v>
      </c>
      <c r="T116" s="59">
        <f t="shared" si="88"/>
        <v>402.34685738619197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52.66637009102223</v>
      </c>
      <c r="AA116" s="21">
        <f>EXP(-LN(2)/25)*AA115+(1-EXP(-LN(2)/25))/(LN(2)/25)*Calculateur!V116*Calculateur!X116*VLOOKUP('Données projet'!$B$9,Paramètres!$A$1:$I$89,3,0)*0.475*44/12</f>
        <v>9.1007996659310919</v>
      </c>
      <c r="AB116" s="21">
        <f>EXP(-LN(2)/2)*AB115+(1-EXP(-LN(2)/2))/(LN(2)/2)*V116*Y116*VLOOKUP('Données projet'!$B$9,Paramètres!$A$1:$I$89,3,0)*0.475*44/12</f>
        <v>1.0643757468759899E-7</v>
      </c>
      <c r="AC116" s="22">
        <f t="shared" si="57"/>
        <v>61.767169863390897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-6.7984728957526396E-14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355.09162485318728</v>
      </c>
      <c r="AO116" s="59">
        <f t="shared" si="90"/>
        <v>320.06572891923685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85.704941256702185</v>
      </c>
      <c r="AV116" s="21">
        <f>EXP(-LN(2)/25)*AV115+(1-EXP(-LN(2)/25))/(LN(2)/25)*Calculateur!AQ116*Calculateur!AS116*VLOOKUP('Données projet'!$B$10,Paramètres!$A$1:$I$89,3,0)*0.475*44/12</f>
        <v>15.201625050556906</v>
      </c>
      <c r="AW116" s="21">
        <f>EXP(-LN(2)/2)*AW115+(1-EXP(-LN(2)/2))/(LN(2)/2)*AQ116*AT116*VLOOKUP('Données projet'!$B$10,Paramètres!$A$1:$I$89,3,0)*0.475*44/12</f>
        <v>1.2594189292760872E-4</v>
      </c>
      <c r="AX116" s="21">
        <f t="shared" si="60"/>
        <v>100.90669224915202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119.99995828001613</v>
      </c>
      <c r="BJ116" s="59">
        <f t="shared" si="92"/>
        <v>317.56542444086261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9.8261971054904329</v>
      </c>
      <c r="BQ116" s="21">
        <f>EXP(-LN(2)/25)*BQ115+(1-EXP(-LN(2)/25))/(LN(2)/25)*Calculateur!BL116*Calculateur!BN116*VLOOKUP('Données projet'!$B$11,Paramètres!$A$1:$I$89,3,0)*0.475*44/12</f>
        <v>1.0039531605600889</v>
      </c>
      <c r="BR116" s="21">
        <f>EXP(-LN(2)/2)*BR115+(1-EXP(-LN(2)/2))/(LN(2)/2)*BL116*BO116*VLOOKUP('Données projet'!$B$11,Paramètres!$A$1:$I$89,3,0)*0.475*44/12</f>
        <v>1.8985390192360581E-13</v>
      </c>
      <c r="BS116" s="22">
        <f t="shared" si="63"/>
        <v>10.830150266050712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-1.0197709343628959E-13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323.17232038705157</v>
      </c>
      <c r="T117" s="59">
        <f t="shared" si="88"/>
        <v>402.34685738619197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51.633614696851126</v>
      </c>
      <c r="AA117" s="21">
        <f>EXP(-LN(2)/25)*AA116+(1-EXP(-LN(2)/25))/(LN(2)/25)*Calculateur!V117*Calculateur!X117*VLOOKUP('Données projet'!$B$9,Paramètres!$A$1:$I$89,3,0)*0.475*44/12</f>
        <v>8.8519378204759516</v>
      </c>
      <c r="AB117" s="21">
        <f>EXP(-LN(2)/2)*AB116+(1-EXP(-LN(2)/2))/(LN(2)/2)*V117*Y117*VLOOKUP('Données projet'!$B$9,Paramètres!$A$1:$I$89,3,0)*0.475*44/12</f>
        <v>7.5262730834650864E-8</v>
      </c>
      <c r="AC117" s="22">
        <f t="shared" si="57"/>
        <v>60.485552592589812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-6.7984728957526396E-14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355.09162485318728</v>
      </c>
      <c r="AO117" s="59">
        <f t="shared" si="90"/>
        <v>320.06572891923685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84.024319633510714</v>
      </c>
      <c r="AV117" s="21">
        <f>EXP(-LN(2)/25)*AV116+(1-EXP(-LN(2)/25))/(LN(2)/25)*Calculateur!AQ117*Calculateur!AS117*VLOOKUP('Données projet'!$B$10,Paramètres!$A$1:$I$89,3,0)*0.475*44/12</f>
        <v>14.78593581413071</v>
      </c>
      <c r="AW117" s="21">
        <f>EXP(-LN(2)/2)*AW116+(1-EXP(-LN(2)/2))/(LN(2)/2)*AQ117*AT117*VLOOKUP('Données projet'!$B$10,Paramètres!$A$1:$I$89,3,0)*0.475*44/12</f>
        <v>8.9054366524582215E-5</v>
      </c>
      <c r="AX117" s="21">
        <f t="shared" si="60"/>
        <v>98.81034450200795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119.99995828001613</v>
      </c>
      <c r="BJ117" s="59">
        <f t="shared" si="92"/>
        <v>317.56542444086261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9.6335113736402018</v>
      </c>
      <c r="BQ117" s="21">
        <f>EXP(-LN(2)/25)*BQ116+(1-EXP(-LN(2)/25))/(LN(2)/25)*Calculateur!BL117*Calculateur!BN117*VLOOKUP('Données projet'!$B$11,Paramètres!$A$1:$I$89,3,0)*0.475*44/12</f>
        <v>0.97650000858897112</v>
      </c>
      <c r="BR117" s="21">
        <f>EXP(-LN(2)/2)*BR116+(1-EXP(-LN(2)/2))/(LN(2)/2)*BL117*BO117*VLOOKUP('Données projet'!$B$11,Paramètres!$A$1:$I$89,3,0)*0.475*44/12</f>
        <v>1.3424698148490739E-13</v>
      </c>
      <c r="BS117" s="22">
        <f t="shared" si="63"/>
        <v>10.610011382229308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-1.0197709343628959E-13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323.17232038705157</v>
      </c>
      <c r="T118" s="59">
        <f t="shared" si="88"/>
        <v>402.34685738619197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50.621111006041126</v>
      </c>
      <c r="AA118" s="21">
        <f>EXP(-LN(2)/25)*AA117+(1-EXP(-LN(2)/25))/(LN(2)/25)*Calculateur!V118*Calculateur!X118*VLOOKUP('Données projet'!$B$9,Paramètres!$A$1:$I$89,3,0)*0.475*44/12</f>
        <v>8.6098811152718575</v>
      </c>
      <c r="AB118" s="21">
        <f>EXP(-LN(2)/2)*AB117+(1-EXP(-LN(2)/2))/(LN(2)/2)*V118*Y118*VLOOKUP('Données projet'!$B$9,Paramètres!$A$1:$I$89,3,0)*0.475*44/12</f>
        <v>5.3218787343799493E-8</v>
      </c>
      <c r="AC118" s="22">
        <f t="shared" si="57"/>
        <v>59.230992174531764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-6.7984728957526396E-14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355.09162485318728</v>
      </c>
      <c r="AO118" s="59">
        <f t="shared" si="90"/>
        <v>320.06572891923685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82.376653975272049</v>
      </c>
      <c r="AV118" s="21">
        <f>EXP(-LN(2)/25)*AV117+(1-EXP(-LN(2)/25))/(LN(2)/25)*Calculateur!AQ118*Calculateur!AS118*VLOOKUP('Données projet'!$B$10,Paramètres!$A$1:$I$89,3,0)*0.475*44/12</f>
        <v>14.381613621734735</v>
      </c>
      <c r="AW118" s="21">
        <f>EXP(-LN(2)/2)*AW117+(1-EXP(-LN(2)/2))/(LN(2)/2)*AQ118*AT118*VLOOKUP('Données projet'!$B$10,Paramètres!$A$1:$I$89,3,0)*0.475*44/12</f>
        <v>6.2970946463804359E-5</v>
      </c>
      <c r="AX118" s="21">
        <f t="shared" si="60"/>
        <v>96.758330567953237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119.99995828001613</v>
      </c>
      <c r="BJ118" s="59">
        <f t="shared" si="92"/>
        <v>317.56542444086261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9.4446040914648623</v>
      </c>
      <c r="BQ118" s="21">
        <f>EXP(-LN(2)/25)*BQ117+(1-EXP(-LN(2)/25))/(LN(2)/25)*Calculateur!BL118*Calculateur!BN118*VLOOKUP('Données projet'!$B$11,Paramètres!$A$1:$I$89,3,0)*0.475*44/12</f>
        <v>0.9497975645022021</v>
      </c>
      <c r="BR118" s="21">
        <f>EXP(-LN(2)/2)*BR117+(1-EXP(-LN(2)/2))/(LN(2)/2)*BL118*BO118*VLOOKUP('Données projet'!$B$11,Paramètres!$A$1:$I$89,3,0)*0.475*44/12</f>
        <v>9.4926950961802906E-14</v>
      </c>
      <c r="BS118" s="22">
        <f t="shared" si="63"/>
        <v>10.394401655967158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-1.0197709343628959E-13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323.17232038705157</v>
      </c>
      <c r="T119" s="59">
        <f t="shared" si="88"/>
        <v>402.34685738619197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49.628461895041639</v>
      </c>
      <c r="AA119" s="21">
        <f>EXP(-LN(2)/25)*AA118+(1-EXP(-LN(2)/25))/(LN(2)/25)*Calculateur!V119*Calculateur!X119*VLOOKUP('Données projet'!$B$9,Paramètres!$A$1:$I$89,3,0)*0.475*44/12</f>
        <v>8.3744434634007785</v>
      </c>
      <c r="AB119" s="21">
        <f>EXP(-LN(2)/2)*AB118+(1-EXP(-LN(2)/2))/(LN(2)/2)*V119*Y119*VLOOKUP('Données projet'!$B$9,Paramètres!$A$1:$I$89,3,0)*0.475*44/12</f>
        <v>3.7631365417325432E-8</v>
      </c>
      <c r="AC119" s="22">
        <f t="shared" si="57"/>
        <v>58.002905396073785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-6.7984728957526396E-14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355.09162485318728</v>
      </c>
      <c r="AO119" s="59">
        <f t="shared" si="90"/>
        <v>320.06572891923685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80.761298035614629</v>
      </c>
      <c r="AV119" s="21">
        <f>EXP(-LN(2)/25)*AV118+(1-EXP(-LN(2)/25))/(LN(2)/25)*Calculateur!AQ119*Calculateur!AS119*VLOOKUP('Données projet'!$B$10,Paramètres!$A$1:$I$89,3,0)*0.475*44/12</f>
        <v>13.988347640952208</v>
      </c>
      <c r="AW119" s="21">
        <f>EXP(-LN(2)/2)*AW118+(1-EXP(-LN(2)/2))/(LN(2)/2)*AQ119*AT119*VLOOKUP('Données projet'!$B$10,Paramètres!$A$1:$I$89,3,0)*0.475*44/12</f>
        <v>4.4527183262291107E-5</v>
      </c>
      <c r="AX119" s="21">
        <f t="shared" si="60"/>
        <v>94.749690203750106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119.99995828001613</v>
      </c>
      <c r="BJ119" s="59">
        <f t="shared" si="92"/>
        <v>317.56542444086261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9.2594011658709157</v>
      </c>
      <c r="BQ119" s="21">
        <f>EXP(-LN(2)/25)*BQ118+(1-EXP(-LN(2)/25))/(LN(2)/25)*Calculateur!BL119*Calculateur!BN119*VLOOKUP('Données projet'!$B$11,Paramètres!$A$1:$I$89,3,0)*0.475*44/12</f>
        <v>0.9238253001532063</v>
      </c>
      <c r="BR119" s="21">
        <f>EXP(-LN(2)/2)*BR118+(1-EXP(-LN(2)/2))/(LN(2)/2)*BL119*BO119*VLOOKUP('Données projet'!$B$11,Paramètres!$A$1:$I$89,3,0)*0.475*44/12</f>
        <v>6.7123490742453693E-14</v>
      </c>
      <c r="BS119" s="22">
        <f t="shared" si="63"/>
        <v>10.183226466024189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-1.0197709343628959E-13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323.17232038705157</v>
      </c>
      <c r="T120" s="59">
        <f t="shared" si="88"/>
        <v>402.34685738619197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48.655278027652678</v>
      </c>
      <c r="AA120" s="21">
        <f>EXP(-LN(2)/25)*AA119+(1-EXP(-LN(2)/25))/(LN(2)/25)*Calculateur!V120*Calculateur!X120*VLOOKUP('Données projet'!$B$9,Paramètres!$A$1:$I$89,3,0)*0.475*44/12</f>
        <v>8.1454438665012425</v>
      </c>
      <c r="AB120" s="21">
        <f>EXP(-LN(2)/2)*AB119+(1-EXP(-LN(2)/2))/(LN(2)/2)*V120*Y120*VLOOKUP('Données projet'!$B$9,Paramètres!$A$1:$I$89,3,0)*0.475*44/12</f>
        <v>2.6609393671899747E-8</v>
      </c>
      <c r="AC120" s="22">
        <f t="shared" si="57"/>
        <v>56.800721920763316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-6.7984728957526396E-14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355.09162485318728</v>
      </c>
      <c r="AO120" s="59">
        <f t="shared" si="90"/>
        <v>320.06572891923685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79.17761824066406</v>
      </c>
      <c r="AV120" s="21">
        <f>EXP(-LN(2)/25)*AV119+(1-EXP(-LN(2)/25))/(LN(2)/25)*Calculateur!AQ120*Calculateur!AS120*VLOOKUP('Données projet'!$B$10,Paramètres!$A$1:$I$89,3,0)*0.475*44/12</f>
        <v>13.605835539095137</v>
      </c>
      <c r="AW120" s="21">
        <f>EXP(-LN(2)/2)*AW119+(1-EXP(-LN(2)/2))/(LN(2)/2)*AQ120*AT120*VLOOKUP('Données projet'!$B$10,Paramètres!$A$1:$I$89,3,0)*0.475*44/12</f>
        <v>3.1485473231902179E-5</v>
      </c>
      <c r="AX120" s="21">
        <f t="shared" si="60"/>
        <v>92.783485265232429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119.99995828001613</v>
      </c>
      <c r="BJ120" s="59">
        <f t="shared" si="92"/>
        <v>317.56542444086261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9.0778299566852372</v>
      </c>
      <c r="BQ120" s="21">
        <f>EXP(-LN(2)/25)*BQ119+(1-EXP(-LN(2)/25))/(LN(2)/25)*Calculateur!BL120*Calculateur!BN120*VLOOKUP('Données projet'!$B$11,Paramètres!$A$1:$I$89,3,0)*0.475*44/12</f>
        <v>0.89856324873865578</v>
      </c>
      <c r="BR120" s="21">
        <f>EXP(-LN(2)/2)*BR119+(1-EXP(-LN(2)/2))/(LN(2)/2)*BL120*BO120*VLOOKUP('Données projet'!$B$11,Paramètres!$A$1:$I$89,3,0)*0.475*44/12</f>
        <v>4.7463475480901453E-14</v>
      </c>
      <c r="BS120" s="22">
        <f t="shared" si="63"/>
        <v>9.9763932054239408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-1.0197709343628959E-13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323.17232038705157</v>
      </c>
      <c r="T121" s="59">
        <f t="shared" si="88"/>
        <v>402.34685738619197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47.701177702319669</v>
      </c>
      <c r="AA121" s="21">
        <f>EXP(-LN(2)/25)*AA120+(1-EXP(-LN(2)/25))/(LN(2)/25)*Calculateur!V121*Calculateur!X121*VLOOKUP('Données projet'!$B$9,Paramètres!$A$1:$I$89,3,0)*0.475*44/12</f>
        <v>7.9227062756214899</v>
      </c>
      <c r="AB121" s="21">
        <f>EXP(-LN(2)/2)*AB120+(1-EXP(-LN(2)/2))/(LN(2)/2)*V121*Y121*VLOOKUP('Données projet'!$B$9,Paramètres!$A$1:$I$89,3,0)*0.475*44/12</f>
        <v>1.8815682708662716E-8</v>
      </c>
      <c r="AC121" s="22">
        <f t="shared" si="57"/>
        <v>55.623883996756845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-6.7984728957526396E-14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355.09162485318728</v>
      </c>
      <c r="AO121" s="59">
        <f t="shared" si="90"/>
        <v>320.06572891923685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77.624993440543165</v>
      </c>
      <c r="AV121" s="21">
        <f>EXP(-LN(2)/25)*AV120+(1-EXP(-LN(2)/25))/(LN(2)/25)*Calculateur!AQ121*Calculateur!AS121*VLOOKUP('Données projet'!$B$10,Paramètres!$A$1:$I$89,3,0)*0.475*44/12</f>
        <v>13.233783250778787</v>
      </c>
      <c r="AW121" s="21">
        <f>EXP(-LN(2)/2)*AW120+(1-EXP(-LN(2)/2))/(LN(2)/2)*AQ121*AT121*VLOOKUP('Données projet'!$B$10,Paramètres!$A$1:$I$89,3,0)*0.475*44/12</f>
        <v>2.2263591631145554E-5</v>
      </c>
      <c r="AX121" s="21">
        <f t="shared" si="60"/>
        <v>90.858798954913581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119.99995828001613</v>
      </c>
      <c r="BJ121" s="59">
        <f t="shared" si="92"/>
        <v>317.56542444086261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8.8998192481641869</v>
      </c>
      <c r="BQ121" s="21">
        <f>EXP(-LN(2)/25)*BQ120+(1-EXP(-LN(2)/25))/(LN(2)/25)*Calculateur!BL121*Calculateur!BN121*VLOOKUP('Données projet'!$B$11,Paramètres!$A$1:$I$89,3,0)*0.475*44/12</f>
        <v>0.87399198944850964</v>
      </c>
      <c r="BR121" s="21">
        <f>EXP(-LN(2)/2)*BR120+(1-EXP(-LN(2)/2))/(LN(2)/2)*BL121*BO121*VLOOKUP('Données projet'!$B$11,Paramètres!$A$1:$I$89,3,0)*0.475*44/12</f>
        <v>3.3561745371226847E-14</v>
      </c>
      <c r="BS121" s="22">
        <f t="shared" si="63"/>
        <v>9.7738112376127297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-1.0197709343628959E-13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323.17232038705157</v>
      </c>
      <c r="T122" s="59">
        <f t="shared" si="88"/>
        <v>402.34685738619197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46.765786702422702</v>
      </c>
      <c r="AA122" s="21">
        <f>EXP(-LN(2)/25)*AA121+(1-EXP(-LN(2)/25))/(LN(2)/25)*Calculateur!V122*Calculateur!X122*VLOOKUP('Données projet'!$B$9,Paramètres!$A$1:$I$89,3,0)*0.475*44/12</f>
        <v>7.7060594558776048</v>
      </c>
      <c r="AB122" s="21">
        <f>EXP(-LN(2)/2)*AB121+(1-EXP(-LN(2)/2))/(LN(2)/2)*V122*Y122*VLOOKUP('Données projet'!$B$9,Paramètres!$A$1:$I$89,3,0)*0.475*44/12</f>
        <v>1.3304696835949873E-8</v>
      </c>
      <c r="AC122" s="22">
        <f t="shared" si="57"/>
        <v>54.471846171605009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-6.7984728957526396E-14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355.09162485318728</v>
      </c>
      <c r="AO122" s="59">
        <f t="shared" si="90"/>
        <v>320.06572891923685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76.102814665745029</v>
      </c>
      <c r="AV122" s="21">
        <f>EXP(-LN(2)/25)*AV121+(1-EXP(-LN(2)/25))/(LN(2)/25)*Calculateur!AQ122*Calculateur!AS122*VLOOKUP('Données projet'!$B$10,Paramètres!$A$1:$I$89,3,0)*0.475*44/12</f>
        <v>12.871904751851826</v>
      </c>
      <c r="AW122" s="21">
        <f>EXP(-LN(2)/2)*AW121+(1-EXP(-LN(2)/2))/(LN(2)/2)*AQ122*AT122*VLOOKUP('Données projet'!$B$10,Paramètres!$A$1:$I$89,3,0)*0.475*44/12</f>
        <v>1.574273661595109E-5</v>
      </c>
      <c r="AX122" s="21">
        <f t="shared" si="60"/>
        <v>88.974735160333481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119.99995828001613</v>
      </c>
      <c r="BJ122" s="59">
        <f t="shared" si="92"/>
        <v>317.56542444086261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8.7252992210614231</v>
      </c>
      <c r="BQ122" s="21">
        <f>EXP(-LN(2)/25)*BQ121+(1-EXP(-LN(2)/25))/(LN(2)/25)*Calculateur!BL122*Calculateur!BN122*VLOOKUP('Données projet'!$B$11,Paramètres!$A$1:$I$89,3,0)*0.475*44/12</f>
        <v>0.85009263253579892</v>
      </c>
      <c r="BR122" s="21">
        <f>EXP(-LN(2)/2)*BR121+(1-EXP(-LN(2)/2))/(LN(2)/2)*BL122*BO122*VLOOKUP('Données projet'!$B$11,Paramètres!$A$1:$I$89,3,0)*0.475*44/12</f>
        <v>2.3731737740450726E-14</v>
      </c>
      <c r="BS122" s="22">
        <f t="shared" si="63"/>
        <v>9.5753918535972442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-1.0197709343628959E-13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323.17232038705157</v>
      </c>
      <c r="T123" s="59">
        <f t="shared" si="88"/>
        <v>402.34685738619197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45.848738149501536</v>
      </c>
      <c r="AA123" s="21">
        <f>EXP(-LN(2)/25)*AA122+(1-EXP(-LN(2)/25))/(LN(2)/25)*Calculateur!V123*Calculateur!X123*VLOOKUP('Données projet'!$B$9,Paramètres!$A$1:$I$89,3,0)*0.475*44/12</f>
        <v>7.4953368548125772</v>
      </c>
      <c r="AB123" s="21">
        <f>EXP(-LN(2)/2)*AB122+(1-EXP(-LN(2)/2))/(LN(2)/2)*V123*Y123*VLOOKUP('Données projet'!$B$9,Paramètres!$A$1:$I$89,3,0)*0.475*44/12</f>
        <v>9.4078413543313581E-9</v>
      </c>
      <c r="AC123" s="22">
        <f t="shared" si="57"/>
        <v>53.344075013721955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-6.7984728957526396E-14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355.09162485318728</v>
      </c>
      <c r="AO123" s="59">
        <f t="shared" si="90"/>
        <v>320.06572891923685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74.61048488828331</v>
      </c>
      <c r="AV123" s="21">
        <f>EXP(-LN(2)/25)*AV122+(1-EXP(-LN(2)/25))/(LN(2)/25)*Calculateur!AQ123*Calculateur!AS123*VLOOKUP('Données projet'!$B$10,Paramètres!$A$1:$I$89,3,0)*0.475*44/12</f>
        <v>12.519921839508386</v>
      </c>
      <c r="AW123" s="21">
        <f>EXP(-LN(2)/2)*AW122+(1-EXP(-LN(2)/2))/(LN(2)/2)*AQ123*AT123*VLOOKUP('Données projet'!$B$10,Paramètres!$A$1:$I$89,3,0)*0.475*44/12</f>
        <v>1.1131795815572777E-5</v>
      </c>
      <c r="AX123" s="21">
        <f t="shared" si="60"/>
        <v>87.13041785958751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119.99995828001613</v>
      </c>
      <c r="BJ123" s="59">
        <f t="shared" si="92"/>
        <v>317.56542444086261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8.5542014252434395</v>
      </c>
      <c r="BQ123" s="21">
        <f>EXP(-LN(2)/25)*BQ122+(1-EXP(-LN(2)/25))/(LN(2)/25)*Calculateur!BL123*Calculateur!BN123*VLOOKUP('Données projet'!$B$11,Paramètres!$A$1:$I$89,3,0)*0.475*44/12</f>
        <v>0.82684680479467887</v>
      </c>
      <c r="BR123" s="21">
        <f>EXP(-LN(2)/2)*BR122+(1-EXP(-LN(2)/2))/(LN(2)/2)*BL123*BO123*VLOOKUP('Données projet'!$B$11,Paramètres!$A$1:$I$89,3,0)*0.475*44/12</f>
        <v>1.6780872685613423E-14</v>
      </c>
      <c r="BS123" s="22">
        <f t="shared" si="63"/>
        <v>9.3810482300381342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-1.0197709343628959E-13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323.17232038705157</v>
      </c>
      <c r="T124" s="59">
        <f t="shared" si="88"/>
        <v>402.34685738619197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44.949672359358772</v>
      </c>
      <c r="AA124" s="21">
        <f>EXP(-LN(2)/25)*AA123+(1-EXP(-LN(2)/25))/(LN(2)/25)*Calculateur!V124*Calculateur!X124*VLOOKUP('Données projet'!$B$9,Paramètres!$A$1:$I$89,3,0)*0.475*44/12</f>
        <v>7.2903764743550932</v>
      </c>
      <c r="AB124" s="21">
        <f>EXP(-LN(2)/2)*AB123+(1-EXP(-LN(2)/2))/(LN(2)/2)*V124*Y124*VLOOKUP('Données projet'!$B$9,Paramètres!$A$1:$I$89,3,0)*0.475*44/12</f>
        <v>6.6523484179749366E-9</v>
      </c>
      <c r="AC124" s="22">
        <f t="shared" si="57"/>
        <v>52.240048840366214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-6.7984728957526396E-14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355.09162485318728</v>
      </c>
      <c r="AO124" s="59">
        <f t="shared" si="90"/>
        <v>320.06572891923685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73.14741878752632</v>
      </c>
      <c r="AV124" s="21">
        <f>EXP(-LN(2)/25)*AV123+(1-EXP(-LN(2)/25))/(LN(2)/25)*Calculateur!AQ124*Calculateur!AS124*VLOOKUP('Données projet'!$B$10,Paramètres!$A$1:$I$89,3,0)*0.475*44/12</f>
        <v>12.177563918412956</v>
      </c>
      <c r="AW124" s="21">
        <f>EXP(-LN(2)/2)*AW123+(1-EXP(-LN(2)/2))/(LN(2)/2)*AQ124*AT124*VLOOKUP('Données projet'!$B$10,Paramètres!$A$1:$I$89,3,0)*0.475*44/12</f>
        <v>7.8713683079755448E-6</v>
      </c>
      <c r="AX124" s="21">
        <f t="shared" si="60"/>
        <v>85.324990577307588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119.99995828001613</v>
      </c>
      <c r="BJ124" s="59">
        <f t="shared" si="92"/>
        <v>317.56542444086261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8.3864587528420955</v>
      </c>
      <c r="BQ124" s="21">
        <f>EXP(-LN(2)/25)*BQ123+(1-EXP(-LN(2)/25))/(LN(2)/25)*Calculateur!BL124*Calculateur!BN124*VLOOKUP('Données projet'!$B$11,Paramètres!$A$1:$I$89,3,0)*0.475*44/12</f>
        <v>0.80423663543558466</v>
      </c>
      <c r="BR124" s="21">
        <f>EXP(-LN(2)/2)*BR123+(1-EXP(-LN(2)/2))/(LN(2)/2)*BL124*BO124*VLOOKUP('Données projet'!$B$11,Paramètres!$A$1:$I$89,3,0)*0.475*44/12</f>
        <v>1.1865868870225363E-14</v>
      </c>
      <c r="BS124" s="22">
        <f t="shared" si="63"/>
        <v>9.1906953882776925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-1.0197709343628959E-13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323.17232038705157</v>
      </c>
      <c r="T125" s="59">
        <f t="shared" si="88"/>
        <v>402.34685738619197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44.06823670098472</v>
      </c>
      <c r="AA125" s="21">
        <f>EXP(-LN(2)/25)*AA124+(1-EXP(-LN(2)/25))/(LN(2)/25)*Calculateur!V125*Calculateur!X125*VLOOKUP('Données projet'!$B$9,Paramètres!$A$1:$I$89,3,0)*0.475*44/12</f>
        <v>7.0910207462796171</v>
      </c>
      <c r="AB125" s="21">
        <f>EXP(-LN(2)/2)*AB124+(1-EXP(-LN(2)/2))/(LN(2)/2)*V125*Y125*VLOOKUP('Données projet'!$B$9,Paramètres!$A$1:$I$89,3,0)*0.475*44/12</f>
        <v>4.703920677165679E-9</v>
      </c>
      <c r="AC125" s="22">
        <f t="shared" si="57"/>
        <v>51.159257451968259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-6.7984728957526396E-14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355.09162485318728</v>
      </c>
      <c r="AO125" s="59">
        <f t="shared" si="90"/>
        <v>320.06572891923685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71.713042520622977</v>
      </c>
      <c r="AV125" s="21">
        <f>EXP(-LN(2)/25)*AV124+(1-EXP(-LN(2)/25))/(LN(2)/25)*Calculateur!AQ125*Calculateur!AS125*VLOOKUP('Données projet'!$B$10,Paramètres!$A$1:$I$89,3,0)*0.475*44/12</f>
        <v>11.844567792673699</v>
      </c>
      <c r="AW125" s="21">
        <f>EXP(-LN(2)/2)*AW124+(1-EXP(-LN(2)/2))/(LN(2)/2)*AQ125*AT125*VLOOKUP('Données projet'!$B$10,Paramètres!$A$1:$I$89,3,0)*0.475*44/12</f>
        <v>5.5658979077863884E-6</v>
      </c>
      <c r="AX125" s="21">
        <f t="shared" si="60"/>
        <v>83.557615879194586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119.99995828001613</v>
      </c>
      <c r="BJ125" s="59">
        <f t="shared" si="92"/>
        <v>317.56542444086261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8.2220054119336137</v>
      </c>
      <c r="BQ125" s="21">
        <f>EXP(-LN(2)/25)*BQ124+(1-EXP(-LN(2)/25))/(LN(2)/25)*Calculateur!BL125*Calculateur!BN125*VLOOKUP('Données projet'!$B$11,Paramètres!$A$1:$I$89,3,0)*0.475*44/12</f>
        <v>0.78224474234663199</v>
      </c>
      <c r="BR125" s="21">
        <f>EXP(-LN(2)/2)*BR124+(1-EXP(-LN(2)/2))/(LN(2)/2)*BL125*BO125*VLOOKUP('Données projet'!$B$11,Paramètres!$A$1:$I$89,3,0)*0.475*44/12</f>
        <v>8.3904363428067117E-15</v>
      </c>
      <c r="BS125" s="22">
        <f t="shared" si="63"/>
        <v>9.0042501542802551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-1.0197709343628959E-13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323.17232038705157</v>
      </c>
      <c r="T126" s="59">
        <f t="shared" si="88"/>
        <v>402.34685738619197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43.20408545824872</v>
      </c>
      <c r="AA126" s="21">
        <f>EXP(-LN(2)/25)*AA125+(1-EXP(-LN(2)/25))/(LN(2)/25)*Calculateur!V126*Calculateur!X126*VLOOKUP('Données projet'!$B$9,Paramètres!$A$1:$I$89,3,0)*0.475*44/12</f>
        <v>6.8971164110720267</v>
      </c>
      <c r="AB126" s="21">
        <f>EXP(-LN(2)/2)*AB125+(1-EXP(-LN(2)/2))/(LN(2)/2)*V126*Y126*VLOOKUP('Données projet'!$B$9,Paramètres!$A$1:$I$89,3,0)*0.475*44/12</f>
        <v>3.3261742089874683E-9</v>
      </c>
      <c r="AC126" s="22">
        <f t="shared" si="57"/>
        <v>50.101201872646918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-6.7984728957526396E-14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355.09162485318728</v>
      </c>
      <c r="AO126" s="59">
        <f t="shared" si="90"/>
        <v>320.06572891923685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70.306793497430476</v>
      </c>
      <c r="AV126" s="21">
        <f>EXP(-LN(2)/25)*AV125+(1-EXP(-LN(2)/25))/(LN(2)/25)*Calculateur!AQ126*Calculateur!AS126*VLOOKUP('Données projet'!$B$10,Paramètres!$A$1:$I$89,3,0)*0.475*44/12</f>
        <v>11.520677463504287</v>
      </c>
      <c r="AW126" s="21">
        <f>EXP(-LN(2)/2)*AW125+(1-EXP(-LN(2)/2))/(LN(2)/2)*AQ126*AT126*VLOOKUP('Données projet'!$B$10,Paramètres!$A$1:$I$89,3,0)*0.475*44/12</f>
        <v>3.9356841539877724E-6</v>
      </c>
      <c r="AX126" s="21">
        <f t="shared" si="60"/>
        <v>81.827474896618909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119.99995828001613</v>
      </c>
      <c r="BJ126" s="59">
        <f t="shared" si="92"/>
        <v>317.56542444086261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8.060776900733714</v>
      </c>
      <c r="BQ126" s="21">
        <f>EXP(-LN(2)/25)*BQ125+(1-EXP(-LN(2)/25))/(LN(2)/25)*Calculateur!BL126*Calculateur!BN126*VLOOKUP('Données projet'!$B$11,Paramètres!$A$1:$I$89,3,0)*0.475*44/12</f>
        <v>0.76085421873070014</v>
      </c>
      <c r="BR126" s="21">
        <f>EXP(-LN(2)/2)*BR125+(1-EXP(-LN(2)/2))/(LN(2)/2)*BL126*BO126*VLOOKUP('Données projet'!$B$11,Paramètres!$A$1:$I$89,3,0)*0.475*44/12</f>
        <v>5.9329344351126816E-15</v>
      </c>
      <c r="BS126" s="22">
        <f t="shared" si="63"/>
        <v>8.8216311194644188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-1.0197709343628959E-13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323.17232038705157</v>
      </c>
      <c r="T127" s="59">
        <f t="shared" si="88"/>
        <v>402.34685738619197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42.356879694302556</v>
      </c>
      <c r="AA127" s="21">
        <f>EXP(-LN(2)/25)*AA126+(1-EXP(-LN(2)/25))/(LN(2)/25)*Calculateur!V127*Calculateur!X127*VLOOKUP('Données projet'!$B$9,Paramètres!$A$1:$I$89,3,0)*0.475*44/12</f>
        <v>6.7085144001076733</v>
      </c>
      <c r="AB127" s="21">
        <f>EXP(-LN(2)/2)*AB126+(1-EXP(-LN(2)/2))/(LN(2)/2)*V127*Y127*VLOOKUP('Données projet'!$B$9,Paramètres!$A$1:$I$89,3,0)*0.475*44/12</f>
        <v>2.3519603385828395E-9</v>
      </c>
      <c r="AC127" s="22">
        <f t="shared" si="57"/>
        <v>49.065394096762191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-6.7984728957526396E-14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355.09162485318728</v>
      </c>
      <c r="AO127" s="59">
        <f t="shared" si="90"/>
        <v>320.06572891923685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68.928120159855567</v>
      </c>
      <c r="AV127" s="21">
        <f>EXP(-LN(2)/25)*AV126+(1-EXP(-LN(2)/25))/(LN(2)/25)*Calculateur!AQ127*Calculateur!AS127*VLOOKUP('Données projet'!$B$10,Paramètres!$A$1:$I$89,3,0)*0.475*44/12</f>
        <v>11.205643932418665</v>
      </c>
      <c r="AW127" s="21">
        <f>EXP(-LN(2)/2)*AW126+(1-EXP(-LN(2)/2))/(LN(2)/2)*AQ127*AT127*VLOOKUP('Données projet'!$B$10,Paramètres!$A$1:$I$89,3,0)*0.475*44/12</f>
        <v>2.7829489538931942E-6</v>
      </c>
      <c r="AX127" s="21">
        <f t="shared" si="60"/>
        <v>80.133766875223188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119.99995828001613</v>
      </c>
      <c r="BJ127" s="59">
        <f t="shared" si="92"/>
        <v>317.56542444086261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7.9027099822987621</v>
      </c>
      <c r="BQ127" s="21">
        <f>EXP(-LN(2)/25)*BQ126+(1-EXP(-LN(2)/25))/(LN(2)/25)*Calculateur!BL127*Calculateur!BN127*VLOOKUP('Données projet'!$B$11,Paramètres!$A$1:$I$89,3,0)*0.475*44/12</f>
        <v>0.74004862010792472</v>
      </c>
      <c r="BR127" s="21">
        <f>EXP(-LN(2)/2)*BR126+(1-EXP(-LN(2)/2))/(LN(2)/2)*BL127*BO127*VLOOKUP('Données projet'!$B$11,Paramètres!$A$1:$I$89,3,0)*0.475*44/12</f>
        <v>4.1952181714033558E-15</v>
      </c>
      <c r="BS127" s="22">
        <f t="shared" si="63"/>
        <v>8.6427586024066905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-1.0197709343628959E-13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323.17232038705157</v>
      </c>
      <c r="T128" s="59">
        <f t="shared" si="88"/>
        <v>402.34685738619197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41.526287118642891</v>
      </c>
      <c r="AA128" s="21">
        <f>EXP(-LN(2)/25)*AA127+(1-EXP(-LN(2)/25))/(LN(2)/25)*Calculateur!V128*Calculateur!X128*VLOOKUP('Données projet'!$B$9,Paramètres!$A$1:$I$89,3,0)*0.475*44/12</f>
        <v>6.5250697210512891</v>
      </c>
      <c r="AB128" s="21">
        <f>EXP(-LN(2)/2)*AB127+(1-EXP(-LN(2)/2))/(LN(2)/2)*V128*Y128*VLOOKUP('Données projet'!$B$9,Paramètres!$A$1:$I$89,3,0)*0.475*44/12</f>
        <v>1.6630871044937342E-9</v>
      </c>
      <c r="AC128" s="22">
        <f t="shared" si="57"/>
        <v>48.051356841357268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-6.7984728957526396E-14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355.09162485318728</v>
      </c>
      <c r="AO128" s="59">
        <f t="shared" si="90"/>
        <v>320.06572891923685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67.5764817655228</v>
      </c>
      <c r="AV128" s="21">
        <f>EXP(-LN(2)/25)*AV127+(1-EXP(-LN(2)/25))/(LN(2)/25)*Calculateur!AQ128*Calculateur!AS128*VLOOKUP('Données projet'!$B$10,Paramètres!$A$1:$I$89,3,0)*0.475*44/12</f>
        <v>10.899225009807473</v>
      </c>
      <c r="AW128" s="21">
        <f>EXP(-LN(2)/2)*AW127+(1-EXP(-LN(2)/2))/(LN(2)/2)*AQ128*AT128*VLOOKUP('Données projet'!$B$10,Paramètres!$A$1:$I$89,3,0)*0.475*44/12</f>
        <v>1.9678420769938862E-6</v>
      </c>
      <c r="AX128" s="21">
        <f t="shared" si="60"/>
        <v>78.475708743172362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119.99995828001613</v>
      </c>
      <c r="BJ128" s="59">
        <f t="shared" si="92"/>
        <v>317.56542444086261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7.7477426597230199</v>
      </c>
      <c r="BQ128" s="21">
        <f>EXP(-LN(2)/25)*BQ127+(1-EXP(-LN(2)/25))/(LN(2)/25)*Calculateur!BL128*Calculateur!BN128*VLOOKUP('Données projet'!$B$11,Paramètres!$A$1:$I$89,3,0)*0.475*44/12</f>
        <v>0.71981195167360801</v>
      </c>
      <c r="BR128" s="21">
        <f>EXP(-LN(2)/2)*BR127+(1-EXP(-LN(2)/2))/(LN(2)/2)*BL128*BO128*VLOOKUP('Données projet'!$B$11,Paramètres!$A$1:$I$89,3,0)*0.475*44/12</f>
        <v>2.9664672175563408E-15</v>
      </c>
      <c r="BS128" s="22">
        <f t="shared" si="63"/>
        <v>8.4675546113966309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-1.0197709343628959E-13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323.17232038705157</v>
      </c>
      <c r="T129" s="59">
        <f t="shared" si="88"/>
        <v>402.34685738619197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40.711981956780463</v>
      </c>
      <c r="AA129" s="21">
        <f>EXP(-LN(2)/25)*AA128+(1-EXP(-LN(2)/25))/(LN(2)/25)*Calculateur!V129*Calculateur!X129*VLOOKUP('Données projet'!$B$9,Paramètres!$A$1:$I$89,3,0)*0.475*44/12</f>
        <v>6.3466413463906379</v>
      </c>
      <c r="AB129" s="21">
        <f>EXP(-LN(2)/2)*AB128+(1-EXP(-LN(2)/2))/(LN(2)/2)*V129*Y129*VLOOKUP('Données projet'!$B$9,Paramètres!$A$1:$I$89,3,0)*0.475*44/12</f>
        <v>1.1759801692914198E-9</v>
      </c>
      <c r="AC129" s="22">
        <f t="shared" si="57"/>
        <v>47.05862330434708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-6.7984728957526396E-14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355.09162485318728</v>
      </c>
      <c r="AO129" s="59">
        <f t="shared" si="90"/>
        <v>320.06572891923685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66.251348175684882</v>
      </c>
      <c r="AV129" s="21">
        <f>EXP(-LN(2)/25)*AV128+(1-EXP(-LN(2)/25))/(LN(2)/25)*Calculateur!AQ129*Calculateur!AS129*VLOOKUP('Données projet'!$B$10,Paramètres!$A$1:$I$89,3,0)*0.475*44/12</f>
        <v>10.601185128748956</v>
      </c>
      <c r="AW129" s="21">
        <f>EXP(-LN(2)/2)*AW128+(1-EXP(-LN(2)/2))/(LN(2)/2)*AQ129*AT129*VLOOKUP('Données projet'!$B$10,Paramètres!$A$1:$I$89,3,0)*0.475*44/12</f>
        <v>1.3914744769465971E-6</v>
      </c>
      <c r="AX129" s="21">
        <f t="shared" si="60"/>
        <v>76.852534695908304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119.99995828001613</v>
      </c>
      <c r="BJ129" s="59">
        <f t="shared" si="92"/>
        <v>317.56542444086261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7.5958141518222542</v>
      </c>
      <c r="BQ129" s="21">
        <f>EXP(-LN(2)/25)*BQ128+(1-EXP(-LN(2)/25))/(LN(2)/25)*Calculateur!BL129*Calculateur!BN129*VLOOKUP('Données projet'!$B$11,Paramètres!$A$1:$I$89,3,0)*0.475*44/12</f>
        <v>0.70012865600182783</v>
      </c>
      <c r="BR129" s="21">
        <f>EXP(-LN(2)/2)*BR128+(1-EXP(-LN(2)/2))/(LN(2)/2)*BL129*BO129*VLOOKUP('Données projet'!$B$11,Paramètres!$A$1:$I$89,3,0)*0.475*44/12</f>
        <v>2.0976090857016779E-15</v>
      </c>
      <c r="BS129" s="22">
        <f t="shared" si="63"/>
        <v>8.2959428078240833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-1.0197709343628959E-13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323.17232038705157</v>
      </c>
      <c r="T130" s="59">
        <f t="shared" si="88"/>
        <v>402.34685738619197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39.913644822465052</v>
      </c>
      <c r="AA130" s="21">
        <f>EXP(-LN(2)/25)*AA129+(1-EXP(-LN(2)/25))/(LN(2)/25)*Calculateur!V130*Calculateur!X130*VLOOKUP('Données projet'!$B$9,Paramètres!$A$1:$I$89,3,0)*0.475*44/12</f>
        <v>6.173092105018223</v>
      </c>
      <c r="AB130" s="21">
        <f>EXP(-LN(2)/2)*AB129+(1-EXP(-LN(2)/2))/(LN(2)/2)*V130*Y130*VLOOKUP('Données projet'!$B$9,Paramètres!$A$1:$I$89,3,0)*0.475*44/12</f>
        <v>8.3154355224686708E-10</v>
      </c>
      <c r="AC130" s="22">
        <f t="shared" si="57"/>
        <v>46.086736928314814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-6.7984728957526396E-14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355.09162485318728</v>
      </c>
      <c r="AO130" s="59">
        <f t="shared" si="90"/>
        <v>320.06572891923685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64.952199647292005</v>
      </c>
      <c r="AV130" s="21">
        <f>EXP(-LN(2)/25)*AV129+(1-EXP(-LN(2)/25))/(LN(2)/25)*Calculateur!AQ130*Calculateur!AS130*VLOOKUP('Données projet'!$B$10,Paramètres!$A$1:$I$89,3,0)*0.475*44/12</f>
        <v>10.311295163911218</v>
      </c>
      <c r="AW130" s="21">
        <f>EXP(-LN(2)/2)*AW129+(1-EXP(-LN(2)/2))/(LN(2)/2)*AQ130*AT130*VLOOKUP('Données projet'!$B$10,Paramètres!$A$1:$I$89,3,0)*0.475*44/12</f>
        <v>9.839210384969431E-7</v>
      </c>
      <c r="AX130" s="21">
        <f t="shared" si="60"/>
        <v>75.263495795124271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119.99995828001613</v>
      </c>
      <c r="BJ130" s="59">
        <f t="shared" si="92"/>
        <v>317.56542444086261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7.446864869294183</v>
      </c>
      <c r="BQ130" s="21">
        <f>EXP(-LN(2)/25)*BQ129+(1-EXP(-LN(2)/25))/(LN(2)/25)*Calculateur!BL130*Calculateur!BN130*VLOOKUP('Données projet'!$B$11,Paramètres!$A$1:$I$89,3,0)*0.475*44/12</f>
        <v>0.68098360108529199</v>
      </c>
      <c r="BR130" s="21">
        <f>EXP(-LN(2)/2)*BR129+(1-EXP(-LN(2)/2))/(LN(2)/2)*BL130*BO130*VLOOKUP('Données projet'!$B$11,Paramètres!$A$1:$I$89,3,0)*0.475*44/12</f>
        <v>1.4832336087781704E-15</v>
      </c>
      <c r="BS130" s="22">
        <f t="shared" si="63"/>
        <v>8.127848470379476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-1.0197709343628959E-13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323.17232038705157</v>
      </c>
      <c r="T131" s="59">
        <f t="shared" si="88"/>
        <v>402.34685738619197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39.13096259241599</v>
      </c>
      <c r="AA131" s="21">
        <f>EXP(-LN(2)/25)*AA130+(1-EXP(-LN(2)/25))/(LN(2)/25)*Calculateur!V131*Calculateur!X131*VLOOKUP('Données projet'!$B$9,Paramètres!$A$1:$I$89,3,0)*0.475*44/12</f>
        <v>6.0042885767776948</v>
      </c>
      <c r="AB131" s="21">
        <f>EXP(-LN(2)/2)*AB130+(1-EXP(-LN(2)/2))/(LN(2)/2)*V131*Y131*VLOOKUP('Données projet'!$B$9,Paramètres!$A$1:$I$89,3,0)*0.475*44/12</f>
        <v>5.8799008464570988E-10</v>
      </c>
      <c r="AC131" s="22">
        <f t="shared" si="57"/>
        <v>45.135251169781675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-6.7984728957526396E-14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355.09162485318728</v>
      </c>
      <c r="AO131" s="59">
        <f t="shared" si="90"/>
        <v>320.06572891923685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63.678526629138545</v>
      </c>
      <c r="AV131" s="21">
        <f>EXP(-LN(2)/25)*AV130+(1-EXP(-LN(2)/25))/(LN(2)/25)*Calculateur!AQ131*Calculateur!AS131*VLOOKUP('Données projet'!$B$10,Paramètres!$A$1:$I$89,3,0)*0.475*44/12</f>
        <v>10.02933225540662</v>
      </c>
      <c r="AW131" s="21">
        <f>EXP(-LN(2)/2)*AW130+(1-EXP(-LN(2)/2))/(LN(2)/2)*AQ131*AT131*VLOOKUP('Données projet'!$B$10,Paramètres!$A$1:$I$89,3,0)*0.475*44/12</f>
        <v>6.9573723847329855E-7</v>
      </c>
      <c r="AX131" s="21">
        <f t="shared" si="60"/>
        <v>73.707859580282403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119.99995828001613</v>
      </c>
      <c r="BJ131" s="59">
        <f t="shared" si="92"/>
        <v>317.56542444086261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7.3008363913463956</v>
      </c>
      <c r="BQ131" s="21">
        <f>EXP(-LN(2)/25)*BQ130+(1-EXP(-LN(2)/25))/(LN(2)/25)*Calculateur!BL131*Calculateur!BN131*VLOOKUP('Données projet'!$B$11,Paramètres!$A$1:$I$89,3,0)*0.475*44/12</f>
        <v>0.66236206870224346</v>
      </c>
      <c r="BR131" s="21">
        <f>EXP(-LN(2)/2)*BR130+(1-EXP(-LN(2)/2))/(LN(2)/2)*BL131*BO131*VLOOKUP('Données projet'!$B$11,Paramètres!$A$1:$I$89,3,0)*0.475*44/12</f>
        <v>1.048804542850839E-15</v>
      </c>
      <c r="BS131" s="22">
        <f t="shared" si="63"/>
        <v>7.9631984600486403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-1.0197709343628959E-13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323.17232038705157</v>
      </c>
      <c r="T132" s="59">
        <f t="shared" si="88"/>
        <v>402.34685738619197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38.363628283509172</v>
      </c>
      <c r="AA132" s="21">
        <f>EXP(-LN(2)/25)*AA131+(1-EXP(-LN(2)/25))/(LN(2)/25)*Calculateur!V132*Calculateur!X132*VLOOKUP('Données projet'!$B$9,Paramètres!$A$1:$I$89,3,0)*0.475*44/12</f>
        <v>5.8401009898938954</v>
      </c>
      <c r="AB132" s="21">
        <f>EXP(-LN(2)/2)*AB131+(1-EXP(-LN(2)/2))/(LN(2)/2)*V132*Y132*VLOOKUP('Données projet'!$B$9,Paramètres!$A$1:$I$89,3,0)*0.475*44/12</f>
        <v>4.1577177612343354E-10</v>
      </c>
      <c r="AC132" s="22">
        <f t="shared" ref="AC132:AC153" si="111">SUM(Z132:AB132)</f>
        <v>44.203729273818844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-6.7984728957526396E-14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355.09162485318728</v>
      </c>
      <c r="AO132" s="59">
        <f t="shared" si="90"/>
        <v>320.06572891923685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62.429829562007242</v>
      </c>
      <c r="AV132" s="21">
        <f>EXP(-LN(2)/25)*AV131+(1-EXP(-LN(2)/25))/(LN(2)/25)*Calculateur!AQ132*Calculateur!AS132*VLOOKUP('Données projet'!$B$10,Paramètres!$A$1:$I$89,3,0)*0.475*44/12</f>
        <v>9.755079637462865</v>
      </c>
      <c r="AW132" s="21">
        <f>EXP(-LN(2)/2)*AW131+(1-EXP(-LN(2)/2))/(LN(2)/2)*AQ132*AT132*VLOOKUP('Données projet'!$B$10,Paramètres!$A$1:$I$89,3,0)*0.475*44/12</f>
        <v>4.9196051924847155E-7</v>
      </c>
      <c r="AX132" s="21">
        <f t="shared" ref="AX132:AX153" si="114">SUM(AU132:AW132)</f>
        <v>72.184909691430633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119.99995828001613</v>
      </c>
      <c r="BJ132" s="59">
        <f t="shared" si="92"/>
        <v>317.56542444086261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7.1576714427825872</v>
      </c>
      <c r="BQ132" s="21">
        <f>EXP(-LN(2)/25)*BQ131+(1-EXP(-LN(2)/25))/(LN(2)/25)*Calculateur!BL132*Calculateur!BN132*VLOOKUP('Données projet'!$B$11,Paramètres!$A$1:$I$89,3,0)*0.475*44/12</f>
        <v>0.64424974310147332</v>
      </c>
      <c r="BR132" s="21">
        <f>EXP(-LN(2)/2)*BR131+(1-EXP(-LN(2)/2))/(LN(2)/2)*BL132*BO132*VLOOKUP('Données projet'!$B$11,Paramètres!$A$1:$I$89,3,0)*0.475*44/12</f>
        <v>7.416168043890852E-16</v>
      </c>
      <c r="BS132" s="22">
        <f t="shared" ref="BS132:BS153" si="117">SUM(BP132:BR132)</f>
        <v>7.8019211858840611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-1.0197709343628959E-13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323.17232038705157</v>
      </c>
      <c r="T133" s="59">
        <f t="shared" ref="T133:T196" si="142">$T$3</f>
        <v>402.34685738619197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37.6113409323723</v>
      </c>
      <c r="AA133" s="21">
        <f>EXP(-LN(2)/25)*AA132+(1-EXP(-LN(2)/25))/(LN(2)/25)*Calculateur!V133*Calculateur!X133*VLOOKUP('Données projet'!$B$9,Paramètres!$A$1:$I$89,3,0)*0.475*44/12</f>
        <v>5.6804031212076831</v>
      </c>
      <c r="AB133" s="21">
        <f>EXP(-LN(2)/2)*AB132+(1-EXP(-LN(2)/2))/(LN(2)/2)*V133*Y133*VLOOKUP('Données projet'!$B$9,Paramètres!$A$1:$I$89,3,0)*0.475*44/12</f>
        <v>2.9399504232285494E-10</v>
      </c>
      <c r="AC133" s="22">
        <f t="shared" si="111"/>
        <v>43.291744053873977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-6.7984728957526396E-14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355.09162485318728</v>
      </c>
      <c r="AO133" s="59">
        <f t="shared" ref="AO133:AO196" si="144">$AO$3</f>
        <v>320.06572891923685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61.205618682732378</v>
      </c>
      <c r="AV133" s="21">
        <f>EXP(-LN(2)/25)*AV132+(1-EXP(-LN(2)/25))/(LN(2)/25)*Calculateur!AQ133*Calculateur!AS133*VLOOKUP('Données projet'!$B$10,Paramètres!$A$1:$I$89,3,0)*0.475*44/12</f>
        <v>9.4883264717791</v>
      </c>
      <c r="AW133" s="21">
        <f>EXP(-LN(2)/2)*AW132+(1-EXP(-LN(2)/2))/(LN(2)/2)*AQ133*AT133*VLOOKUP('Données projet'!$B$10,Paramètres!$A$1:$I$89,3,0)*0.475*44/12</f>
        <v>3.4786861923664928E-7</v>
      </c>
      <c r="AX133" s="21">
        <f t="shared" si="114"/>
        <v>70.693945502380103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119.99995828001613</v>
      </c>
      <c r="BJ133" s="59">
        <f t="shared" ref="BJ133:BJ196" si="146">$BJ$3</f>
        <v>317.56542444086261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7.0173138715381187</v>
      </c>
      <c r="BQ133" s="21">
        <f>EXP(-LN(2)/25)*BQ132+(1-EXP(-LN(2)/25))/(LN(2)/25)*Calculateur!BL133*Calculateur!BN133*VLOOKUP('Données projet'!$B$11,Paramètres!$A$1:$I$89,3,0)*0.475*44/12</f>
        <v>0.62663269999674198</v>
      </c>
      <c r="BR133" s="21">
        <f>EXP(-LN(2)/2)*BR132+(1-EXP(-LN(2)/2))/(LN(2)/2)*BL133*BO133*VLOOKUP('Données projet'!$B$11,Paramètres!$A$1:$I$89,3,0)*0.475*44/12</f>
        <v>5.2440227142541948E-16</v>
      </c>
      <c r="BS133" s="22">
        <f t="shared" si="117"/>
        <v>7.6439465715348618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-1.0197709343628959E-13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323.17232038705157</v>
      </c>
      <c r="T134" s="59">
        <f t="shared" si="142"/>
        <v>402.34685738619197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36.87380547734125</v>
      </c>
      <c r="AA134" s="21">
        <f>EXP(-LN(2)/25)*AA133+(1-EXP(-LN(2)/25))/(LN(2)/25)*Calculateur!V134*Calculateur!X134*VLOOKUP('Données projet'!$B$9,Paramètres!$A$1:$I$89,3,0)*0.475*44/12</f>
        <v>5.5250721991388412</v>
      </c>
      <c r="AB134" s="21">
        <f>EXP(-LN(2)/2)*AB133+(1-EXP(-LN(2)/2))/(LN(2)/2)*V134*Y134*VLOOKUP('Données projet'!$B$9,Paramètres!$A$1:$I$89,3,0)*0.475*44/12</f>
        <v>2.0788588806171677E-10</v>
      </c>
      <c r="AC134" s="22">
        <f t="shared" si="111"/>
        <v>42.398877676687974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-6.7984728957526396E-14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355.09162485318728</v>
      </c>
      <c r="AO134" s="59">
        <f t="shared" si="144"/>
        <v>320.06572891923685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60.005413832105191</v>
      </c>
      <c r="AV134" s="21">
        <f>EXP(-LN(2)/25)*AV133+(1-EXP(-LN(2)/25))/(LN(2)/25)*Calculateur!AQ134*Calculateur!AS134*VLOOKUP('Données projet'!$B$10,Paramètres!$A$1:$I$89,3,0)*0.475*44/12</f>
        <v>9.2288676854388978</v>
      </c>
      <c r="AW134" s="21">
        <f>EXP(-LN(2)/2)*AW133+(1-EXP(-LN(2)/2))/(LN(2)/2)*AQ134*AT134*VLOOKUP('Données projet'!$B$10,Paramètres!$A$1:$I$89,3,0)*0.475*44/12</f>
        <v>2.4598025962423578E-7</v>
      </c>
      <c r="AX134" s="21">
        <f t="shared" si="114"/>
        <v>69.234281763524351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119.99995828001613</v>
      </c>
      <c r="BJ134" s="59">
        <f t="shared" si="146"/>
        <v>317.56542444086261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6.8797086266560896</v>
      </c>
      <c r="BQ134" s="21">
        <f>EXP(-LN(2)/25)*BQ133+(1-EXP(-LN(2)/25))/(LN(2)/25)*Calculateur!BL134*Calculateur!BN134*VLOOKUP('Données projet'!$B$11,Paramètres!$A$1:$I$89,3,0)*0.475*44/12</f>
        <v>0.60949739586214957</v>
      </c>
      <c r="BR134" s="21">
        <f>EXP(-LN(2)/2)*BR133+(1-EXP(-LN(2)/2))/(LN(2)/2)*BL134*BO134*VLOOKUP('Données projet'!$B$11,Paramètres!$A$1:$I$89,3,0)*0.475*44/12</f>
        <v>3.708084021945426E-16</v>
      </c>
      <c r="BS134" s="22">
        <f t="shared" si="117"/>
        <v>7.4892060225182391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-1.0197709343628959E-13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323.17232038705157</v>
      </c>
      <c r="T135" s="59">
        <f t="shared" si="142"/>
        <v>402.34685738619197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36.15073264273115</v>
      </c>
      <c r="AA135" s="21">
        <f>EXP(-LN(2)/25)*AA134+(1-EXP(-LN(2)/25))/(LN(2)/25)*Calculateur!V135*Calculateur!X135*VLOOKUP('Données projet'!$B$9,Paramètres!$A$1:$I$89,3,0)*0.475*44/12</f>
        <v>5.3739888093024701</v>
      </c>
      <c r="AB135" s="21">
        <f>EXP(-LN(2)/2)*AB134+(1-EXP(-LN(2)/2))/(LN(2)/2)*V135*Y135*VLOOKUP('Données projet'!$B$9,Paramètres!$A$1:$I$89,3,0)*0.475*44/12</f>
        <v>1.4699752116142747E-10</v>
      </c>
      <c r="AC135" s="22">
        <f t="shared" si="111"/>
        <v>41.524721452180614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-6.7984728957526396E-14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355.09162485318728</v>
      </c>
      <c r="AO135" s="59">
        <f t="shared" si="144"/>
        <v>320.06572891923685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58.828744266546124</v>
      </c>
      <c r="AV135" s="21">
        <f>EXP(-LN(2)/25)*AV134+(1-EXP(-LN(2)/25))/(LN(2)/25)*Calculateur!AQ135*Calculateur!AS135*VLOOKUP('Données projet'!$B$10,Paramètres!$A$1:$I$89,3,0)*0.475*44/12</f>
        <v>8.9765038132555119</v>
      </c>
      <c r="AW135" s="21">
        <f>EXP(-LN(2)/2)*AW134+(1-EXP(-LN(2)/2))/(LN(2)/2)*AQ135*AT135*VLOOKUP('Données projet'!$B$10,Paramètres!$A$1:$I$89,3,0)*0.475*44/12</f>
        <v>1.7393430961832464E-7</v>
      </c>
      <c r="AX135" s="21">
        <f t="shared" si="114"/>
        <v>67.80524825373594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119.99995828001613</v>
      </c>
      <c r="BJ135" s="59">
        <f t="shared" si="146"/>
        <v>317.56542444086261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6.744801736695285</v>
      </c>
      <c r="BQ135" s="21">
        <f>EXP(-LN(2)/25)*BQ134+(1-EXP(-LN(2)/25))/(LN(2)/25)*Calculateur!BL135*Calculateur!BN135*VLOOKUP('Données projet'!$B$11,Paramètres!$A$1:$I$89,3,0)*0.475*44/12</f>
        <v>0.59283065752022401</v>
      </c>
      <c r="BR135" s="21">
        <f>EXP(-LN(2)/2)*BR134+(1-EXP(-LN(2)/2))/(LN(2)/2)*BL135*BO135*VLOOKUP('Données projet'!$B$11,Paramètres!$A$1:$I$89,3,0)*0.475*44/12</f>
        <v>2.6220113571270974E-16</v>
      </c>
      <c r="BS135" s="22">
        <f t="shared" si="117"/>
        <v>7.3376323942155093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-1.0197709343628959E-13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323.17232038705157</v>
      </c>
      <c r="T136" s="59">
        <f t="shared" si="142"/>
        <v>402.34685738619197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35.44183882537687</v>
      </c>
      <c r="AA136" s="21">
        <f>EXP(-LN(2)/25)*AA135+(1-EXP(-LN(2)/25))/(LN(2)/25)*Calculateur!V136*Calculateur!X136*VLOOKUP('Données projet'!$B$9,Paramètres!$A$1:$I$89,3,0)*0.475*44/12</f>
        <v>5.227036802706305</v>
      </c>
      <c r="AB136" s="21">
        <f>EXP(-LN(2)/2)*AB135+(1-EXP(-LN(2)/2))/(LN(2)/2)*V136*Y136*VLOOKUP('Données projet'!$B$9,Paramètres!$A$1:$I$89,3,0)*0.475*44/12</f>
        <v>1.0394294403085838E-10</v>
      </c>
      <c r="AC136" s="22">
        <f t="shared" si="111"/>
        <v>40.668875628187116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-6.7984728957526396E-14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355.09162485318728</v>
      </c>
      <c r="AO136" s="59">
        <f t="shared" si="144"/>
        <v>320.06572891923685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57.675148473470102</v>
      </c>
      <c r="AV136" s="21">
        <f>EXP(-LN(2)/25)*AV135+(1-EXP(-LN(2)/25))/(LN(2)/25)*Calculateur!AQ136*Calculateur!AS136*VLOOKUP('Données projet'!$B$10,Paramètres!$A$1:$I$89,3,0)*0.475*44/12</f>
        <v>8.7310408444282199</v>
      </c>
      <c r="AW136" s="21">
        <f>EXP(-LN(2)/2)*AW135+(1-EXP(-LN(2)/2))/(LN(2)/2)*AQ136*AT136*VLOOKUP('Données projet'!$B$10,Paramètres!$A$1:$I$89,3,0)*0.475*44/12</f>
        <v>1.2299012981211789E-7</v>
      </c>
      <c r="AX136" s="21">
        <f t="shared" si="114"/>
        <v>66.406189440888454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119.99995828001613</v>
      </c>
      <c r="BJ136" s="59">
        <f t="shared" si="146"/>
        <v>317.56542444086261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6.6125402885615339</v>
      </c>
      <c r="BQ136" s="21">
        <f>EXP(-LN(2)/25)*BQ135+(1-EXP(-LN(2)/25))/(LN(2)/25)*Calculateur!BL136*Calculateur!BN136*VLOOKUP('Données projet'!$B$11,Paramètres!$A$1:$I$89,3,0)*0.475*44/12</f>
        <v>0.57661967201472419</v>
      </c>
      <c r="BR136" s="21">
        <f>EXP(-LN(2)/2)*BR135+(1-EXP(-LN(2)/2))/(LN(2)/2)*BL136*BO136*VLOOKUP('Données projet'!$B$11,Paramètres!$A$1:$I$89,3,0)*0.475*44/12</f>
        <v>1.854042010972713E-16</v>
      </c>
      <c r="BS136" s="22">
        <f t="shared" si="117"/>
        <v>7.1891599605762577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-1.0197709343628959E-13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323.17232038705157</v>
      </c>
      <c r="T137" s="59">
        <f t="shared" si="142"/>
        <v>402.34685738619197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34.746845983398373</v>
      </c>
      <c r="AA137" s="21">
        <f>EXP(-LN(2)/25)*AA136+(1-EXP(-LN(2)/25))/(LN(2)/25)*Calculateur!V137*Calculateur!X137*VLOOKUP('Données projet'!$B$9,Paramètres!$A$1:$I$89,3,0)*0.475*44/12</f>
        <v>5.0841032064583818</v>
      </c>
      <c r="AB137" s="21">
        <f>EXP(-LN(2)/2)*AB136+(1-EXP(-LN(2)/2))/(LN(2)/2)*V137*Y137*VLOOKUP('Données projet'!$B$9,Paramètres!$A$1:$I$89,3,0)*0.475*44/12</f>
        <v>7.3498760580713735E-11</v>
      </c>
      <c r="AC137" s="22">
        <f t="shared" si="111"/>
        <v>39.830949189930251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-6.7984728957526396E-14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355.09162485318728</v>
      </c>
      <c r="AO137" s="59">
        <f t="shared" si="144"/>
        <v>320.06572891923685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56.544173990272348</v>
      </c>
      <c r="AV137" s="21">
        <f>EXP(-LN(2)/25)*AV136+(1-EXP(-LN(2)/25))/(LN(2)/25)*Calculateur!AQ137*Calculateur!AS137*VLOOKUP('Données projet'!$B$10,Paramètres!$A$1:$I$89,3,0)*0.475*44/12</f>
        <v>8.4922900733918478</v>
      </c>
      <c r="AW137" s="21">
        <f>EXP(-LN(2)/2)*AW136+(1-EXP(-LN(2)/2))/(LN(2)/2)*AQ137*AT137*VLOOKUP('Données projet'!$B$10,Paramètres!$A$1:$I$89,3,0)*0.475*44/12</f>
        <v>8.6967154809162319E-8</v>
      </c>
      <c r="AX137" s="21">
        <f t="shared" si="114"/>
        <v>65.036464150631346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119.99995828001613</v>
      </c>
      <c r="BJ137" s="59">
        <f t="shared" si="146"/>
        <v>317.56542444086261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6.4828724067541676</v>
      </c>
      <c r="BQ137" s="21">
        <f>EXP(-LN(2)/25)*BQ136+(1-EXP(-LN(2)/25))/(LN(2)/25)*Calculateur!BL137*Calculateur!BN137*VLOOKUP('Données projet'!$B$11,Paramètres!$A$1:$I$89,3,0)*0.475*44/12</f>
        <v>0.56085197676037091</v>
      </c>
      <c r="BR137" s="21">
        <f>EXP(-LN(2)/2)*BR136+(1-EXP(-LN(2)/2))/(LN(2)/2)*BL137*BO137*VLOOKUP('Données projet'!$B$11,Paramètres!$A$1:$I$89,3,0)*0.475*44/12</f>
        <v>1.3110056785635487E-16</v>
      </c>
      <c r="BS137" s="22">
        <f t="shared" si="117"/>
        <v>7.0437243835145384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-1.0197709343628959E-13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323.17232038705157</v>
      </c>
      <c r="T138" s="59">
        <f t="shared" si="142"/>
        <v>402.34685738619197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34.065481527147298</v>
      </c>
      <c r="AA138" s="21">
        <f>EXP(-LN(2)/25)*AA137+(1-EXP(-LN(2)/25))/(LN(2)/25)*Calculateur!V138*Calculateur!X138*VLOOKUP('Données projet'!$B$9,Paramètres!$A$1:$I$89,3,0)*0.475*44/12</f>
        <v>4.9450781369164094</v>
      </c>
      <c r="AB138" s="21">
        <f>EXP(-LN(2)/2)*AB137+(1-EXP(-LN(2)/2))/(LN(2)/2)*V138*Y138*VLOOKUP('Données projet'!$B$9,Paramètres!$A$1:$I$89,3,0)*0.475*44/12</f>
        <v>5.1971472015429192E-11</v>
      </c>
      <c r="AC138" s="22">
        <f t="shared" si="111"/>
        <v>39.010559664115675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-6.7984728957526396E-14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355.09162485318728</v>
      </c>
      <c r="AO138" s="59">
        <f t="shared" si="144"/>
        <v>320.06572891923685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55.435377226863778</v>
      </c>
      <c r="AV138" s="21">
        <f>EXP(-LN(2)/25)*AV137+(1-EXP(-LN(2)/25))/(LN(2)/25)*Calculateur!AQ138*Calculateur!AS138*VLOOKUP('Données projet'!$B$10,Paramètres!$A$1:$I$89,3,0)*0.475*44/12</f>
        <v>8.260067954744823</v>
      </c>
      <c r="AW138" s="21">
        <f>EXP(-LN(2)/2)*AW137+(1-EXP(-LN(2)/2))/(LN(2)/2)*AQ138*AT138*VLOOKUP('Données projet'!$B$10,Paramètres!$A$1:$I$89,3,0)*0.475*44/12</f>
        <v>6.1495064906058944E-8</v>
      </c>
      <c r="AX138" s="21">
        <f t="shared" si="114"/>
        <v>63.69544524310367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119.99995828001613</v>
      </c>
      <c r="BJ138" s="59">
        <f t="shared" si="146"/>
        <v>317.56542444086261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6.3557472330194456</v>
      </c>
      <c r="BQ138" s="21">
        <f>EXP(-LN(2)/25)*BQ137+(1-EXP(-LN(2)/25))/(LN(2)/25)*Calculateur!BL138*Calculateur!BN138*VLOOKUP('Données projet'!$B$11,Paramètres!$A$1:$I$89,3,0)*0.475*44/12</f>
        <v>0.54551544996193491</v>
      </c>
      <c r="BR138" s="21">
        <f>EXP(-LN(2)/2)*BR137+(1-EXP(-LN(2)/2))/(LN(2)/2)*BL138*BO138*VLOOKUP('Données projet'!$B$11,Paramètres!$A$1:$I$89,3,0)*0.475*44/12</f>
        <v>9.270210054863565E-17</v>
      </c>
      <c r="BS138" s="22">
        <f t="shared" si="117"/>
        <v>6.9012626829813808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-1.0197709343628959E-13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323.17232038705157</v>
      </c>
      <c r="T139" s="59">
        <f t="shared" si="142"/>
        <v>402.34685738619197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33.397478212292022</v>
      </c>
      <c r="AA139" s="21">
        <f>EXP(-LN(2)/25)*AA138+(1-EXP(-LN(2)/25))/(LN(2)/25)*Calculateur!V139*Calculateur!X139*VLOOKUP('Données projet'!$B$9,Paramètres!$A$1:$I$89,3,0)*0.475*44/12</f>
        <v>4.8098547152120732</v>
      </c>
      <c r="AB139" s="21">
        <f>EXP(-LN(2)/2)*AB138+(1-EXP(-LN(2)/2))/(LN(2)/2)*V139*Y139*VLOOKUP('Données projet'!$B$9,Paramètres!$A$1:$I$89,3,0)*0.475*44/12</f>
        <v>3.6749380290356867E-11</v>
      </c>
      <c r="AC139" s="22">
        <f t="shared" si="111"/>
        <v>38.207332927540847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-6.7984728957526396E-14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355.09162485318728</v>
      </c>
      <c r="AO139" s="59">
        <f t="shared" si="144"/>
        <v>320.06572891923685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54.348323291686405</v>
      </c>
      <c r="AV139" s="21">
        <f>EXP(-LN(2)/25)*AV138+(1-EXP(-LN(2)/25))/(LN(2)/25)*Calculateur!AQ139*Calculateur!AS139*VLOOKUP('Données projet'!$B$10,Paramètres!$A$1:$I$89,3,0)*0.475*44/12</f>
        <v>8.0341959621442314</v>
      </c>
      <c r="AW139" s="21">
        <f>EXP(-LN(2)/2)*AW138+(1-EXP(-LN(2)/2))/(LN(2)/2)*AQ139*AT139*VLOOKUP('Données projet'!$B$10,Paramètres!$A$1:$I$89,3,0)*0.475*44/12</f>
        <v>4.348357740458116E-8</v>
      </c>
      <c r="AX139" s="21">
        <f t="shared" si="114"/>
        <v>62.382519297314211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119.99995828001613</v>
      </c>
      <c r="BJ139" s="59">
        <f t="shared" si="146"/>
        <v>317.56542444086261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6.2311149064029614</v>
      </c>
      <c r="BQ139" s="21">
        <f>EXP(-LN(2)/25)*BQ138+(1-EXP(-LN(2)/25))/(LN(2)/25)*Calculateur!BL139*Calculateur!BN139*VLOOKUP('Données projet'!$B$11,Paramètres!$A$1:$I$89,3,0)*0.475*44/12</f>
        <v>0.53059830129531504</v>
      </c>
      <c r="BR139" s="21">
        <f>EXP(-LN(2)/2)*BR138+(1-EXP(-LN(2)/2))/(LN(2)/2)*BL139*BO139*VLOOKUP('Données projet'!$B$11,Paramètres!$A$1:$I$89,3,0)*0.475*44/12</f>
        <v>6.5550283928177435E-17</v>
      </c>
      <c r="BS139" s="22">
        <f t="shared" si="117"/>
        <v>6.7617132076982767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-1.0197709343628959E-13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323.17232038705157</v>
      </c>
      <c r="T140" s="59">
        <f t="shared" si="142"/>
        <v>402.34685738619197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32.742574034999272</v>
      </c>
      <c r="AA140" s="21">
        <f>EXP(-LN(2)/25)*AA139+(1-EXP(-LN(2)/25))/(LN(2)/25)*Calculateur!V140*Calculateur!X140*VLOOKUP('Données projet'!$B$9,Paramètres!$A$1:$I$89,3,0)*0.475*44/12</f>
        <v>4.6783289850853329</v>
      </c>
      <c r="AB140" s="21">
        <f>EXP(-LN(2)/2)*AB139+(1-EXP(-LN(2)/2))/(LN(2)/2)*V140*Y140*VLOOKUP('Données projet'!$B$9,Paramètres!$A$1:$I$89,3,0)*0.475*44/12</f>
        <v>2.5985736007714596E-11</v>
      </c>
      <c r="AC140" s="22">
        <f t="shared" si="111"/>
        <v>37.420903020110593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-6.7984728957526396E-14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355.09162485318728</v>
      </c>
      <c r="AO140" s="59">
        <f t="shared" si="144"/>
        <v>320.06572891923685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53.28258582114043</v>
      </c>
      <c r="AV140" s="21">
        <f>EXP(-LN(2)/25)*AV139+(1-EXP(-LN(2)/25))/(LN(2)/25)*Calculateur!AQ140*Calculateur!AS140*VLOOKUP('Données projet'!$B$10,Paramètres!$A$1:$I$89,3,0)*0.475*44/12</f>
        <v>7.8145004510593941</v>
      </c>
      <c r="AW140" s="21">
        <f>EXP(-LN(2)/2)*AW139+(1-EXP(-LN(2)/2))/(LN(2)/2)*AQ140*AT140*VLOOKUP('Données projet'!$B$10,Paramètres!$A$1:$I$89,3,0)*0.475*44/12</f>
        <v>3.0747532453029472E-8</v>
      </c>
      <c r="AX140" s="21">
        <f t="shared" si="114"/>
        <v>61.097086302947353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119.99995828001613</v>
      </c>
      <c r="BJ140" s="59">
        <f t="shared" si="146"/>
        <v>317.56542444086261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6.1089265436932134</v>
      </c>
      <c r="BQ140" s="21">
        <f>EXP(-LN(2)/25)*BQ139+(1-EXP(-LN(2)/25))/(LN(2)/25)*Calculateur!BL140*Calculateur!BN140*VLOOKUP('Données projet'!$B$11,Paramètres!$A$1:$I$89,3,0)*0.475*44/12</f>
        <v>0.51608906284344269</v>
      </c>
      <c r="BR140" s="21">
        <f>EXP(-LN(2)/2)*BR139+(1-EXP(-LN(2)/2))/(LN(2)/2)*BL140*BO140*VLOOKUP('Données projet'!$B$11,Paramètres!$A$1:$I$89,3,0)*0.475*44/12</f>
        <v>4.6351050274317825E-17</v>
      </c>
      <c r="BS140" s="22">
        <f t="shared" si="117"/>
        <v>6.6250156065366559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-1.0197709343628959E-13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323.17232038705157</v>
      </c>
      <c r="T141" s="59">
        <f t="shared" si="142"/>
        <v>402.34685738619197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32.100512129171129</v>
      </c>
      <c r="AA141" s="21">
        <f>EXP(-LN(2)/25)*AA140+(1-EXP(-LN(2)/25))/(LN(2)/25)*Calculateur!V141*Calculateur!X141*VLOOKUP('Données projet'!$B$9,Paramètres!$A$1:$I$89,3,0)*0.475*44/12</f>
        <v>4.550399832965546</v>
      </c>
      <c r="AB141" s="21">
        <f>EXP(-LN(2)/2)*AB140+(1-EXP(-LN(2)/2))/(LN(2)/2)*V141*Y141*VLOOKUP('Données projet'!$B$9,Paramètres!$A$1:$I$89,3,0)*0.475*44/12</f>
        <v>1.8374690145178434E-11</v>
      </c>
      <c r="AC141" s="22">
        <f t="shared" si="111"/>
        <v>36.65091196215505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-6.7984728957526396E-14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355.09162485318728</v>
      </c>
      <c r="AO141" s="59">
        <f t="shared" si="144"/>
        <v>320.06572891923685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52.237746812356193</v>
      </c>
      <c r="AV141" s="21">
        <f>EXP(-LN(2)/25)*AV140+(1-EXP(-LN(2)/25))/(LN(2)/25)*Calculateur!AQ141*Calculateur!AS141*VLOOKUP('Données projet'!$B$10,Paramètres!$A$1:$I$89,3,0)*0.475*44/12</f>
        <v>7.6008125252784566</v>
      </c>
      <c r="AW141" s="21">
        <f>EXP(-LN(2)/2)*AW140+(1-EXP(-LN(2)/2))/(LN(2)/2)*AQ141*AT141*VLOOKUP('Données projet'!$B$10,Paramètres!$A$1:$I$89,3,0)*0.475*44/12</f>
        <v>2.174178870229058E-8</v>
      </c>
      <c r="AX141" s="21">
        <f t="shared" si="114"/>
        <v>59.83855935937644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119.99995828001613</v>
      </c>
      <c r="BJ141" s="59">
        <f t="shared" si="146"/>
        <v>317.56542444086261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5.9891342202486619</v>
      </c>
      <c r="BQ141" s="21">
        <f>EXP(-LN(2)/25)*BQ140+(1-EXP(-LN(2)/25))/(LN(2)/25)*Calculateur!BL141*Calculateur!BN141*VLOOKUP('Données projet'!$B$11,Paramètres!$A$1:$I$89,3,0)*0.475*44/12</f>
        <v>0.50197658028004444</v>
      </c>
      <c r="BR141" s="21">
        <f>EXP(-LN(2)/2)*BR140+(1-EXP(-LN(2)/2))/(LN(2)/2)*BL141*BO141*VLOOKUP('Données projet'!$B$11,Paramètres!$A$1:$I$89,3,0)*0.475*44/12</f>
        <v>3.2775141964088717E-17</v>
      </c>
      <c r="BS141" s="22">
        <f t="shared" si="117"/>
        <v>6.4911108005287064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-1.0197709343628959E-13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323.17232038705157</v>
      </c>
      <c r="T142" s="59">
        <f t="shared" si="142"/>
        <v>402.34685738619197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31.471040665697178</v>
      </c>
      <c r="AA142" s="21">
        <f>EXP(-LN(2)/25)*AA141+(1-EXP(-LN(2)/25))/(LN(2)/25)*Calculateur!V142*Calculateur!X142*VLOOKUP('Données projet'!$B$9,Paramètres!$A$1:$I$89,3,0)*0.475*44/12</f>
        <v>4.4259689102379758</v>
      </c>
      <c r="AB142" s="21">
        <f>EXP(-LN(2)/2)*AB141+(1-EXP(-LN(2)/2))/(LN(2)/2)*V142*Y142*VLOOKUP('Données projet'!$B$9,Paramètres!$A$1:$I$89,3,0)*0.475*44/12</f>
        <v>1.2992868003857298E-11</v>
      </c>
      <c r="AC142" s="22">
        <f t="shared" si="111"/>
        <v>35.897009575948147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-6.7984728957526396E-14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355.09162485318728</v>
      </c>
      <c r="AO142" s="59">
        <f t="shared" si="144"/>
        <v>320.06572891923685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51.213396459245345</v>
      </c>
      <c r="AV142" s="21">
        <f>EXP(-LN(2)/25)*AV141+(1-EXP(-LN(2)/25))/(LN(2)/25)*Calculateur!AQ142*Calculateur!AS142*VLOOKUP('Données projet'!$B$10,Paramètres!$A$1:$I$89,3,0)*0.475*44/12</f>
        <v>7.3929679070653584</v>
      </c>
      <c r="AW142" s="21">
        <f>EXP(-LN(2)/2)*AW141+(1-EXP(-LN(2)/2))/(LN(2)/2)*AQ142*AT142*VLOOKUP('Données projet'!$B$10,Paramètres!$A$1:$I$89,3,0)*0.475*44/12</f>
        <v>1.5373766226514736E-8</v>
      </c>
      <c r="AX142" s="21">
        <f t="shared" si="114"/>
        <v>58.606364381684465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119.99995828001613</v>
      </c>
      <c r="BJ142" s="59">
        <f t="shared" si="146"/>
        <v>317.56542444086261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5.8716909512007556</v>
      </c>
      <c r="BQ142" s="21">
        <f>EXP(-LN(2)/25)*BQ141+(1-EXP(-LN(2)/25))/(LN(2)/25)*Calculateur!BL142*Calculateur!BN142*VLOOKUP('Données projet'!$B$11,Paramètres!$A$1:$I$89,3,0)*0.475*44/12</f>
        <v>0.48825000429448556</v>
      </c>
      <c r="BR142" s="21">
        <f>EXP(-LN(2)/2)*BR141+(1-EXP(-LN(2)/2))/(LN(2)/2)*BL142*BO142*VLOOKUP('Données projet'!$B$11,Paramètres!$A$1:$I$89,3,0)*0.475*44/12</f>
        <v>2.3175525137158913E-17</v>
      </c>
      <c r="BS142" s="22">
        <f t="shared" si="117"/>
        <v>6.3599409554952411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-1.0197709343628959E-13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323.17232038705157</v>
      </c>
      <c r="T143" s="59">
        <f t="shared" si="142"/>
        <v>402.34685738619197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30.85391275368227</v>
      </c>
      <c r="AA143" s="21">
        <f>EXP(-LN(2)/25)*AA142+(1-EXP(-LN(2)/25))/(LN(2)/25)*Calculateur!V143*Calculateur!X143*VLOOKUP('Données projet'!$B$9,Paramètres!$A$1:$I$89,3,0)*0.475*44/12</f>
        <v>4.3049405576359288</v>
      </c>
      <c r="AB143" s="21">
        <f>EXP(-LN(2)/2)*AB142+(1-EXP(-LN(2)/2))/(LN(2)/2)*V143*Y143*VLOOKUP('Données projet'!$B$9,Paramètres!$A$1:$I$89,3,0)*0.475*44/12</f>
        <v>9.1873450725892168E-12</v>
      </c>
      <c r="AC143" s="22">
        <f t="shared" si="111"/>
        <v>35.158853311327384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-6.7984728957526396E-14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355.09162485318728</v>
      </c>
      <c r="AO143" s="59">
        <f t="shared" si="144"/>
        <v>320.06572891923685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50.209132991766978</v>
      </c>
      <c r="AV143" s="21">
        <f>EXP(-LN(2)/25)*AV142+(1-EXP(-LN(2)/25))/(LN(2)/25)*Calculateur!AQ143*Calculateur!AS143*VLOOKUP('Données projet'!$B$10,Paramètres!$A$1:$I$89,3,0)*0.475*44/12</f>
        <v>7.1908068108673708</v>
      </c>
      <c r="AW143" s="21">
        <f>EXP(-LN(2)/2)*AW142+(1-EXP(-LN(2)/2))/(LN(2)/2)*AQ143*AT143*VLOOKUP('Données projet'!$B$10,Paramètres!$A$1:$I$89,3,0)*0.475*44/12</f>
        <v>1.087089435114529E-8</v>
      </c>
      <c r="AX143" s="21">
        <f t="shared" si="114"/>
        <v>57.399939813505242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119.99995828001613</v>
      </c>
      <c r="BJ143" s="59">
        <f t="shared" si="146"/>
        <v>317.56542444086261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5.7565506730255569</v>
      </c>
      <c r="BQ143" s="21">
        <f>EXP(-LN(2)/25)*BQ142+(1-EXP(-LN(2)/25))/(LN(2)/25)*Calculateur!BL143*Calculateur!BN143*VLOOKUP('Données projet'!$B$11,Paramètres!$A$1:$I$89,3,0)*0.475*44/12</f>
        <v>0.47489878225110105</v>
      </c>
      <c r="BR143" s="21">
        <f>EXP(-LN(2)/2)*BR142+(1-EXP(-LN(2)/2))/(LN(2)/2)*BL143*BO143*VLOOKUP('Données projet'!$B$11,Paramètres!$A$1:$I$89,3,0)*0.475*44/12</f>
        <v>1.6387570982044359E-17</v>
      </c>
      <c r="BS143" s="22">
        <f t="shared" si="117"/>
        <v>6.2314494552766577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-1.0197709343628959E-13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323.17232038705157</v>
      </c>
      <c r="T144" s="59">
        <f t="shared" si="142"/>
        <v>402.34685738619197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30.248886343611115</v>
      </c>
      <c r="AA144" s="21">
        <f>EXP(-LN(2)/25)*AA143+(1-EXP(-LN(2)/25))/(LN(2)/25)*Calculateur!V144*Calculateur!X144*VLOOKUP('Données projet'!$B$9,Paramètres!$A$1:$I$89,3,0)*0.475*44/12</f>
        <v>4.1872217317003892</v>
      </c>
      <c r="AB144" s="21">
        <f>EXP(-LN(2)/2)*AB143+(1-EXP(-LN(2)/2))/(LN(2)/2)*V144*Y144*VLOOKUP('Données projet'!$B$9,Paramètres!$A$1:$I$89,3,0)*0.475*44/12</f>
        <v>6.496434001928649E-12</v>
      </c>
      <c r="AC144" s="22">
        <f t="shared" si="111"/>
        <v>34.436108075317996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-6.7984728957526396E-14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355.09162485318728</v>
      </c>
      <c r="AO144" s="59">
        <f t="shared" si="144"/>
        <v>320.06572891923685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49.224562518345628</v>
      </c>
      <c r="AV144" s="21">
        <f>EXP(-LN(2)/25)*AV143+(1-EXP(-LN(2)/25))/(LN(2)/25)*Calculateur!AQ144*Calculateur!AS144*VLOOKUP('Données projet'!$B$10,Paramètres!$A$1:$I$89,3,0)*0.475*44/12</f>
        <v>6.9941738204761075</v>
      </c>
      <c r="AW144" s="21">
        <f>EXP(-LN(2)/2)*AW143+(1-EXP(-LN(2)/2))/(LN(2)/2)*AQ144*AT144*VLOOKUP('Données projet'!$B$10,Paramètres!$A$1:$I$89,3,0)*0.475*44/12</f>
        <v>7.686883113257368E-9</v>
      </c>
      <c r="AX144" s="21">
        <f t="shared" si="114"/>
        <v>56.218736346508621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119.99995828001613</v>
      </c>
      <c r="BJ144" s="59">
        <f t="shared" si="146"/>
        <v>317.56542444086261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5.6436682254767394</v>
      </c>
      <c r="BQ144" s="21">
        <f>EXP(-LN(2)/25)*BQ143+(1-EXP(-LN(2)/25))/(LN(2)/25)*Calculateur!BL144*Calculateur!BN144*VLOOKUP('Données projet'!$B$11,Paramètres!$A$1:$I$89,3,0)*0.475*44/12</f>
        <v>0.46191265007660315</v>
      </c>
      <c r="BR144" s="21">
        <f>EXP(-LN(2)/2)*BR143+(1-EXP(-LN(2)/2))/(LN(2)/2)*BL144*BO144*VLOOKUP('Données projet'!$B$11,Paramètres!$A$1:$I$89,3,0)*0.475*44/12</f>
        <v>1.1587762568579456E-17</v>
      </c>
      <c r="BS144" s="22">
        <f t="shared" si="117"/>
        <v>6.1055808755533425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-1.0197709343628959E-13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323.17232038705157</v>
      </c>
      <c r="T145" s="59">
        <f t="shared" si="142"/>
        <v>402.34685738619197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29.655724132411784</v>
      </c>
      <c r="AA145" s="21">
        <f>EXP(-LN(2)/25)*AA144+(1-EXP(-LN(2)/25))/(LN(2)/25)*Calculateur!V145*Calculateur!X145*VLOOKUP('Données projet'!$B$9,Paramètres!$A$1:$I$89,3,0)*0.475*44/12</f>
        <v>4.0727219332506213</v>
      </c>
      <c r="AB145" s="21">
        <f>EXP(-LN(2)/2)*AB144+(1-EXP(-LN(2)/2))/(LN(2)/2)*V145*Y145*VLOOKUP('Données projet'!$B$9,Paramètres!$A$1:$I$89,3,0)*0.475*44/12</f>
        <v>4.5936725362946084E-12</v>
      </c>
      <c r="AC145" s="22">
        <f t="shared" si="111"/>
        <v>33.728446065667001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-6.7984728957526396E-14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355.09162485318728</v>
      </c>
      <c r="AO145" s="59">
        <f t="shared" si="144"/>
        <v>320.06572891923685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48.259298871379379</v>
      </c>
      <c r="AV145" s="21">
        <f>EXP(-LN(2)/25)*AV144+(1-EXP(-LN(2)/25))/(LN(2)/25)*Calculateur!AQ145*Calculateur!AS145*VLOOKUP('Données projet'!$B$10,Paramètres!$A$1:$I$89,3,0)*0.475*44/12</f>
        <v>6.8029177695475722</v>
      </c>
      <c r="AW145" s="21">
        <f>EXP(-LN(2)/2)*AW144+(1-EXP(-LN(2)/2))/(LN(2)/2)*AQ145*AT145*VLOOKUP('Données projet'!$B$10,Paramètres!$A$1:$I$89,3,0)*0.475*44/12</f>
        <v>5.4354471755726449E-9</v>
      </c>
      <c r="AX145" s="21">
        <f t="shared" si="114"/>
        <v>55.062216646362394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119.99995828001613</v>
      </c>
      <c r="BJ145" s="59">
        <f t="shared" si="146"/>
        <v>317.56542444086261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5.5329993338728594</v>
      </c>
      <c r="BQ145" s="21">
        <f>EXP(-LN(2)/25)*BQ144+(1-EXP(-LN(2)/25))/(LN(2)/25)*Calculateur!BL145*Calculateur!BN145*VLOOKUP('Données projet'!$B$11,Paramètres!$A$1:$I$89,3,0)*0.475*44/12</f>
        <v>0.44928162436932789</v>
      </c>
      <c r="BR145" s="21">
        <f>EXP(-LN(2)/2)*BR144+(1-EXP(-LN(2)/2))/(LN(2)/2)*BL145*BO145*VLOOKUP('Données projet'!$B$11,Paramètres!$A$1:$I$89,3,0)*0.475*44/12</f>
        <v>8.1937854910221794E-18</v>
      </c>
      <c r="BS145" s="22">
        <f t="shared" si="117"/>
        <v>5.9822809582421872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-1.0197709343628959E-13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323.17232038705157</v>
      </c>
      <c r="T146" s="59">
        <f t="shared" si="142"/>
        <v>402.34685738619197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29.074193470380848</v>
      </c>
      <c r="AA146" s="21">
        <f>EXP(-LN(2)/25)*AA145+(1-EXP(-LN(2)/25))/(LN(2)/25)*Calculateur!V146*Calculateur!X146*VLOOKUP('Données projet'!$B$9,Paramètres!$A$1:$I$89,3,0)*0.475*44/12</f>
        <v>3.9613531378107449</v>
      </c>
      <c r="AB146" s="21">
        <f>EXP(-LN(2)/2)*AB145+(1-EXP(-LN(2)/2))/(LN(2)/2)*V146*Y146*VLOOKUP('Données projet'!$B$9,Paramètres!$A$1:$I$89,3,0)*0.475*44/12</f>
        <v>3.2482170009643245E-12</v>
      </c>
      <c r="AC146" s="22">
        <f t="shared" si="111"/>
        <v>33.035546608194842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-6.7984728957526396E-14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355.09162485318728</v>
      </c>
      <c r="AO146" s="59">
        <f t="shared" si="144"/>
        <v>320.06572891923685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47.312963455777449</v>
      </c>
      <c r="AV146" s="21">
        <f>EXP(-LN(2)/25)*AV145+(1-EXP(-LN(2)/25))/(LN(2)/25)*Calculateur!AQ146*Calculateur!AS146*VLOOKUP('Données projet'!$B$10,Paramètres!$A$1:$I$89,3,0)*0.475*44/12</f>
        <v>6.616891625389397</v>
      </c>
      <c r="AW146" s="21">
        <f>EXP(-LN(2)/2)*AW145+(1-EXP(-LN(2)/2))/(LN(2)/2)*AQ146*AT146*VLOOKUP('Données projet'!$B$10,Paramètres!$A$1:$I$89,3,0)*0.475*44/12</f>
        <v>3.843441556628684E-9</v>
      </c>
      <c r="AX146" s="21">
        <f t="shared" si="114"/>
        <v>53.929855085010288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119.99995828001613</v>
      </c>
      <c r="BJ146" s="59">
        <f t="shared" si="146"/>
        <v>317.56542444086261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5.4245005917319729</v>
      </c>
      <c r="BQ146" s="21">
        <f>EXP(-LN(2)/25)*BQ145+(1-EXP(-LN(2)/25))/(LN(2)/25)*Calculateur!BL146*Calculateur!BN146*VLOOKUP('Données projet'!$B$11,Paramètres!$A$1:$I$89,3,0)*0.475*44/12</f>
        <v>0.43699599472425482</v>
      </c>
      <c r="BR146" s="21">
        <f>EXP(-LN(2)/2)*BR145+(1-EXP(-LN(2)/2))/(LN(2)/2)*BL146*BO146*VLOOKUP('Données projet'!$B$11,Paramètres!$A$1:$I$89,3,0)*0.475*44/12</f>
        <v>5.7938812842897281E-18</v>
      </c>
      <c r="BS146" s="22">
        <f t="shared" si="117"/>
        <v>5.8614965864562274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-1.0197709343628959E-13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323.17232038705157</v>
      </c>
      <c r="T147" s="59">
        <f t="shared" si="142"/>
        <v>402.34685738619197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28.504066269933659</v>
      </c>
      <c r="AA147" s="21">
        <f>EXP(-LN(2)/25)*AA146+(1-EXP(-LN(2)/25))/(LN(2)/25)*Calculateur!V147*Calculateur!X147*VLOOKUP('Données projet'!$B$9,Paramètres!$A$1:$I$89,3,0)*0.475*44/12</f>
        <v>3.8530297279388024</v>
      </c>
      <c r="AB147" s="21">
        <f>EXP(-LN(2)/2)*AB146+(1-EXP(-LN(2)/2))/(LN(2)/2)*V147*Y147*VLOOKUP('Données projet'!$B$9,Paramètres!$A$1:$I$89,3,0)*0.475*44/12</f>
        <v>2.2968362681473042E-12</v>
      </c>
      <c r="AC147" s="22">
        <f t="shared" si="111"/>
        <v>32.357095997874758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-6.7984728957526396E-14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355.09162485318728</v>
      </c>
      <c r="AO147" s="59">
        <f t="shared" si="144"/>
        <v>320.06572891923685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46.385185100467865</v>
      </c>
      <c r="AV147" s="21">
        <f>EXP(-LN(2)/25)*AV146+(1-EXP(-LN(2)/25))/(LN(2)/25)*Calculateur!AQ147*Calculateur!AS147*VLOOKUP('Données projet'!$B$10,Paramètres!$A$1:$I$89,3,0)*0.475*44/12</f>
        <v>6.4359523759259165</v>
      </c>
      <c r="AW147" s="21">
        <f>EXP(-LN(2)/2)*AW146+(1-EXP(-LN(2)/2))/(LN(2)/2)*AQ147*AT147*VLOOKUP('Données projet'!$B$10,Paramètres!$A$1:$I$89,3,0)*0.475*44/12</f>
        <v>2.7177235877863225E-9</v>
      </c>
      <c r="AX147" s="21">
        <f t="shared" si="114"/>
        <v>52.821137479111506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119.99995828001613</v>
      </c>
      <c r="BJ147" s="59">
        <f t="shared" si="146"/>
        <v>317.56542444086261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5.3181294437467708</v>
      </c>
      <c r="BQ147" s="21">
        <f>EXP(-LN(2)/25)*BQ146+(1-EXP(-LN(2)/25))/(LN(2)/25)*Calculateur!BL147*Calculateur!BN147*VLOOKUP('Données projet'!$B$11,Paramètres!$A$1:$I$89,3,0)*0.475*44/12</f>
        <v>0.42504631626789946</v>
      </c>
      <c r="BR147" s="21">
        <f>EXP(-LN(2)/2)*BR146+(1-EXP(-LN(2)/2))/(LN(2)/2)*BL147*BO147*VLOOKUP('Données projet'!$B$11,Paramètres!$A$1:$I$89,3,0)*0.475*44/12</f>
        <v>4.0968927455110897E-18</v>
      </c>
      <c r="BS147" s="22">
        <f t="shared" si="117"/>
        <v>5.7431757600146707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-1.0197709343628959E-13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323.17232038705157</v>
      </c>
      <c r="T148" s="59">
        <f t="shared" si="142"/>
        <v>402.34685738619197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27.945118916143983</v>
      </c>
      <c r="AA148" s="21">
        <f>EXP(-LN(2)/25)*AA147+(1-EXP(-LN(2)/25))/(LN(2)/25)*Calculateur!V148*Calculateur!X148*VLOOKUP('Données projet'!$B$9,Paramètres!$A$1:$I$89,3,0)*0.475*44/12</f>
        <v>3.7476684274062886</v>
      </c>
      <c r="AB148" s="21">
        <f>EXP(-LN(2)/2)*AB147+(1-EXP(-LN(2)/2))/(LN(2)/2)*V148*Y148*VLOOKUP('Données projet'!$B$9,Paramètres!$A$1:$I$89,3,0)*0.475*44/12</f>
        <v>1.6241085004821623E-12</v>
      </c>
      <c r="AC148" s="22">
        <f t="shared" si="111"/>
        <v>31.692787343551895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-6.7984728957526396E-14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355.09162485318728</v>
      </c>
      <c r="AO148" s="59">
        <f t="shared" si="144"/>
        <v>320.06572891923685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45.475599912816982</v>
      </c>
      <c r="AV148" s="21">
        <f>EXP(-LN(2)/25)*AV147+(1-EXP(-LN(2)/25))/(LN(2)/25)*Calculateur!AQ148*Calculateur!AS148*VLOOKUP('Données projet'!$B$10,Paramètres!$A$1:$I$89,3,0)*0.475*44/12</f>
        <v>6.2599609197541968</v>
      </c>
      <c r="AW148" s="21">
        <f>EXP(-LN(2)/2)*AW147+(1-EXP(-LN(2)/2))/(LN(2)/2)*AQ148*AT148*VLOOKUP('Données projet'!$B$10,Paramètres!$A$1:$I$89,3,0)*0.475*44/12</f>
        <v>1.921720778314342E-9</v>
      </c>
      <c r="AX148" s="21">
        <f t="shared" si="114"/>
        <v>51.735560834492901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119.99995828001613</v>
      </c>
      <c r="BJ148" s="59">
        <f t="shared" si="146"/>
        <v>317.56542444086261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5.2138441690935649</v>
      </c>
      <c r="BQ148" s="21">
        <f>EXP(-LN(2)/25)*BQ147+(1-EXP(-LN(2)/25))/(LN(2)/25)*Calculateur!BL148*Calculateur!BN148*VLOOKUP('Données projet'!$B$11,Paramètres!$A$1:$I$89,3,0)*0.475*44/12</f>
        <v>0.41342340239733943</v>
      </c>
      <c r="BR148" s="21">
        <f>EXP(-LN(2)/2)*BR147+(1-EXP(-LN(2)/2))/(LN(2)/2)*BL148*BO148*VLOOKUP('Données projet'!$B$11,Paramètres!$A$1:$I$89,3,0)*0.475*44/12</f>
        <v>2.8969406421448641E-18</v>
      </c>
      <c r="BS148" s="22">
        <f t="shared" si="117"/>
        <v>5.6272675714909042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-1.0197709343628959E-13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323.17232038705157</v>
      </c>
      <c r="T149" s="59">
        <f t="shared" si="142"/>
        <v>402.34685738619197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27.3971321790379</v>
      </c>
      <c r="AA149" s="21">
        <f>EXP(-LN(2)/25)*AA148+(1-EXP(-LN(2)/25))/(LN(2)/25)*Calculateur!V149*Calculateur!X149*VLOOKUP('Données projet'!$B$9,Paramètres!$A$1:$I$89,3,0)*0.475*44/12</f>
        <v>3.6451882371775466</v>
      </c>
      <c r="AB149" s="21">
        <f>EXP(-LN(2)/2)*AB148+(1-EXP(-LN(2)/2))/(LN(2)/2)*V149*Y149*VLOOKUP('Données projet'!$B$9,Paramètres!$A$1:$I$89,3,0)*0.475*44/12</f>
        <v>1.1484181340736521E-12</v>
      </c>
      <c r="AC149" s="22">
        <f t="shared" si="111"/>
        <v>31.042320416216594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-6.7984728957526396E-14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355.09162485318728</v>
      </c>
      <c r="AO149" s="59">
        <f t="shared" si="144"/>
        <v>320.06572891923685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44.58385113590375</v>
      </c>
      <c r="AV149" s="21">
        <f>EXP(-LN(2)/25)*AV148+(1-EXP(-LN(2)/25))/(LN(2)/25)*Calculateur!AQ149*Calculateur!AS149*VLOOKUP('Données projet'!$B$10,Paramètres!$A$1:$I$89,3,0)*0.475*44/12</f>
        <v>6.0887819592064805</v>
      </c>
      <c r="AW149" s="21">
        <f>EXP(-LN(2)/2)*AW148+(1-EXP(-LN(2)/2))/(LN(2)/2)*AQ149*AT149*VLOOKUP('Données projet'!$B$10,Paramètres!$A$1:$I$89,3,0)*0.475*44/12</f>
        <v>1.3588617938931612E-9</v>
      </c>
      <c r="AX149" s="21">
        <f t="shared" si="114"/>
        <v>50.672633096469092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119.99995828001613</v>
      </c>
      <c r="BJ149" s="59">
        <f t="shared" si="146"/>
        <v>317.56542444086261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5.1116038650685711</v>
      </c>
      <c r="BQ149" s="21">
        <f>EXP(-LN(2)/25)*BQ148+(1-EXP(-LN(2)/25))/(LN(2)/25)*Calculateur!BL149*Calculateur!BN149*VLOOKUP('Données projet'!$B$11,Paramètres!$A$1:$I$89,3,0)*0.475*44/12</f>
        <v>0.40211831771779233</v>
      </c>
      <c r="BR149" s="21">
        <f>EXP(-LN(2)/2)*BR148+(1-EXP(-LN(2)/2))/(LN(2)/2)*BL149*BO149*VLOOKUP('Données projet'!$B$11,Paramètres!$A$1:$I$89,3,0)*0.475*44/12</f>
        <v>2.0484463727555448E-18</v>
      </c>
      <c r="BS149" s="22">
        <f t="shared" si="117"/>
        <v>5.5137221827863634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-1.0197709343628959E-13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323.17232038705157</v>
      </c>
      <c r="T150" s="59">
        <f t="shared" si="142"/>
        <v>402.34685738619197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26.859891127607561</v>
      </c>
      <c r="AA150" s="21">
        <f>EXP(-LN(2)/25)*AA149+(1-EXP(-LN(2)/25))/(LN(2)/25)*Calculateur!V150*Calculateur!X150*VLOOKUP('Données projet'!$B$9,Paramètres!$A$1:$I$89,3,0)*0.475*44/12</f>
        <v>3.5455103731398085</v>
      </c>
      <c r="AB150" s="21">
        <f>EXP(-LN(2)/2)*AB149+(1-EXP(-LN(2)/2))/(LN(2)/2)*V150*Y150*VLOOKUP('Données projet'!$B$9,Paramètres!$A$1:$I$89,3,0)*0.475*44/12</f>
        <v>8.1205425024108113E-13</v>
      </c>
      <c r="AC150" s="22">
        <f t="shared" si="111"/>
        <v>30.405401500748184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-6.7984728957526396E-14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355.09162485318728</v>
      </c>
      <c r="AO150" s="59">
        <f t="shared" si="144"/>
        <v>320.06572891923685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43.709589008592737</v>
      </c>
      <c r="AV150" s="21">
        <f>EXP(-LN(2)/25)*AV149+(1-EXP(-LN(2)/25))/(LN(2)/25)*Calculateur!AQ150*Calculateur!AS150*VLOOKUP('Données projet'!$B$10,Paramètres!$A$1:$I$89,3,0)*0.475*44/12</f>
        <v>5.922283896336852</v>
      </c>
      <c r="AW150" s="21">
        <f>EXP(-LN(2)/2)*AW149+(1-EXP(-LN(2)/2))/(LN(2)/2)*AQ150*AT150*VLOOKUP('Données projet'!$B$10,Paramètres!$A$1:$I$89,3,0)*0.475*44/12</f>
        <v>9.60860389157171E-10</v>
      </c>
      <c r="AX150" s="21">
        <f t="shared" si="114"/>
        <v>49.631872905890447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119.99995828001613</v>
      </c>
      <c r="BJ150" s="59">
        <f t="shared" si="146"/>
        <v>317.56542444086261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5.0113684310450797</v>
      </c>
      <c r="BQ150" s="21">
        <f>EXP(-LN(2)/25)*BQ149+(1-EXP(-LN(2)/25))/(LN(2)/25)*Calculateur!BL150*Calculateur!BN150*VLOOKUP('Données projet'!$B$11,Paramètres!$A$1:$I$89,3,0)*0.475*44/12</f>
        <v>0.391122371173316</v>
      </c>
      <c r="BR150" s="21">
        <f>EXP(-LN(2)/2)*BR149+(1-EXP(-LN(2)/2))/(LN(2)/2)*BL150*BO150*VLOOKUP('Données projet'!$B$11,Paramètres!$A$1:$I$89,3,0)*0.475*44/12</f>
        <v>1.448470321072432E-18</v>
      </c>
      <c r="BS150" s="22">
        <f t="shared" si="117"/>
        <v>5.4024908022183959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-1.0197709343628959E-13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323.17232038705157</v>
      </c>
      <c r="T151" s="59">
        <f t="shared" si="142"/>
        <v>402.34685738619197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26.333185045511087</v>
      </c>
      <c r="AA151" s="21">
        <f>EXP(-LN(2)/25)*AA150+(1-EXP(-LN(2)/25))/(LN(2)/25)*Calculateur!V151*Calculateur!X151*VLOOKUP('Données projet'!$B$9,Paramètres!$A$1:$I$89,3,0)*0.475*44/12</f>
        <v>3.4485582055360133</v>
      </c>
      <c r="AB151" s="21">
        <f>EXP(-LN(2)/2)*AB150+(1-EXP(-LN(2)/2))/(LN(2)/2)*V151*Y151*VLOOKUP('Données projet'!$B$9,Paramètres!$A$1:$I$89,3,0)*0.475*44/12</f>
        <v>5.7420906703682605E-13</v>
      </c>
      <c r="AC151" s="22">
        <f t="shared" si="111"/>
        <v>29.781743251047676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-6.7984728957526396E-14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355.09162485318728</v>
      </c>
      <c r="AO151" s="59">
        <f t="shared" si="144"/>
        <v>320.06572891923685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42.85247062835105</v>
      </c>
      <c r="AV151" s="21">
        <f>EXP(-LN(2)/25)*AV150+(1-EXP(-LN(2)/25))/(LN(2)/25)*Calculateur!AQ151*Calculateur!AS151*VLOOKUP('Données projet'!$B$10,Paramètres!$A$1:$I$89,3,0)*0.475*44/12</f>
        <v>5.7603387317521459</v>
      </c>
      <c r="AW151" s="21">
        <f>EXP(-LN(2)/2)*AW150+(1-EXP(-LN(2)/2))/(LN(2)/2)*AQ151*AT151*VLOOKUP('Données projet'!$B$10,Paramètres!$A$1:$I$89,3,0)*0.475*44/12</f>
        <v>6.7943089694658062E-10</v>
      </c>
      <c r="AX151" s="21">
        <f t="shared" si="114"/>
        <v>48.612809360782627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119.99995828001613</v>
      </c>
      <c r="BJ151" s="59">
        <f t="shared" si="146"/>
        <v>317.56542444086261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4.9130985527452111</v>
      </c>
      <c r="BQ151" s="21">
        <f>EXP(-LN(2)/25)*BQ150+(1-EXP(-LN(2)/25))/(LN(2)/25)*Calculateur!BL151*Calculateur!BN151*VLOOKUP('Données projet'!$B$11,Paramètres!$A$1:$I$89,3,0)*0.475*44/12</f>
        <v>0.38042710936535007</v>
      </c>
      <c r="BR151" s="21">
        <f>EXP(-LN(2)/2)*BR150+(1-EXP(-LN(2)/2))/(LN(2)/2)*BL151*BO151*VLOOKUP('Données projet'!$B$11,Paramètres!$A$1:$I$89,3,0)*0.475*44/12</f>
        <v>1.0242231863777724E-18</v>
      </c>
      <c r="BS151" s="22">
        <f t="shared" si="117"/>
        <v>5.2935256621105609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-1.0197709343628959E-13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323.17232038705157</v>
      </c>
      <c r="T152" s="59">
        <f t="shared" si="142"/>
        <v>402.34685738619197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25.816807348425534</v>
      </c>
      <c r="AA152" s="21">
        <f>EXP(-LN(2)/25)*AA151+(1-EXP(-LN(2)/25))/(LN(2)/25)*Calculateur!V152*Calculateur!X152*VLOOKUP('Données projet'!$B$9,Paramètres!$A$1:$I$89,3,0)*0.475*44/12</f>
        <v>3.3542572000538367</v>
      </c>
      <c r="AB152" s="21">
        <f>EXP(-LN(2)/2)*AB151+(1-EXP(-LN(2)/2))/(LN(2)/2)*V152*Y152*VLOOKUP('Données projet'!$B$9,Paramètres!$A$1:$I$89,3,0)*0.475*44/12</f>
        <v>4.0602712512054057E-13</v>
      </c>
      <c r="AC152" s="22">
        <f t="shared" si="111"/>
        <v>29.171064548479777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-6.7984728957526396E-14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355.09162485318728</v>
      </c>
      <c r="AO152" s="59">
        <f t="shared" si="144"/>
        <v>320.06572891923685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42.012159816755315</v>
      </c>
      <c r="AV152" s="21">
        <f>EXP(-LN(2)/25)*AV151+(1-EXP(-LN(2)/25))/(LN(2)/25)*Calculateur!AQ152*Calculateur!AS152*VLOOKUP('Données projet'!$B$10,Paramètres!$A$1:$I$89,3,0)*0.475*44/12</f>
        <v>5.6028219662093353</v>
      </c>
      <c r="AW152" s="21">
        <f>EXP(-LN(2)/2)*AW151+(1-EXP(-LN(2)/2))/(LN(2)/2)*AQ152*AT152*VLOOKUP('Données projet'!$B$10,Paramètres!$A$1:$I$89,3,0)*0.475*44/12</f>
        <v>4.804301945785855E-10</v>
      </c>
      <c r="AX152" s="21">
        <f t="shared" si="114"/>
        <v>47.614981783445081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119.99995828001613</v>
      </c>
      <c r="BJ152" s="59">
        <f t="shared" si="146"/>
        <v>317.56542444086261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4.8167556868200956</v>
      </c>
      <c r="BQ152" s="21">
        <f>EXP(-LN(2)/25)*BQ151+(1-EXP(-LN(2)/25))/(LN(2)/25)*Calculateur!BL152*Calculateur!BN152*VLOOKUP('Données projet'!$B$11,Paramètres!$A$1:$I$89,3,0)*0.475*44/12</f>
        <v>0.37002431005396236</v>
      </c>
      <c r="BR152" s="21">
        <f>EXP(-LN(2)/2)*BR151+(1-EXP(-LN(2)/2))/(LN(2)/2)*BL152*BO152*VLOOKUP('Données projet'!$B$11,Paramètres!$A$1:$I$89,3,0)*0.475*44/12</f>
        <v>7.2423516053621602E-19</v>
      </c>
      <c r="BS152" s="22">
        <f t="shared" si="117"/>
        <v>5.1867799968740576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-1.0197709343628959E-13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323.17232038705157</v>
      </c>
      <c r="T153" s="59">
        <f t="shared" si="142"/>
        <v>402.34685738619197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25.310555503020534</v>
      </c>
      <c r="AA153" s="21">
        <f>EXP(-LN(2)/25)*AA152+(1-EXP(-LN(2)/25))/(LN(2)/25)*Calculateur!V153*Calculateur!X153*VLOOKUP('Données projet'!$B$9,Paramètres!$A$1:$I$89,3,0)*0.475*44/12</f>
        <v>3.2625348605256446</v>
      </c>
      <c r="AB153" s="21">
        <f>EXP(-LN(2)/2)*AB152+(1-EXP(-LN(2)/2))/(LN(2)/2)*V153*Y153*VLOOKUP('Données projet'!$B$9,Paramètres!$A$1:$I$89,3,0)*0.475*44/12</f>
        <v>2.8710453351841303E-13</v>
      </c>
      <c r="AC153" s="22">
        <f t="shared" si="111"/>
        <v>28.573090363546466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-6.7984728957526396E-14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355.09162485318728</v>
      </c>
      <c r="AO153" s="59">
        <f t="shared" si="144"/>
        <v>320.06572891923685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41.188326987635982</v>
      </c>
      <c r="AV153" s="21">
        <f>EXP(-LN(2)/25)*AV152+(1-EXP(-LN(2)/25))/(LN(2)/25)*Calculateur!AQ153*Calculateur!AS153*VLOOKUP('Données projet'!$B$10,Paramètres!$A$1:$I$89,3,0)*0.475*44/12</f>
        <v>5.4496125049037394</v>
      </c>
      <c r="AW153" s="21">
        <f>EXP(-LN(2)/2)*AW152+(1-EXP(-LN(2)/2))/(LN(2)/2)*AQ153*AT153*VLOOKUP('Données projet'!$B$10,Paramètres!$A$1:$I$89,3,0)*0.475*44/12</f>
        <v>3.3971544847329031E-10</v>
      </c>
      <c r="AX153" s="21">
        <f t="shared" si="114"/>
        <v>46.63793949287944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119.99995828001613</v>
      </c>
      <c r="BJ153" s="59">
        <f t="shared" si="146"/>
        <v>317.56542444086261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4.7223020457324258</v>
      </c>
      <c r="BQ153" s="21">
        <f>EXP(-LN(2)/25)*BQ152+(1-EXP(-LN(2)/25))/(LN(2)/25)*Calculateur!BL153*Calculateur!BN153*VLOOKUP('Données projet'!$B$11,Paramètres!$A$1:$I$89,3,0)*0.475*44/12</f>
        <v>0.359905975836804</v>
      </c>
      <c r="BR153" s="21">
        <f>EXP(-LN(2)/2)*BR152+(1-EXP(-LN(2)/2))/(LN(2)/2)*BL153*BO153*VLOOKUP('Données projet'!$B$11,Paramètres!$A$1:$I$89,3,0)*0.475*44/12</f>
        <v>5.1211159318888621E-19</v>
      </c>
      <c r="BS153" s="22">
        <f t="shared" si="117"/>
        <v>5.0822080215692296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-1.0197709343628959E-13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323.17232038705157</v>
      </c>
      <c r="T154" s="59">
        <f t="shared" si="142"/>
        <v>402.34685738619197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24.814230947520791</v>
      </c>
      <c r="AA154" s="21">
        <f>EXP(-LN(2)/25)*AA153+(1-EXP(-LN(2)/25))/(LN(2)/25)*Calculateur!V154*Calculateur!X154*VLOOKUP('Données projet'!$B$9,Paramètres!$A$1:$I$89,3,0)*0.475*44/12</f>
        <v>3.173320673195319</v>
      </c>
      <c r="AB154" s="21">
        <f>EXP(-LN(2)/2)*AB153+(1-EXP(-LN(2)/2))/(LN(2)/2)*V154*Y154*VLOOKUP('Données projet'!$B$9,Paramètres!$A$1:$I$89,3,0)*0.475*44/12</f>
        <v>2.0301356256027028E-13</v>
      </c>
      <c r="AC154" s="22">
        <f t="shared" ref="AC154:AC203" si="163">SUM(Z154:AB154)</f>
        <v>27.987551620716314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-6.7984728957526396E-14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355.09162485318728</v>
      </c>
      <c r="AO154" s="59">
        <f t="shared" si="144"/>
        <v>320.06572891923685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40.380649017807272</v>
      </c>
      <c r="AV154" s="21">
        <f>EXP(-LN(2)/25)*AV153+(1-EXP(-LN(2)/25))/(LN(2)/25)*Calculateur!AQ154*Calculateur!AS154*VLOOKUP('Données projet'!$B$10,Paramètres!$A$1:$I$89,3,0)*0.475*44/12</f>
        <v>5.3005925643744805</v>
      </c>
      <c r="AW154" s="21">
        <f>EXP(-LN(2)/2)*AW153+(1-EXP(-LN(2)/2))/(LN(2)/2)*AQ154*AT154*VLOOKUP('Données projet'!$B$10,Paramètres!$A$1:$I$89,3,0)*0.475*44/12</f>
        <v>2.4021509728929275E-10</v>
      </c>
      <c r="AX154" s="21">
        <f t="shared" ref="AX154:AX203" si="166">SUM(AU154:AW154)</f>
        <v>45.681241582421968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119.99995828001613</v>
      </c>
      <c r="BJ154" s="59">
        <f t="shared" si="146"/>
        <v>317.56542444086261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4.6297005829354525</v>
      </c>
      <c r="BQ154" s="21">
        <f>EXP(-LN(2)/25)*BQ153+(1-EXP(-LN(2)/25))/(LN(2)/25)*Calculateur!BL154*Calculateur!BN154*VLOOKUP('Données projet'!$B$11,Paramètres!$A$1:$I$89,3,0)*0.475*44/12</f>
        <v>0.35006432800091392</v>
      </c>
      <c r="BR154" s="21">
        <f>EXP(-LN(2)/2)*BR153+(1-EXP(-LN(2)/2))/(LN(2)/2)*BL154*BO154*VLOOKUP('Données projet'!$B$11,Paramètres!$A$1:$I$89,3,0)*0.475*44/12</f>
        <v>3.6211758026810801E-19</v>
      </c>
      <c r="BS154" s="22">
        <f t="shared" ref="BS154:BS203" si="169">SUM(BP154:BR154)</f>
        <v>4.9797649109363666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-1.0197709343628959E-13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323.17232038705157</v>
      </c>
      <c r="T155" s="59">
        <f t="shared" si="142"/>
        <v>402.34685738619197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24.32763901382631</v>
      </c>
      <c r="AA155" s="21">
        <f>EXP(-LN(2)/25)*AA154+(1-EXP(-LN(2)/25))/(LN(2)/25)*Calculateur!V155*Calculateur!X155*VLOOKUP('Données projet'!$B$9,Paramètres!$A$1:$I$89,3,0)*0.475*44/12</f>
        <v>3.0865460525091115</v>
      </c>
      <c r="AB155" s="21">
        <f>EXP(-LN(2)/2)*AB154+(1-EXP(-LN(2)/2))/(LN(2)/2)*V155*Y155*VLOOKUP('Données projet'!$B$9,Paramètres!$A$1:$I$89,3,0)*0.475*44/12</f>
        <v>1.4355226675920651E-13</v>
      </c>
      <c r="AC155" s="22">
        <f t="shared" si="163"/>
        <v>27.414185066335563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-6.7984728957526396E-14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355.09162485318728</v>
      </c>
      <c r="AO155" s="59">
        <f t="shared" si="144"/>
        <v>320.06572891923685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39.588809120331987</v>
      </c>
      <c r="AV155" s="21">
        <f>EXP(-LN(2)/25)*AV154+(1-EXP(-LN(2)/25))/(LN(2)/25)*Calculateur!AQ155*Calculateur!AS155*VLOOKUP('Données projet'!$B$10,Paramètres!$A$1:$I$89,3,0)*0.475*44/12</f>
        <v>5.1556475819556118</v>
      </c>
      <c r="AW155" s="21">
        <f>EXP(-LN(2)/2)*AW154+(1-EXP(-LN(2)/2))/(LN(2)/2)*AQ155*AT155*VLOOKUP('Données projet'!$B$10,Paramètres!$A$1:$I$89,3,0)*0.475*44/12</f>
        <v>1.6985772423664515E-10</v>
      </c>
      <c r="AX155" s="21">
        <f t="shared" si="166"/>
        <v>44.744456702457455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119.99995828001613</v>
      </c>
      <c r="BJ155" s="59">
        <f t="shared" si="146"/>
        <v>317.56542444086261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4.5389149783426133</v>
      </c>
      <c r="BQ155" s="21">
        <f>EXP(-LN(2)/25)*BQ154+(1-EXP(-LN(2)/25))/(LN(2)/25)*Calculateur!BL155*Calculateur!BN155*VLOOKUP('Données projet'!$B$11,Paramètres!$A$1:$I$89,3,0)*0.475*44/12</f>
        <v>0.34049180054264599</v>
      </c>
      <c r="BR155" s="21">
        <f>EXP(-LN(2)/2)*BR154+(1-EXP(-LN(2)/2))/(LN(2)/2)*BL155*BO155*VLOOKUP('Données projet'!$B$11,Paramètres!$A$1:$I$89,3,0)*0.475*44/12</f>
        <v>2.5605579659444311E-19</v>
      </c>
      <c r="BS155" s="22">
        <f t="shared" si="169"/>
        <v>4.8794067788852589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-1.0197709343628959E-13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323.17232038705157</v>
      </c>
      <c r="T156" s="59">
        <f t="shared" si="142"/>
        <v>402.34685738619197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23.850588851159806</v>
      </c>
      <c r="AA156" s="21">
        <f>EXP(-LN(2)/25)*AA155+(1-EXP(-LN(2)/25))/(LN(2)/25)*Calculateur!V156*Calculateur!X156*VLOOKUP('Données projet'!$B$9,Paramètres!$A$1:$I$89,3,0)*0.475*44/12</f>
        <v>3.0021442883888474</v>
      </c>
      <c r="AB156" s="21">
        <f>EXP(-LN(2)/2)*AB155+(1-EXP(-LN(2)/2))/(LN(2)/2)*V156*Y156*VLOOKUP('Données projet'!$B$9,Paramètres!$A$1:$I$89,3,0)*0.475*44/12</f>
        <v>1.0150678128013514E-13</v>
      </c>
      <c r="AC156" s="22">
        <f t="shared" si="163"/>
        <v>26.852733139548757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-6.7984728957526396E-14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355.09162485318728</v>
      </c>
      <c r="AO156" s="59">
        <f t="shared" si="144"/>
        <v>320.06572891923685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38.81249672027154</v>
      </c>
      <c r="AV156" s="21">
        <f>EXP(-LN(2)/25)*AV155+(1-EXP(-LN(2)/25))/(LN(2)/25)*Calculateur!AQ156*Calculateur!AS156*VLOOKUP('Données projet'!$B$10,Paramètres!$A$1:$I$89,3,0)*0.475*44/12</f>
        <v>5.0146661277033129</v>
      </c>
      <c r="AW156" s="21">
        <f>EXP(-LN(2)/2)*AW155+(1-EXP(-LN(2)/2))/(LN(2)/2)*AQ156*AT156*VLOOKUP('Données projet'!$B$10,Paramètres!$A$1:$I$89,3,0)*0.475*44/12</f>
        <v>1.2010754864464638E-10</v>
      </c>
      <c r="AX156" s="21">
        <f t="shared" si="166"/>
        <v>43.827162848094964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119.99995828001613</v>
      </c>
      <c r="BJ156" s="59">
        <f t="shared" si="146"/>
        <v>317.56542444086261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4.4499096240820881</v>
      </c>
      <c r="BQ156" s="21">
        <f>EXP(-LN(2)/25)*BQ155+(1-EXP(-LN(2)/25))/(LN(2)/25)*Calculateur!BL156*Calculateur!BN156*VLOOKUP('Données projet'!$B$11,Paramètres!$A$1:$I$89,3,0)*0.475*44/12</f>
        <v>0.33118103435112173</v>
      </c>
      <c r="BR156" s="21">
        <f>EXP(-LN(2)/2)*BR155+(1-EXP(-LN(2)/2))/(LN(2)/2)*BL156*BO156*VLOOKUP('Données projet'!$B$11,Paramètres!$A$1:$I$89,3,0)*0.475*44/12</f>
        <v>1.81058790134054E-19</v>
      </c>
      <c r="BS156" s="22">
        <f t="shared" si="169"/>
        <v>4.78109065843321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-1.0197709343628959E-13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323.17232038705157</v>
      </c>
      <c r="T157" s="59">
        <f t="shared" si="142"/>
        <v>402.34685738619197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23.382893351211322</v>
      </c>
      <c r="AA157" s="21">
        <f>EXP(-LN(2)/25)*AA156+(1-EXP(-LN(2)/25))/(LN(2)/25)*Calculateur!V157*Calculateur!X157*VLOOKUP('Données projet'!$B$9,Paramètres!$A$1:$I$89,3,0)*0.475*44/12</f>
        <v>2.9200504949469477</v>
      </c>
      <c r="AB157" s="21">
        <f>EXP(-LN(2)/2)*AB156+(1-EXP(-LN(2)/2))/(LN(2)/2)*V157*Y157*VLOOKUP('Données projet'!$B$9,Paramètres!$A$1:$I$89,3,0)*0.475*44/12</f>
        <v>7.1776133379603257E-14</v>
      </c>
      <c r="AC157" s="22">
        <f t="shared" si="163"/>
        <v>26.302943846158342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-6.7984728957526396E-14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355.09162485318728</v>
      </c>
      <c r="AO157" s="59">
        <f t="shared" si="144"/>
        <v>320.06572891923685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38.051407332872472</v>
      </c>
      <c r="AV157" s="21">
        <f>EXP(-LN(2)/25)*AV156+(1-EXP(-LN(2)/25))/(LN(2)/25)*Calculateur!AQ157*Calculateur!AS157*VLOOKUP('Données projet'!$B$10,Paramètres!$A$1:$I$89,3,0)*0.475*44/12</f>
        <v>4.8775398187314352</v>
      </c>
      <c r="AW157" s="21">
        <f>EXP(-LN(2)/2)*AW156+(1-EXP(-LN(2)/2))/(LN(2)/2)*AQ157*AT157*VLOOKUP('Données projet'!$B$10,Paramètres!$A$1:$I$89,3,0)*0.475*44/12</f>
        <v>8.4928862118322577E-11</v>
      </c>
      <c r="AX157" s="21">
        <f t="shared" si="166"/>
        <v>42.928947151688838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119.99995828001613</v>
      </c>
      <c r="BJ157" s="59">
        <f t="shared" si="146"/>
        <v>317.56542444086261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4.3626496105307062</v>
      </c>
      <c r="BQ157" s="21">
        <f>EXP(-LN(2)/25)*BQ156+(1-EXP(-LN(2)/25))/(LN(2)/25)*Calculateur!BL157*Calculateur!BN157*VLOOKUP('Données projet'!$B$11,Paramètres!$A$1:$I$89,3,0)*0.475*44/12</f>
        <v>0.32212487155073666</v>
      </c>
      <c r="BR157" s="21">
        <f>EXP(-LN(2)/2)*BR156+(1-EXP(-LN(2)/2))/(LN(2)/2)*BL157*BO157*VLOOKUP('Données projet'!$B$11,Paramètres!$A$1:$I$89,3,0)*0.475*44/12</f>
        <v>1.2802789829722155E-19</v>
      </c>
      <c r="BS157" s="22">
        <f t="shared" si="169"/>
        <v>4.6847744820814432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-1.0197709343628959E-13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323.17232038705157</v>
      </c>
      <c r="T158" s="59">
        <f t="shared" si="142"/>
        <v>402.34685738619197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22.924369074750743</v>
      </c>
      <c r="AA158" s="21">
        <f>EXP(-LN(2)/25)*AA157+(1-EXP(-LN(2)/25))/(LN(2)/25)*Calculateur!V158*Calculateur!X158*VLOOKUP('Données projet'!$B$9,Paramètres!$A$1:$I$89,3,0)*0.475*44/12</f>
        <v>2.8402015606038415</v>
      </c>
      <c r="AB158" s="21">
        <f>EXP(-LN(2)/2)*AB157+(1-EXP(-LN(2)/2))/(LN(2)/2)*V158*Y158*VLOOKUP('Données projet'!$B$9,Paramètres!$A$1:$I$89,3,0)*0.475*44/12</f>
        <v>5.0753390640067571E-14</v>
      </c>
      <c r="AC158" s="22">
        <f t="shared" si="163"/>
        <v>25.764570635354634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-6.7984728957526396E-14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355.09162485318728</v>
      </c>
      <c r="AO158" s="59">
        <f t="shared" si="144"/>
        <v>320.06572891923685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37.305242444141612</v>
      </c>
      <c r="AV158" s="21">
        <f>EXP(-LN(2)/25)*AV157+(1-EXP(-LN(2)/25))/(LN(2)/25)*Calculateur!AQ158*Calculateur!AS158*VLOOKUP('Données projet'!$B$10,Paramètres!$A$1:$I$89,3,0)*0.475*44/12</f>
        <v>4.7441632358895527</v>
      </c>
      <c r="AW158" s="21">
        <f>EXP(-LN(2)/2)*AW157+(1-EXP(-LN(2)/2))/(LN(2)/2)*AQ158*AT158*VLOOKUP('Données projet'!$B$10,Paramètres!$A$1:$I$89,3,0)*0.475*44/12</f>
        <v>6.0053774322323188E-11</v>
      </c>
      <c r="AX158" s="21">
        <f t="shared" si="166"/>
        <v>42.049405680091219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119.99995828001613</v>
      </c>
      <c r="BJ158" s="59">
        <f t="shared" si="146"/>
        <v>317.56542444086261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4.2771007126217144</v>
      </c>
      <c r="BQ158" s="21">
        <f>EXP(-LN(2)/25)*BQ157+(1-EXP(-LN(2)/25))/(LN(2)/25)*Calculateur!BL158*Calculateur!BN158*VLOOKUP('Données projet'!$B$11,Paramètres!$A$1:$I$89,3,0)*0.475*44/12</f>
        <v>0.31331634999837099</v>
      </c>
      <c r="BR158" s="21">
        <f>EXP(-LN(2)/2)*BR157+(1-EXP(-LN(2)/2))/(LN(2)/2)*BL158*BO158*VLOOKUP('Données projet'!$B$11,Paramètres!$A$1:$I$89,3,0)*0.475*44/12</f>
        <v>9.0529395067027002E-20</v>
      </c>
      <c r="BS158" s="22">
        <f t="shared" si="169"/>
        <v>4.5904170626200855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-1.0197709343628959E-13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323.17232038705157</v>
      </c>
      <c r="T159" s="59">
        <f t="shared" si="142"/>
        <v>402.34685738619197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22.474836179679361</v>
      </c>
      <c r="AA159" s="21">
        <f>EXP(-LN(2)/25)*AA158+(1-EXP(-LN(2)/25))/(LN(2)/25)*Calculateur!V159*Calculateur!X159*VLOOKUP('Données projet'!$B$9,Paramètres!$A$1:$I$89,3,0)*0.475*44/12</f>
        <v>2.7625360995694206</v>
      </c>
      <c r="AB159" s="21">
        <f>EXP(-LN(2)/2)*AB158+(1-EXP(-LN(2)/2))/(LN(2)/2)*V159*Y159*VLOOKUP('Données projet'!$B$9,Paramètres!$A$1:$I$89,3,0)*0.475*44/12</f>
        <v>3.5888066689801628E-14</v>
      </c>
      <c r="AC159" s="22">
        <f t="shared" si="163"/>
        <v>25.237372279248817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-6.7984728957526396E-14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355.09162485318728</v>
      </c>
      <c r="AO159" s="59">
        <f t="shared" si="144"/>
        <v>320.06572891923685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36.573709393763117</v>
      </c>
      <c r="AV159" s="21">
        <f>EXP(-LN(2)/25)*AV158+(1-EXP(-LN(2)/25))/(LN(2)/25)*Calculateur!AQ159*Calculateur!AS159*VLOOKUP('Données projet'!$B$10,Paramètres!$A$1:$I$89,3,0)*0.475*44/12</f>
        <v>4.6144338427194516</v>
      </c>
      <c r="AW159" s="21">
        <f>EXP(-LN(2)/2)*AW158+(1-EXP(-LN(2)/2))/(LN(2)/2)*AQ159*AT159*VLOOKUP('Données projet'!$B$10,Paramètres!$A$1:$I$89,3,0)*0.475*44/12</f>
        <v>4.2464431059161289E-11</v>
      </c>
      <c r="AX159" s="21">
        <f t="shared" si="166"/>
        <v>41.188143236525029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119.99995828001613</v>
      </c>
      <c r="BJ159" s="59">
        <f t="shared" si="146"/>
        <v>317.56542444086261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4.1932293764210424</v>
      </c>
      <c r="BQ159" s="21">
        <f>EXP(-LN(2)/25)*BQ158+(1-EXP(-LN(2)/25))/(LN(2)/25)*Calculateur!BL159*Calculateur!BN159*VLOOKUP('Données projet'!$B$11,Paramètres!$A$1:$I$89,3,0)*0.475*44/12</f>
        <v>0.30474869793107479</v>
      </c>
      <c r="BR159" s="21">
        <f>EXP(-LN(2)/2)*BR158+(1-EXP(-LN(2)/2))/(LN(2)/2)*BL159*BO159*VLOOKUP('Données projet'!$B$11,Paramètres!$A$1:$I$89,3,0)*0.475*44/12</f>
        <v>6.4013949148610776E-20</v>
      </c>
      <c r="BS159" s="22">
        <f t="shared" si="169"/>
        <v>4.4979780743521172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-1.0197709343628959E-13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323.17232038705157</v>
      </c>
      <c r="T160" s="59">
        <f t="shared" si="142"/>
        <v>402.34685738619197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22.034118350492335</v>
      </c>
      <c r="AA160" s="21">
        <f>EXP(-LN(2)/25)*AA159+(1-EXP(-LN(2)/25))/(LN(2)/25)*Calculateur!V160*Calculateur!X160*VLOOKUP('Données projet'!$B$9,Paramètres!$A$1:$I$89,3,0)*0.475*44/12</f>
        <v>2.6869944046512351</v>
      </c>
      <c r="AB160" s="21">
        <f>EXP(-LN(2)/2)*AB159+(1-EXP(-LN(2)/2))/(LN(2)/2)*V160*Y160*VLOOKUP('Données projet'!$B$9,Paramètres!$A$1:$I$89,3,0)*0.475*44/12</f>
        <v>2.5376695320033785E-14</v>
      </c>
      <c r="AC160" s="22">
        <f t="shared" si="163"/>
        <v>24.721112755143594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-6.7984728957526396E-14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355.09162485318728</v>
      </c>
      <c r="AO160" s="59">
        <f t="shared" si="144"/>
        <v>320.06572891923685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35.856521260311446</v>
      </c>
      <c r="AV160" s="21">
        <f>EXP(-LN(2)/25)*AV159+(1-EXP(-LN(2)/25))/(LN(2)/25)*Calculateur!AQ160*Calculateur!AS160*VLOOKUP('Données projet'!$B$10,Paramètres!$A$1:$I$89,3,0)*0.475*44/12</f>
        <v>4.4882519066277586</v>
      </c>
      <c r="AW160" s="21">
        <f>EXP(-LN(2)/2)*AW159+(1-EXP(-LN(2)/2))/(LN(2)/2)*AQ160*AT160*VLOOKUP('Données projet'!$B$10,Paramètres!$A$1:$I$89,3,0)*0.475*44/12</f>
        <v>3.0026887161161594E-11</v>
      </c>
      <c r="AX160" s="21">
        <f t="shared" si="166"/>
        <v>40.344773166969233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119.99995828001613</v>
      </c>
      <c r="BJ160" s="59">
        <f t="shared" si="146"/>
        <v>317.56542444086261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4.1110027059668015</v>
      </c>
      <c r="BQ160" s="21">
        <f>EXP(-LN(2)/25)*BQ159+(1-EXP(-LN(2)/25))/(LN(2)/25)*Calculateur!BL160*Calculateur!BN160*VLOOKUP('Données projet'!$B$11,Paramètres!$A$1:$I$89,3,0)*0.475*44/12</f>
        <v>0.29641532876011201</v>
      </c>
      <c r="BR160" s="21">
        <f>EXP(-LN(2)/2)*BR159+(1-EXP(-LN(2)/2))/(LN(2)/2)*BL160*BO160*VLOOKUP('Données projet'!$B$11,Paramètres!$A$1:$I$89,3,0)*0.475*44/12</f>
        <v>4.5264697533513501E-20</v>
      </c>
      <c r="BS160" s="22">
        <f t="shared" si="169"/>
        <v>4.4074180347269136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-1.0197709343628959E-13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323.17232038705157</v>
      </c>
      <c r="T161" s="59">
        <f t="shared" si="142"/>
        <v>402.34685738619197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21.602042729124335</v>
      </c>
      <c r="AA161" s="21">
        <f>EXP(-LN(2)/25)*AA160+(1-EXP(-LN(2)/25))/(LN(2)/25)*Calculateur!V161*Calculateur!X161*VLOOKUP('Données projet'!$B$9,Paramètres!$A$1:$I$89,3,0)*0.475*44/12</f>
        <v>2.6135184013531525</v>
      </c>
      <c r="AB161" s="21">
        <f>EXP(-LN(2)/2)*AB160+(1-EXP(-LN(2)/2))/(LN(2)/2)*V161*Y161*VLOOKUP('Données projet'!$B$9,Paramètres!$A$1:$I$89,3,0)*0.475*44/12</f>
        <v>1.7944033344900814E-14</v>
      </c>
      <c r="AC161" s="22">
        <f t="shared" si="163"/>
        <v>24.215561130477507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-6.7984728957526396E-14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355.09162485318728</v>
      </c>
      <c r="AO161" s="59">
        <f t="shared" si="144"/>
        <v>320.06572891923685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35.153396748715195</v>
      </c>
      <c r="AV161" s="21">
        <f>EXP(-LN(2)/25)*AV160+(1-EXP(-LN(2)/25))/(LN(2)/25)*Calculateur!AQ161*Calculateur!AS161*VLOOKUP('Données projet'!$B$10,Paramètres!$A$1:$I$89,3,0)*0.475*44/12</f>
        <v>4.3655204222141126</v>
      </c>
      <c r="AW161" s="21">
        <f>EXP(-LN(2)/2)*AW160+(1-EXP(-LN(2)/2))/(LN(2)/2)*AQ161*AT161*VLOOKUP('Données projet'!$B$10,Paramètres!$A$1:$I$89,3,0)*0.475*44/12</f>
        <v>2.1232215529580644E-11</v>
      </c>
      <c r="AX161" s="21">
        <f t="shared" si="166"/>
        <v>39.518917170950537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119.99995828001613</v>
      </c>
      <c r="BJ161" s="59">
        <f t="shared" si="146"/>
        <v>317.56542444086261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4.0303884503668517</v>
      </c>
      <c r="BQ161" s="21">
        <f>EXP(-LN(2)/25)*BQ160+(1-EXP(-LN(2)/25))/(LN(2)/25)*Calculateur!BL161*Calculateur!BN161*VLOOKUP('Données projet'!$B$11,Paramètres!$A$1:$I$89,3,0)*0.475*44/12</f>
        <v>0.2883098360073621</v>
      </c>
      <c r="BR161" s="21">
        <f>EXP(-LN(2)/2)*BR160+(1-EXP(-LN(2)/2))/(LN(2)/2)*BL161*BO161*VLOOKUP('Données projet'!$B$11,Paramètres!$A$1:$I$89,3,0)*0.475*44/12</f>
        <v>3.2006974574305388E-20</v>
      </c>
      <c r="BS161" s="22">
        <f t="shared" si="169"/>
        <v>4.3186982863742136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-1.0197709343628959E-13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323.17232038705157</v>
      </c>
      <c r="T162" s="59">
        <f t="shared" si="142"/>
        <v>402.34685738619197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21.178439847151257</v>
      </c>
      <c r="AA162" s="21">
        <f>EXP(-LN(2)/25)*AA161+(1-EXP(-LN(2)/25))/(LN(2)/25)*Calculateur!V162*Calculateur!X162*VLOOKUP('Données projet'!$B$9,Paramètres!$A$1:$I$89,3,0)*0.475*44/12</f>
        <v>2.5420516032291909</v>
      </c>
      <c r="AB162" s="21">
        <f>EXP(-LN(2)/2)*AB161+(1-EXP(-LN(2)/2))/(LN(2)/2)*V162*Y162*VLOOKUP('Données projet'!$B$9,Paramètres!$A$1:$I$89,3,0)*0.475*44/12</f>
        <v>1.2688347660016893E-14</v>
      </c>
      <c r="AC162" s="22">
        <f t="shared" si="163"/>
        <v>23.720491450380461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-6.7984728957526396E-14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355.09162485318728</v>
      </c>
      <c r="AO162" s="59">
        <f t="shared" si="144"/>
        <v>320.06572891923685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34.464060079927741</v>
      </c>
      <c r="AV162" s="21">
        <f>EXP(-LN(2)/25)*AV161+(1-EXP(-LN(2)/25))/(LN(2)/25)*Calculateur!AQ162*Calculateur!AS162*VLOOKUP('Données projet'!$B$10,Paramètres!$A$1:$I$89,3,0)*0.475*44/12</f>
        <v>4.2461450366959266</v>
      </c>
      <c r="AW162" s="21">
        <f>EXP(-LN(2)/2)*AW161+(1-EXP(-LN(2)/2))/(LN(2)/2)*AQ162*AT162*VLOOKUP('Données projet'!$B$10,Paramètres!$A$1:$I$89,3,0)*0.475*44/12</f>
        <v>1.5013443580580797E-11</v>
      </c>
      <c r="AX162" s="21">
        <f t="shared" si="166"/>
        <v>38.710205116638683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119.99995828001613</v>
      </c>
      <c r="BJ162" s="59">
        <f t="shared" si="146"/>
        <v>317.56542444086261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3.9513549911493762</v>
      </c>
      <c r="BQ162" s="21">
        <f>EXP(-LN(2)/25)*BQ161+(1-EXP(-LN(2)/25))/(LN(2)/25)*Calculateur!BL162*Calculateur!BN162*VLOOKUP('Données projet'!$B$11,Paramètres!$A$1:$I$89,3,0)*0.475*44/12</f>
        <v>0.28042598838018545</v>
      </c>
      <c r="BR162" s="21">
        <f>EXP(-LN(2)/2)*BR161+(1-EXP(-LN(2)/2))/(LN(2)/2)*BL162*BO162*VLOOKUP('Données projet'!$B$11,Paramètres!$A$1:$I$89,3,0)*0.475*44/12</f>
        <v>2.2632348766756751E-20</v>
      </c>
      <c r="BS162" s="22">
        <f t="shared" si="169"/>
        <v>4.231780979529562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-1.0197709343628959E-13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323.17232038705157</v>
      </c>
      <c r="T163" s="59">
        <f t="shared" si="142"/>
        <v>402.34685738619197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20.763143559321424</v>
      </c>
      <c r="AA163" s="21">
        <f>EXP(-LN(2)/25)*AA162+(1-EXP(-LN(2)/25))/(LN(2)/25)*Calculateur!V163*Calculateur!X163*VLOOKUP('Données projet'!$B$9,Paramètres!$A$1:$I$89,3,0)*0.475*44/12</f>
        <v>2.4725390684582047</v>
      </c>
      <c r="AB163" s="21">
        <f>EXP(-LN(2)/2)*AB162+(1-EXP(-LN(2)/2))/(LN(2)/2)*V163*Y163*VLOOKUP('Données projet'!$B$9,Paramètres!$A$1:$I$89,3,0)*0.475*44/12</f>
        <v>8.9720166724504071E-15</v>
      </c>
      <c r="AC163" s="22">
        <f t="shared" si="163"/>
        <v>23.235682627779639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-6.7984728957526396E-14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355.09162485318728</v>
      </c>
      <c r="AO163" s="59">
        <f t="shared" si="144"/>
        <v>320.06572891923685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33.788240882761357</v>
      </c>
      <c r="AV163" s="21">
        <f>EXP(-LN(2)/25)*AV162+(1-EXP(-LN(2)/25))/(LN(2)/25)*Calculateur!AQ163*Calculateur!AS163*VLOOKUP('Données projet'!$B$10,Paramètres!$A$1:$I$89,3,0)*0.475*44/12</f>
        <v>4.1300339773724133</v>
      </c>
      <c r="AW163" s="21">
        <f>EXP(-LN(2)/2)*AW162+(1-EXP(-LN(2)/2))/(LN(2)/2)*AQ163*AT163*VLOOKUP('Données projet'!$B$10,Paramètres!$A$1:$I$89,3,0)*0.475*44/12</f>
        <v>1.0616107764790322E-11</v>
      </c>
      <c r="AX163" s="21">
        <f t="shared" si="166"/>
        <v>37.918274860144386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119.99995828001613</v>
      </c>
      <c r="BJ163" s="59">
        <f t="shared" si="146"/>
        <v>317.56542444086261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3.8738713298615051</v>
      </c>
      <c r="BQ163" s="21">
        <f>EXP(-LN(2)/25)*BQ162+(1-EXP(-LN(2)/25))/(LN(2)/25)*Calculateur!BL163*Calculateur!BN163*VLOOKUP('Données projet'!$B$11,Paramètres!$A$1:$I$89,3,0)*0.475*44/12</f>
        <v>0.27275772498096745</v>
      </c>
      <c r="BR163" s="21">
        <f>EXP(-LN(2)/2)*BR162+(1-EXP(-LN(2)/2))/(LN(2)/2)*BL163*BO163*VLOOKUP('Données projet'!$B$11,Paramètres!$A$1:$I$89,3,0)*0.475*44/12</f>
        <v>1.6003487287152694E-20</v>
      </c>
      <c r="BS163" s="22">
        <f t="shared" si="169"/>
        <v>4.1466290548424727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-1.0197709343628959E-13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323.17232038705157</v>
      </c>
      <c r="T164" s="59">
        <f t="shared" si="142"/>
        <v>402.34685738619197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20.35599097839021</v>
      </c>
      <c r="AA164" s="21">
        <f>EXP(-LN(2)/25)*AA163+(1-EXP(-LN(2)/25))/(LN(2)/25)*Calculateur!V164*Calculateur!X164*VLOOKUP('Données projet'!$B$9,Paramètres!$A$1:$I$89,3,0)*0.475*44/12</f>
        <v>2.4049273576060366</v>
      </c>
      <c r="AB164" s="21">
        <f>EXP(-LN(2)/2)*AB163+(1-EXP(-LN(2)/2))/(LN(2)/2)*V164*Y164*VLOOKUP('Données projet'!$B$9,Paramètres!$A$1:$I$89,3,0)*0.475*44/12</f>
        <v>6.3441738300084463E-15</v>
      </c>
      <c r="AC164" s="22">
        <f t="shared" si="163"/>
        <v>22.760918335996255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-6.7984728957526396E-14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355.09162485318728</v>
      </c>
      <c r="AO164" s="59">
        <f t="shared" si="144"/>
        <v>320.06572891923685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33.125674087842398</v>
      </c>
      <c r="AV164" s="21">
        <f>EXP(-LN(2)/25)*AV163+(1-EXP(-LN(2)/25))/(LN(2)/25)*Calculateur!AQ164*Calculateur!AS164*VLOOKUP('Données projet'!$B$10,Paramètres!$A$1:$I$89,3,0)*0.475*44/12</f>
        <v>4.0170979810721175</v>
      </c>
      <c r="AW164" s="21">
        <f>EXP(-LN(2)/2)*AW163+(1-EXP(-LN(2)/2))/(LN(2)/2)*AQ164*AT164*VLOOKUP('Données projet'!$B$10,Paramètres!$A$1:$I$89,3,0)*0.475*44/12</f>
        <v>7.5067217902903984E-12</v>
      </c>
      <c r="AX164" s="21">
        <f t="shared" si="166"/>
        <v>37.142772068922021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119.99995828001613</v>
      </c>
      <c r="BJ164" s="59">
        <f t="shared" si="146"/>
        <v>317.56542444086261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3.7979070759111222</v>
      </c>
      <c r="BQ164" s="21">
        <f>EXP(-LN(2)/25)*BQ163+(1-EXP(-LN(2)/25))/(LN(2)/25)*Calculateur!BL164*Calculateur!BN164*VLOOKUP('Données projet'!$B$11,Paramètres!$A$1:$I$89,3,0)*0.475*44/12</f>
        <v>0.26529915064765752</v>
      </c>
      <c r="BR164" s="21">
        <f>EXP(-LN(2)/2)*BR163+(1-EXP(-LN(2)/2))/(LN(2)/2)*BL164*BO164*VLOOKUP('Données projet'!$B$11,Paramètres!$A$1:$I$89,3,0)*0.475*44/12</f>
        <v>1.1316174383378375E-20</v>
      </c>
      <c r="BS164" s="22">
        <f t="shared" si="169"/>
        <v>4.0632062265587798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-1.0197709343628959E-13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323.17232038705157</v>
      </c>
      <c r="T165" s="59">
        <f t="shared" si="142"/>
        <v>402.34685738619197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19.956822411232505</v>
      </c>
      <c r="AA165" s="21">
        <f>EXP(-LN(2)/25)*AA164+(1-EXP(-LN(2)/25))/(LN(2)/25)*Calculateur!V165*Calculateur!X165*VLOOKUP('Données projet'!$B$9,Paramètres!$A$1:$I$89,3,0)*0.475*44/12</f>
        <v>2.3391644925426665</v>
      </c>
      <c r="AB165" s="21">
        <f>EXP(-LN(2)/2)*AB164+(1-EXP(-LN(2)/2))/(LN(2)/2)*V165*Y165*VLOOKUP('Données projet'!$B$9,Paramètres!$A$1:$I$89,3,0)*0.475*44/12</f>
        <v>4.4860083362252035E-15</v>
      </c>
      <c r="AC165" s="22">
        <f t="shared" si="163"/>
        <v>22.295986903775177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-6.7984728957526396E-14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355.09162485318728</v>
      </c>
      <c r="AO165" s="59">
        <f t="shared" si="144"/>
        <v>320.06572891923685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32.47609982364596</v>
      </c>
      <c r="AV165" s="21">
        <f>EXP(-LN(2)/25)*AV164+(1-EXP(-LN(2)/25))/(LN(2)/25)*Calculateur!AQ165*Calculateur!AS165*VLOOKUP('Données projet'!$B$10,Paramètres!$A$1:$I$89,3,0)*0.475*44/12</f>
        <v>3.9072502255296988</v>
      </c>
      <c r="AW165" s="21">
        <f>EXP(-LN(2)/2)*AW164+(1-EXP(-LN(2)/2))/(LN(2)/2)*AQ165*AT165*VLOOKUP('Données projet'!$B$10,Paramètres!$A$1:$I$89,3,0)*0.475*44/12</f>
        <v>5.3080538823951611E-12</v>
      </c>
      <c r="AX165" s="21">
        <f t="shared" si="166"/>
        <v>36.383350049180969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119.99995828001613</v>
      </c>
      <c r="BJ165" s="59">
        <f t="shared" si="146"/>
        <v>317.56542444086261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3.7234324346470866</v>
      </c>
      <c r="BQ165" s="21">
        <f>EXP(-LN(2)/25)*BQ164+(1-EXP(-LN(2)/25))/(LN(2)/25)*Calculateur!BL165*Calculateur!BN165*VLOOKUP('Données projet'!$B$11,Paramètres!$A$1:$I$89,3,0)*0.475*44/12</f>
        <v>0.25804453142172135</v>
      </c>
      <c r="BR165" s="21">
        <f>EXP(-LN(2)/2)*BR164+(1-EXP(-LN(2)/2))/(LN(2)/2)*BL165*BO165*VLOOKUP('Données projet'!$B$11,Paramètres!$A$1:$I$89,3,0)*0.475*44/12</f>
        <v>8.001743643576347E-21</v>
      </c>
      <c r="BS165" s="22">
        <f t="shared" si="169"/>
        <v>3.9814769660688079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-1.0197709343628959E-13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323.17232038705157</v>
      </c>
      <c r="T166" s="59">
        <f t="shared" si="142"/>
        <v>402.34685738619197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19.565481296207977</v>
      </c>
      <c r="AA166" s="21">
        <f>EXP(-LN(2)/25)*AA165+(1-EXP(-LN(2)/25))/(LN(2)/25)*Calculateur!V166*Calculateur!X166*VLOOKUP('Données projet'!$B$9,Paramètres!$A$1:$I$89,3,0)*0.475*44/12</f>
        <v>2.275199916482773</v>
      </c>
      <c r="AB166" s="21">
        <f>EXP(-LN(2)/2)*AB165+(1-EXP(-LN(2)/2))/(LN(2)/2)*V166*Y166*VLOOKUP('Données projet'!$B$9,Paramètres!$A$1:$I$89,3,0)*0.475*44/12</f>
        <v>3.1720869150042232E-15</v>
      </c>
      <c r="AC166" s="22">
        <f t="shared" si="163"/>
        <v>21.840681212690754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-6.7984728957526396E-14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355.09162485318728</v>
      </c>
      <c r="AO166" s="59">
        <f t="shared" si="144"/>
        <v>320.06572891923685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31.83926331456923</v>
      </c>
      <c r="AV166" s="21">
        <f>EXP(-LN(2)/25)*AV165+(1-EXP(-LN(2)/25))/(LN(2)/25)*Calculateur!AQ166*Calculateur!AS166*VLOOKUP('Données projet'!$B$10,Paramètres!$A$1:$I$89,3,0)*0.475*44/12</f>
        <v>3.8004062626392301</v>
      </c>
      <c r="AW166" s="21">
        <f>EXP(-LN(2)/2)*AW165+(1-EXP(-LN(2)/2))/(LN(2)/2)*AQ166*AT166*VLOOKUP('Données projet'!$B$10,Paramètres!$A$1:$I$89,3,0)*0.475*44/12</f>
        <v>3.7533608951451992E-12</v>
      </c>
      <c r="AX166" s="21">
        <f t="shared" si="166"/>
        <v>35.63966957721221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119.99995828001613</v>
      </c>
      <c r="BJ166" s="59">
        <f t="shared" si="146"/>
        <v>317.56542444086261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3.6504181956731929</v>
      </c>
      <c r="BQ166" s="21">
        <f>EXP(-LN(2)/25)*BQ165+(1-EXP(-LN(2)/25))/(LN(2)/25)*Calculateur!BL166*Calculateur!BN166*VLOOKUP('Données projet'!$B$11,Paramètres!$A$1:$I$89,3,0)*0.475*44/12</f>
        <v>0.25098829014002222</v>
      </c>
      <c r="BR166" s="21">
        <f>EXP(-LN(2)/2)*BR165+(1-EXP(-LN(2)/2))/(LN(2)/2)*BL166*BO166*VLOOKUP('Données projet'!$B$11,Paramètres!$A$1:$I$89,3,0)*0.475*44/12</f>
        <v>5.6580871916891876E-21</v>
      </c>
      <c r="BS166" s="22">
        <f t="shared" si="169"/>
        <v>3.9014064858132151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-1.0197709343628959E-13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323.17232038705157</v>
      </c>
      <c r="T167" s="59">
        <f t="shared" si="142"/>
        <v>402.34685738619197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19.181814141754568</v>
      </c>
      <c r="AA167" s="21">
        <f>EXP(-LN(2)/25)*AA166+(1-EXP(-LN(2)/25))/(LN(2)/25)*Calculateur!V167*Calculateur!X167*VLOOKUP('Données projet'!$B$9,Paramètres!$A$1:$I$89,3,0)*0.475*44/12</f>
        <v>2.2129844551189879</v>
      </c>
      <c r="AB167" s="21">
        <f>EXP(-LN(2)/2)*AB166+(1-EXP(-LN(2)/2))/(LN(2)/2)*V167*Y167*VLOOKUP('Données projet'!$B$9,Paramètres!$A$1:$I$89,3,0)*0.475*44/12</f>
        <v>2.2430041681126018E-15</v>
      </c>
      <c r="AC167" s="22">
        <f t="shared" si="163"/>
        <v>21.39479859687356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-6.7984728957526396E-14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355.09162485318728</v>
      </c>
      <c r="AO167" s="59">
        <f t="shared" si="144"/>
        <v>320.06572891923685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31.214914781003582</v>
      </c>
      <c r="AV167" s="21">
        <f>EXP(-LN(2)/25)*AV166+(1-EXP(-LN(2)/25))/(LN(2)/25)*Calculateur!AQ167*Calculateur!AS167*VLOOKUP('Données projet'!$B$10,Paramètres!$A$1:$I$89,3,0)*0.475*44/12</f>
        <v>3.696483953532681</v>
      </c>
      <c r="AW167" s="21">
        <f>EXP(-LN(2)/2)*AW166+(1-EXP(-LN(2)/2))/(LN(2)/2)*AQ167*AT167*VLOOKUP('Données projet'!$B$10,Paramètres!$A$1:$I$89,3,0)*0.475*44/12</f>
        <v>2.6540269411975805E-12</v>
      </c>
      <c r="AX167" s="21">
        <f t="shared" si="166"/>
        <v>34.911398734538921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119.99995828001613</v>
      </c>
      <c r="BJ167" s="59">
        <f t="shared" si="146"/>
        <v>317.56542444086261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3.5788357213912887</v>
      </c>
      <c r="BQ167" s="21">
        <f>EXP(-LN(2)/25)*BQ166+(1-EXP(-LN(2)/25))/(LN(2)/25)*Calculateur!BL167*Calculateur!BN167*VLOOKUP('Données projet'!$B$11,Paramètres!$A$1:$I$89,3,0)*0.475*44/12</f>
        <v>0.24412500214724278</v>
      </c>
      <c r="BR167" s="21">
        <f>EXP(-LN(2)/2)*BR166+(1-EXP(-LN(2)/2))/(LN(2)/2)*BL167*BO167*VLOOKUP('Données projet'!$B$11,Paramètres!$A$1:$I$89,3,0)*0.475*44/12</f>
        <v>4.0008718217881735E-21</v>
      </c>
      <c r="BS167" s="22">
        <f t="shared" si="169"/>
        <v>3.8229607235385314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-1.0197709343628959E-13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323.17232038705157</v>
      </c>
      <c r="T168" s="59">
        <f t="shared" si="142"/>
        <v>402.34685738619197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18.805670466186132</v>
      </c>
      <c r="AA168" s="21">
        <f>EXP(-LN(2)/25)*AA167+(1-EXP(-LN(2)/25))/(LN(2)/25)*Calculateur!V168*Calculateur!X168*VLOOKUP('Données projet'!$B$9,Paramètres!$A$1:$I$89,3,0)*0.475*44/12</f>
        <v>2.1524702788179644</v>
      </c>
      <c r="AB168" s="21">
        <f>EXP(-LN(2)/2)*AB167+(1-EXP(-LN(2)/2))/(LN(2)/2)*V168*Y168*VLOOKUP('Données projet'!$B$9,Paramètres!$A$1:$I$89,3,0)*0.475*44/12</f>
        <v>1.5860434575021116E-15</v>
      </c>
      <c r="AC168" s="22">
        <f t="shared" si="163"/>
        <v>20.958140745004098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-6.7984728957526396E-14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355.09162485318728</v>
      </c>
      <c r="AO168" s="59">
        <f t="shared" si="144"/>
        <v>320.06572891923685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30.60280934136615</v>
      </c>
      <c r="AV168" s="21">
        <f>EXP(-LN(2)/25)*AV167+(1-EXP(-LN(2)/25))/(LN(2)/25)*Calculateur!AQ168*Calculateur!AS168*VLOOKUP('Données projet'!$B$10,Paramètres!$A$1:$I$89,3,0)*0.475*44/12</f>
        <v>3.5954034054336872</v>
      </c>
      <c r="AW168" s="21">
        <f>EXP(-LN(2)/2)*AW167+(1-EXP(-LN(2)/2))/(LN(2)/2)*AQ168*AT168*VLOOKUP('Données projet'!$B$10,Paramètres!$A$1:$I$89,3,0)*0.475*44/12</f>
        <v>1.8766804475725996E-12</v>
      </c>
      <c r="AX168" s="21">
        <f t="shared" si="166"/>
        <v>34.198212746801715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119.99995828001613</v>
      </c>
      <c r="BJ168" s="59">
        <f t="shared" si="146"/>
        <v>317.56542444086261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3.5086569357690545</v>
      </c>
      <c r="BQ168" s="21">
        <f>EXP(-LN(2)/25)*BQ167+(1-EXP(-LN(2)/25))/(LN(2)/25)*Calculateur!BL168*Calculateur!BN168*VLOOKUP('Données projet'!$B$11,Paramètres!$A$1:$I$89,3,0)*0.475*44/12</f>
        <v>0.23744939112555052</v>
      </c>
      <c r="BR168" s="21">
        <f>EXP(-LN(2)/2)*BR167+(1-EXP(-LN(2)/2))/(LN(2)/2)*BL168*BO168*VLOOKUP('Données projet'!$B$11,Paramètres!$A$1:$I$89,3,0)*0.475*44/12</f>
        <v>2.8290435958445938E-21</v>
      </c>
      <c r="BS168" s="22">
        <f t="shared" si="169"/>
        <v>3.7461063268946049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-1.0197709343628959E-13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323.17232038705157</v>
      </c>
      <c r="T169" s="59">
        <f t="shared" si="142"/>
        <v>402.34685738619197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18.436902738670607</v>
      </c>
      <c r="AA169" s="21">
        <f>EXP(-LN(2)/25)*AA168+(1-EXP(-LN(2)/25))/(LN(2)/25)*Calculateur!V169*Calculateur!X169*VLOOKUP('Données projet'!$B$9,Paramètres!$A$1:$I$89,3,0)*0.475*44/12</f>
        <v>2.0936108658501946</v>
      </c>
      <c r="AB169" s="21">
        <f>EXP(-LN(2)/2)*AB168+(1-EXP(-LN(2)/2))/(LN(2)/2)*V169*Y169*VLOOKUP('Données projet'!$B$9,Paramètres!$A$1:$I$89,3,0)*0.475*44/12</f>
        <v>1.1215020840563009E-15</v>
      </c>
      <c r="AC169" s="22">
        <f t="shared" si="163"/>
        <v>20.530513604520802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-6.7984728957526396E-14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355.09162485318728</v>
      </c>
      <c r="AO169" s="59">
        <f t="shared" si="144"/>
        <v>320.06572891923685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30.002706916052556</v>
      </c>
      <c r="AV169" s="21">
        <f>EXP(-LN(2)/25)*AV168+(1-EXP(-LN(2)/25))/(LN(2)/25)*Calculateur!AQ169*Calculateur!AS169*VLOOKUP('Données projet'!$B$10,Paramètres!$A$1:$I$89,3,0)*0.475*44/12</f>
        <v>3.4970869102380555</v>
      </c>
      <c r="AW169" s="21">
        <f>EXP(-LN(2)/2)*AW168+(1-EXP(-LN(2)/2))/(LN(2)/2)*AQ169*AT169*VLOOKUP('Données projet'!$B$10,Paramètres!$A$1:$I$89,3,0)*0.475*44/12</f>
        <v>1.3270134705987903E-12</v>
      </c>
      <c r="AX169" s="21">
        <f t="shared" si="166"/>
        <v>33.499793826291942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119.99995828001613</v>
      </c>
      <c r="BJ169" s="59">
        <f t="shared" si="146"/>
        <v>317.56542444086261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3.4398543133280399</v>
      </c>
      <c r="BQ169" s="21">
        <f>EXP(-LN(2)/25)*BQ168+(1-EXP(-LN(2)/25))/(LN(2)/25)*Calculateur!BL169*Calculateur!BN169*VLOOKUP('Données projet'!$B$11,Paramètres!$A$1:$I$89,3,0)*0.475*44/12</f>
        <v>0.23095632503830157</v>
      </c>
      <c r="BR169" s="21">
        <f>EXP(-LN(2)/2)*BR168+(1-EXP(-LN(2)/2))/(LN(2)/2)*BL169*BO169*VLOOKUP('Données projet'!$B$11,Paramètres!$A$1:$I$89,3,0)*0.475*44/12</f>
        <v>2.0004359108940868E-21</v>
      </c>
      <c r="BS169" s="22">
        <f t="shared" si="169"/>
        <v>3.6708106383663415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-1.0197709343628959E-13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323.17232038705157</v>
      </c>
      <c r="T170" s="59">
        <f t="shared" si="142"/>
        <v>402.34685738619197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18.075366321365557</v>
      </c>
      <c r="AA170" s="21">
        <f>EXP(-LN(2)/25)*AA169+(1-EXP(-LN(2)/25))/(LN(2)/25)*Calculateur!V170*Calculateur!X170*VLOOKUP('Données projet'!$B$9,Paramètres!$A$1:$I$89,3,0)*0.475*44/12</f>
        <v>2.0363609666253106</v>
      </c>
      <c r="AB170" s="21">
        <f>EXP(-LN(2)/2)*AB169+(1-EXP(-LN(2)/2))/(LN(2)/2)*V170*Y170*VLOOKUP('Données projet'!$B$9,Paramètres!$A$1:$I$89,3,0)*0.475*44/12</f>
        <v>7.9302172875105579E-16</v>
      </c>
      <c r="AC170" s="22">
        <f t="shared" si="163"/>
        <v>20.111727287990867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-6.7984728957526396E-14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355.09162485318728</v>
      </c>
      <c r="AO170" s="59">
        <f t="shared" si="144"/>
        <v>320.06572891923685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29.414372133273027</v>
      </c>
      <c r="AV170" s="21">
        <f>EXP(-LN(2)/25)*AV169+(1-EXP(-LN(2)/25))/(LN(2)/25)*Calculateur!AQ170*Calculateur!AS170*VLOOKUP('Données projet'!$B$10,Paramètres!$A$1:$I$89,3,0)*0.475*44/12</f>
        <v>3.4014588847737879</v>
      </c>
      <c r="AW170" s="21">
        <f>EXP(-LN(2)/2)*AW169+(1-EXP(-LN(2)/2))/(LN(2)/2)*AQ170*AT170*VLOOKUP('Données projet'!$B$10,Paramètres!$A$1:$I$89,3,0)*0.475*44/12</f>
        <v>9.3834022378629981E-13</v>
      </c>
      <c r="AX170" s="21">
        <f t="shared" si="166"/>
        <v>32.815831018047753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119.99995828001613</v>
      </c>
      <c r="BJ170" s="59">
        <f t="shared" si="146"/>
        <v>317.56542444086261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3.3724008683476376</v>
      </c>
      <c r="BQ170" s="21">
        <f>EXP(-LN(2)/25)*BQ169+(1-EXP(-LN(2)/25))/(LN(2)/25)*Calculateur!BL170*Calculateur!BN170*VLOOKUP('Données projet'!$B$11,Paramètres!$A$1:$I$89,3,0)*0.475*44/12</f>
        <v>0.22464081218466395</v>
      </c>
      <c r="BR170" s="21">
        <f>EXP(-LN(2)/2)*BR169+(1-EXP(-LN(2)/2))/(LN(2)/2)*BL170*BO170*VLOOKUP('Données projet'!$B$11,Paramètres!$A$1:$I$89,3,0)*0.475*44/12</f>
        <v>1.4145217979222969E-21</v>
      </c>
      <c r="BS170" s="22">
        <f t="shared" si="169"/>
        <v>3.5970416805323016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-1.0197709343628959E-13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323.17232038705157</v>
      </c>
      <c r="T171" s="59">
        <f t="shared" si="142"/>
        <v>402.34685738619197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17.720919412688417</v>
      </c>
      <c r="AA171" s="21">
        <f>EXP(-LN(2)/25)*AA170+(1-EXP(-LN(2)/25))/(LN(2)/25)*Calculateur!V171*Calculateur!X171*VLOOKUP('Données projet'!$B$9,Paramètres!$A$1:$I$89,3,0)*0.475*44/12</f>
        <v>1.9806765689053725</v>
      </c>
      <c r="AB171" s="21">
        <f>EXP(-LN(2)/2)*AB170+(1-EXP(-LN(2)/2))/(LN(2)/2)*V171*Y171*VLOOKUP('Données projet'!$B$9,Paramètres!$A$1:$I$89,3,0)*0.475*44/12</f>
        <v>5.6075104202815044E-16</v>
      </c>
      <c r="AC171" s="22">
        <f t="shared" si="163"/>
        <v>19.70159598159379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-6.7984728957526396E-14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355.09162485318728</v>
      </c>
      <c r="AO171" s="59">
        <f t="shared" si="144"/>
        <v>320.06572891923685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28.837574236735019</v>
      </c>
      <c r="AV171" s="21">
        <f>EXP(-LN(2)/25)*AV170+(1-EXP(-LN(2)/25))/(LN(2)/25)*Calculateur!AQ171*Calculateur!AS171*VLOOKUP('Données projet'!$B$10,Paramètres!$A$1:$I$89,3,0)*0.475*44/12</f>
        <v>3.3084458126946998</v>
      </c>
      <c r="AW171" s="21">
        <f>EXP(-LN(2)/2)*AW170+(1-EXP(-LN(2)/2))/(LN(2)/2)*AQ171*AT171*VLOOKUP('Données projet'!$B$10,Paramètres!$A$1:$I$89,3,0)*0.475*44/12</f>
        <v>6.6350673529939514E-13</v>
      </c>
      <c r="AX171" s="21">
        <f t="shared" si="166"/>
        <v>32.146020049430383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119.99995828001613</v>
      </c>
      <c r="BJ171" s="59">
        <f t="shared" si="146"/>
        <v>317.56542444086261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3.306270144280762</v>
      </c>
      <c r="BQ171" s="21">
        <f>EXP(-LN(2)/25)*BQ170+(1-EXP(-LN(2)/25))/(LN(2)/25)*Calculateur!BL171*Calculateur!BN171*VLOOKUP('Données projet'!$B$11,Paramètres!$A$1:$I$89,3,0)*0.475*44/12</f>
        <v>0.21849799736212741</v>
      </c>
      <c r="BR171" s="21">
        <f>EXP(-LN(2)/2)*BR170+(1-EXP(-LN(2)/2))/(LN(2)/2)*BL171*BO171*VLOOKUP('Données projet'!$B$11,Paramètres!$A$1:$I$89,3,0)*0.475*44/12</f>
        <v>1.0002179554470434E-21</v>
      </c>
      <c r="BS171" s="22">
        <f t="shared" si="169"/>
        <v>3.5247681416428893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-1.0197709343628959E-13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323.17232038705157</v>
      </c>
      <c r="T172" s="59">
        <f t="shared" si="142"/>
        <v>402.34685738619197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17.373422991699169</v>
      </c>
      <c r="AA172" s="21">
        <f>EXP(-LN(2)/25)*AA171+(1-EXP(-LN(2)/25))/(LN(2)/25)*Calculateur!V172*Calculateur!X172*VLOOKUP('Données projet'!$B$9,Paramètres!$A$1:$I$89,3,0)*0.475*44/12</f>
        <v>1.9265148639694012</v>
      </c>
      <c r="AB172" s="21">
        <f>EXP(-LN(2)/2)*AB171+(1-EXP(-LN(2)/2))/(LN(2)/2)*V172*Y172*VLOOKUP('Données projet'!$B$9,Paramètres!$A$1:$I$89,3,0)*0.475*44/12</f>
        <v>3.965108643755279E-16</v>
      </c>
      <c r="AC172" s="22">
        <f t="shared" si="163"/>
        <v>19.299937855668571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-6.7984728957526396E-14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355.09162485318728</v>
      </c>
      <c r="AO172" s="59">
        <f t="shared" si="144"/>
        <v>320.06572891923685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28.272086995136142</v>
      </c>
      <c r="AV172" s="21">
        <f>EXP(-LN(2)/25)*AV171+(1-EXP(-LN(2)/25))/(LN(2)/25)*Calculateur!AQ172*Calculateur!AS172*VLOOKUP('Données projet'!$B$10,Paramètres!$A$1:$I$89,3,0)*0.475*44/12</f>
        <v>3.2179761879629596</v>
      </c>
      <c r="AW172" s="21">
        <f>EXP(-LN(2)/2)*AW171+(1-EXP(-LN(2)/2))/(LN(2)/2)*AQ172*AT172*VLOOKUP('Données projet'!$B$10,Paramètres!$A$1:$I$89,3,0)*0.475*44/12</f>
        <v>4.691701118931499E-13</v>
      </c>
      <c r="AX172" s="21">
        <f t="shared" si="166"/>
        <v>31.490063183099572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119.99995828001613</v>
      </c>
      <c r="BJ172" s="59">
        <f t="shared" si="146"/>
        <v>317.56542444086261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3.2414362033770789</v>
      </c>
      <c r="BQ172" s="21">
        <f>EXP(-LN(2)/25)*BQ171+(1-EXP(-LN(2)/25))/(LN(2)/25)*Calculateur!BL172*Calculateur!BN172*VLOOKUP('Données projet'!$B$11,Paramètres!$A$1:$I$89,3,0)*0.475*44/12</f>
        <v>0.21252315813394973</v>
      </c>
      <c r="BR172" s="21">
        <f>EXP(-LN(2)/2)*BR171+(1-EXP(-LN(2)/2))/(LN(2)/2)*BL172*BO172*VLOOKUP('Données projet'!$B$11,Paramètres!$A$1:$I$89,3,0)*0.475*44/12</f>
        <v>7.0726089896114846E-22</v>
      </c>
      <c r="BS172" s="22">
        <f t="shared" si="169"/>
        <v>3.4539593615110284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-1.0197709343628959E-13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323.17232038705157</v>
      </c>
      <c r="T173" s="59">
        <f t="shared" si="142"/>
        <v>402.34685738619197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17.032740763573631</v>
      </c>
      <c r="AA173" s="21">
        <f>EXP(-LN(2)/25)*AA172+(1-EXP(-LN(2)/25))/(LN(2)/25)*Calculateur!V173*Calculateur!X173*VLOOKUP('Données projet'!$B$9,Paramètres!$A$1:$I$89,3,0)*0.475*44/12</f>
        <v>1.8738342137031443</v>
      </c>
      <c r="AB173" s="21">
        <f>EXP(-LN(2)/2)*AB172+(1-EXP(-LN(2)/2))/(LN(2)/2)*V173*Y173*VLOOKUP('Données projet'!$B$9,Paramètres!$A$1:$I$89,3,0)*0.475*44/12</f>
        <v>2.8037552101407522E-16</v>
      </c>
      <c r="AC173" s="22">
        <f t="shared" si="163"/>
        <v>18.906574977276776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-6.7984728957526396E-14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355.09162485318728</v>
      </c>
      <c r="AO173" s="59">
        <f t="shared" si="144"/>
        <v>320.06572891923685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27.717688613431861</v>
      </c>
      <c r="AV173" s="21">
        <f>EXP(-LN(2)/25)*AV172+(1-EXP(-LN(2)/25))/(LN(2)/25)*Calculateur!AQ173*Calculateur!AS173*VLOOKUP('Données projet'!$B$10,Paramètres!$A$1:$I$89,3,0)*0.475*44/12</f>
        <v>3.1299804598770997</v>
      </c>
      <c r="AW173" s="21">
        <f>EXP(-LN(2)/2)*AW172+(1-EXP(-LN(2)/2))/(LN(2)/2)*AQ173*AT173*VLOOKUP('Données projet'!$B$10,Paramètres!$A$1:$I$89,3,0)*0.475*44/12</f>
        <v>3.3175336764969757E-13</v>
      </c>
      <c r="AX173" s="21">
        <f t="shared" si="166"/>
        <v>30.847669073309291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119.99995828001613</v>
      </c>
      <c r="BJ173" s="59">
        <f t="shared" si="146"/>
        <v>317.56542444086261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3.1778736165097179</v>
      </c>
      <c r="BQ173" s="21">
        <f>EXP(-LN(2)/25)*BQ172+(1-EXP(-LN(2)/25))/(LN(2)/25)*Calculateur!BL173*Calculateur!BN173*VLOOKUP('Données projet'!$B$11,Paramètres!$A$1:$I$89,3,0)*0.475*44/12</f>
        <v>0.20671170119866972</v>
      </c>
      <c r="BR173" s="21">
        <f>EXP(-LN(2)/2)*BR172+(1-EXP(-LN(2)/2))/(LN(2)/2)*BL173*BO173*VLOOKUP('Données projet'!$B$11,Paramètres!$A$1:$I$89,3,0)*0.475*44/12</f>
        <v>5.0010897772352169E-22</v>
      </c>
      <c r="BS173" s="22">
        <f t="shared" si="169"/>
        <v>3.3845853177083876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-1.0197709343628959E-13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323.17232038705157</v>
      </c>
      <c r="T174" s="59">
        <f t="shared" si="142"/>
        <v>402.34685738619197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16.698739106145997</v>
      </c>
      <c r="AA174" s="21">
        <f>EXP(-LN(2)/25)*AA173+(1-EXP(-LN(2)/25))/(LN(2)/25)*Calculateur!V174*Calculateur!X174*VLOOKUP('Données projet'!$B$9,Paramètres!$A$1:$I$89,3,0)*0.475*44/12</f>
        <v>1.8225941185887733</v>
      </c>
      <c r="AB174" s="21">
        <f>EXP(-LN(2)/2)*AB173+(1-EXP(-LN(2)/2))/(LN(2)/2)*V174*Y174*VLOOKUP('Données projet'!$B$9,Paramètres!$A$1:$I$89,3,0)*0.475*44/12</f>
        <v>1.9825543218776395E-16</v>
      </c>
      <c r="AC174" s="22">
        <f t="shared" si="163"/>
        <v>18.521333224734772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-6.7984728957526396E-14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355.09162485318728</v>
      </c>
      <c r="AO174" s="59">
        <f t="shared" si="144"/>
        <v>320.06572891923685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27.174161645843174</v>
      </c>
      <c r="AV174" s="21">
        <f>EXP(-LN(2)/25)*AV173+(1-EXP(-LN(2)/25))/(LN(2)/25)*Calculateur!AQ174*Calculateur!AS174*VLOOKUP('Données projet'!$B$10,Paramètres!$A$1:$I$89,3,0)*0.475*44/12</f>
        <v>3.0443909796032416</v>
      </c>
      <c r="AW174" s="21">
        <f>EXP(-LN(2)/2)*AW173+(1-EXP(-LN(2)/2))/(LN(2)/2)*AQ174*AT174*VLOOKUP('Données projet'!$B$10,Paramètres!$A$1:$I$89,3,0)*0.475*44/12</f>
        <v>2.3458505594657495E-13</v>
      </c>
      <c r="AX174" s="21">
        <f t="shared" si="166"/>
        <v>30.218552625446652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119.99995828001613</v>
      </c>
      <c r="BJ174" s="59">
        <f t="shared" si="146"/>
        <v>317.56542444086261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3.1155574532014758</v>
      </c>
      <c r="BQ174" s="21">
        <f>EXP(-LN(2)/25)*BQ173+(1-EXP(-LN(2)/25))/(LN(2)/25)*Calculateur!BL174*Calculateur!BN174*VLOOKUP('Données projet'!$B$11,Paramètres!$A$1:$I$89,3,0)*0.475*44/12</f>
        <v>0.20105915885889616</v>
      </c>
      <c r="BR174" s="21">
        <f>EXP(-LN(2)/2)*BR173+(1-EXP(-LN(2)/2))/(LN(2)/2)*BL174*BO174*VLOOKUP('Données projet'!$B$11,Paramètres!$A$1:$I$89,3,0)*0.475*44/12</f>
        <v>3.5363044948057423E-22</v>
      </c>
      <c r="BS174" s="22">
        <f t="shared" si="169"/>
        <v>3.3166166120603719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-1.0197709343628959E-13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323.17232038705157</v>
      </c>
      <c r="T175" s="59">
        <f t="shared" si="142"/>
        <v>402.34685738619197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16.371287017499622</v>
      </c>
      <c r="AA175" s="21">
        <f>EXP(-LN(2)/25)*AA174+(1-EXP(-LN(2)/25))/(LN(2)/25)*Calculateur!V175*Calculateur!X175*VLOOKUP('Données projet'!$B$9,Paramètres!$A$1:$I$89,3,0)*0.475*44/12</f>
        <v>1.7727551865699043</v>
      </c>
      <c r="AB175" s="21">
        <f>EXP(-LN(2)/2)*AB174+(1-EXP(-LN(2)/2))/(LN(2)/2)*V175*Y175*VLOOKUP('Données projet'!$B$9,Paramètres!$A$1:$I$89,3,0)*0.475*44/12</f>
        <v>1.4018776050703761E-16</v>
      </c>
      <c r="AC175" s="22">
        <f t="shared" si="163"/>
        <v>18.144042204069525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-6.7984728957526396E-14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355.09162485318728</v>
      </c>
      <c r="AO175" s="59">
        <f t="shared" si="144"/>
        <v>320.06572891923685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26.641292910570186</v>
      </c>
      <c r="AV175" s="21">
        <f>EXP(-LN(2)/25)*AV174+(1-EXP(-LN(2)/25))/(LN(2)/25)*Calculateur!AQ175*Calculateur!AS175*VLOOKUP('Données projet'!$B$10,Paramètres!$A$1:$I$89,3,0)*0.475*44/12</f>
        <v>2.9611419481684274</v>
      </c>
      <c r="AW175" s="21">
        <f>EXP(-LN(2)/2)*AW174+(1-EXP(-LN(2)/2))/(LN(2)/2)*AQ175*AT175*VLOOKUP('Données projet'!$B$10,Paramètres!$A$1:$I$89,3,0)*0.475*44/12</f>
        <v>1.6587668382484878E-13</v>
      </c>
      <c r="AX175" s="21">
        <f t="shared" si="166"/>
        <v>29.602434858738782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119.99995828001613</v>
      </c>
      <c r="BJ175" s="59">
        <f t="shared" si="146"/>
        <v>317.56542444086261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3.0544632718466023</v>
      </c>
      <c r="BQ175" s="21">
        <f>EXP(-LN(2)/25)*BQ174+(1-EXP(-LN(2)/25))/(LN(2)/25)*Calculateur!BL175*Calculateur!BN175*VLOOKUP('Données projet'!$B$11,Paramètres!$A$1:$I$89,3,0)*0.475*44/12</f>
        <v>0.195561185586658</v>
      </c>
      <c r="BR175" s="21">
        <f>EXP(-LN(2)/2)*BR174+(1-EXP(-LN(2)/2))/(LN(2)/2)*BL175*BO175*VLOOKUP('Données projet'!$B$11,Paramètres!$A$1:$I$89,3,0)*0.475*44/12</f>
        <v>2.5005448886176084E-22</v>
      </c>
      <c r="BS175" s="22">
        <f t="shared" si="169"/>
        <v>3.2500244574332604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-1.0197709343628959E-13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323.17232038705157</v>
      </c>
      <c r="T176" s="59">
        <f t="shared" si="142"/>
        <v>402.34685738619197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16.05025606458555</v>
      </c>
      <c r="AA176" s="21">
        <f>EXP(-LN(2)/25)*AA175+(1-EXP(-LN(2)/25))/(LN(2)/25)*Calculateur!V176*Calculateur!X176*VLOOKUP('Données projet'!$B$9,Paramètres!$A$1:$I$89,3,0)*0.475*44/12</f>
        <v>1.7242791027680067</v>
      </c>
      <c r="AB176" s="21">
        <f>EXP(-LN(2)/2)*AB175+(1-EXP(-LN(2)/2))/(LN(2)/2)*V176*Y176*VLOOKUP('Données projet'!$B$9,Paramètres!$A$1:$I$89,3,0)*0.475*44/12</f>
        <v>9.9127716093881974E-17</v>
      </c>
      <c r="AC176" s="22">
        <f t="shared" si="163"/>
        <v>17.774535167353555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-6.7984728957526396E-14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355.09162485318728</v>
      </c>
      <c r="AO176" s="59">
        <f t="shared" si="144"/>
        <v>320.06572891923685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26.118873406178068</v>
      </c>
      <c r="AV176" s="21">
        <f>EXP(-LN(2)/25)*AV175+(1-EXP(-LN(2)/25))/(LN(2)/25)*Calculateur!AQ176*Calculateur!AS176*VLOOKUP('Données projet'!$B$10,Paramètres!$A$1:$I$89,3,0)*0.475*44/12</f>
        <v>2.8801693658760743</v>
      </c>
      <c r="AW176" s="21">
        <f>EXP(-LN(2)/2)*AW175+(1-EXP(-LN(2)/2))/(LN(2)/2)*AQ176*AT176*VLOOKUP('Données projet'!$B$10,Paramètres!$A$1:$I$89,3,0)*0.475*44/12</f>
        <v>1.1729252797328748E-13</v>
      </c>
      <c r="AX176" s="21">
        <f t="shared" si="166"/>
        <v>28.99904277205426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119.99995828001613</v>
      </c>
      <c r="BJ176" s="59">
        <f t="shared" si="146"/>
        <v>317.56542444086261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2.9945671101243265</v>
      </c>
      <c r="BQ176" s="21">
        <f>EXP(-LN(2)/25)*BQ175+(1-EXP(-LN(2)/25))/(LN(2)/25)*Calculateur!BL176*Calculateur!BN176*VLOOKUP('Données projet'!$B$11,Paramètres!$A$1:$I$89,3,0)*0.475*44/12</f>
        <v>0.19021355468267503</v>
      </c>
      <c r="BR176" s="21">
        <f>EXP(-LN(2)/2)*BR175+(1-EXP(-LN(2)/2))/(LN(2)/2)*BL176*BO176*VLOOKUP('Données projet'!$B$11,Paramètres!$A$1:$I$89,3,0)*0.475*44/12</f>
        <v>1.7681522474028711E-22</v>
      </c>
      <c r="BS176" s="22">
        <f t="shared" si="169"/>
        <v>3.1847806648070014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-1.0197709343628959E-13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323.17232038705157</v>
      </c>
      <c r="T177" s="59">
        <f t="shared" si="142"/>
        <v>402.34685738619197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15.735520332848575</v>
      </c>
      <c r="AA177" s="21">
        <f>EXP(-LN(2)/25)*AA176+(1-EXP(-LN(2)/25))/(LN(2)/25)*Calculateur!V177*Calculateur!X177*VLOOKUP('Données projet'!$B$9,Paramètres!$A$1:$I$89,3,0)*0.475*44/12</f>
        <v>1.6771286000269183</v>
      </c>
      <c r="AB177" s="21">
        <f>EXP(-LN(2)/2)*AB176+(1-EXP(-LN(2)/2))/(LN(2)/2)*V177*Y177*VLOOKUP('Données projet'!$B$9,Paramètres!$A$1:$I$89,3,0)*0.475*44/12</f>
        <v>7.0093880253518805E-17</v>
      </c>
      <c r="AC177" s="22">
        <f t="shared" si="163"/>
        <v>17.412648932875491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-6.7984728957526396E-14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355.09162485318728</v>
      </c>
      <c r="AO177" s="59">
        <f t="shared" si="144"/>
        <v>320.06572891923685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25.606698229622644</v>
      </c>
      <c r="AV177" s="21">
        <f>EXP(-LN(2)/25)*AV176+(1-EXP(-LN(2)/25))/(LN(2)/25)*Calculateur!AQ177*Calculateur!AS177*VLOOKUP('Données projet'!$B$10,Paramètres!$A$1:$I$89,3,0)*0.475*44/12</f>
        <v>2.801410983104669</v>
      </c>
      <c r="AW177" s="21">
        <f>EXP(-LN(2)/2)*AW176+(1-EXP(-LN(2)/2))/(LN(2)/2)*AQ177*AT177*VLOOKUP('Données projet'!$B$10,Paramètres!$A$1:$I$89,3,0)*0.475*44/12</f>
        <v>8.2938341912424392E-14</v>
      </c>
      <c r="AX177" s="21">
        <f t="shared" si="166"/>
        <v>28.408109212727396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119.99995828001613</v>
      </c>
      <c r="BJ177" s="59">
        <f t="shared" si="146"/>
        <v>317.56542444086261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2.9358454756003733</v>
      </c>
      <c r="BQ177" s="21">
        <f>EXP(-LN(2)/25)*BQ176+(1-EXP(-LN(2)/25))/(LN(2)/25)*Calculateur!BL177*Calculateur!BN177*VLOOKUP('Données projet'!$B$11,Paramètres!$A$1:$I$89,3,0)*0.475*44/12</f>
        <v>0.18501215502698118</v>
      </c>
      <c r="BR177" s="21">
        <f>EXP(-LN(2)/2)*BR176+(1-EXP(-LN(2)/2))/(LN(2)/2)*BL177*BO177*VLOOKUP('Données projet'!$B$11,Paramètres!$A$1:$I$89,3,0)*0.475*44/12</f>
        <v>1.2502724443088042E-22</v>
      </c>
      <c r="BS177" s="22">
        <f t="shared" si="169"/>
        <v>3.1208576306273543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-1.0197709343628959E-13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323.17232038705157</v>
      </c>
      <c r="T178" s="59">
        <f t="shared" si="142"/>
        <v>402.34685738619197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15.426956376841121</v>
      </c>
      <c r="AA178" s="21">
        <f>EXP(-LN(2)/25)*AA177+(1-EXP(-LN(2)/25))/(LN(2)/25)*Calculateur!V178*Calculateur!X178*VLOOKUP('Données projet'!$B$9,Paramètres!$A$1:$I$89,3,0)*0.475*44/12</f>
        <v>1.6312674302628223</v>
      </c>
      <c r="AB178" s="21">
        <f>EXP(-LN(2)/2)*AB177+(1-EXP(-LN(2)/2))/(LN(2)/2)*V178*Y178*VLOOKUP('Données projet'!$B$9,Paramètres!$A$1:$I$89,3,0)*0.475*44/12</f>
        <v>4.9563858046940987E-17</v>
      </c>
      <c r="AC178" s="22">
        <f t="shared" si="163"/>
        <v>17.058223807103943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-6.7984728957526396E-14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355.09162485318728</v>
      </c>
      <c r="AO178" s="59">
        <f t="shared" si="144"/>
        <v>320.06572891923685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25.104566495883461</v>
      </c>
      <c r="AV178" s="21">
        <f>EXP(-LN(2)/25)*AV177+(1-EXP(-LN(2)/25))/(LN(2)/25)*Calculateur!AQ178*Calculateur!AS178*VLOOKUP('Données projet'!$B$10,Paramètres!$A$1:$I$89,3,0)*0.475*44/12</f>
        <v>2.724806252451871</v>
      </c>
      <c r="AW178" s="21">
        <f>EXP(-LN(2)/2)*AW177+(1-EXP(-LN(2)/2))/(LN(2)/2)*AQ178*AT178*VLOOKUP('Données projet'!$B$10,Paramètres!$A$1:$I$89,3,0)*0.475*44/12</f>
        <v>5.8646263986643738E-14</v>
      </c>
      <c r="AX178" s="21">
        <f t="shared" si="166"/>
        <v>27.829372748335391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119.99995828001613</v>
      </c>
      <c r="BJ178" s="59">
        <f t="shared" si="146"/>
        <v>317.56542444086261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2.8782753365127745</v>
      </c>
      <c r="BQ178" s="21">
        <f>EXP(-LN(2)/25)*BQ177+(1-EXP(-LN(2)/25))/(LN(2)/25)*Calculateur!BL178*Calculateur!BN178*VLOOKUP('Données projet'!$B$11,Paramètres!$A$1:$I$89,3,0)*0.475*44/12</f>
        <v>0.179952987918402</v>
      </c>
      <c r="BR178" s="21">
        <f>EXP(-LN(2)/2)*BR177+(1-EXP(-LN(2)/2))/(LN(2)/2)*BL178*BO178*VLOOKUP('Données projet'!$B$11,Paramètres!$A$1:$I$89,3,0)*0.475*44/12</f>
        <v>8.8407612370143557E-23</v>
      </c>
      <c r="BS178" s="22">
        <f t="shared" si="169"/>
        <v>3.0582283244311763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-1.0197709343628959E-13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323.17232038705157</v>
      </c>
      <c r="T179" s="59">
        <f t="shared" si="142"/>
        <v>402.34685738619197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15.124443171805543</v>
      </c>
      <c r="AA179" s="21">
        <f>EXP(-LN(2)/25)*AA178+(1-EXP(-LN(2)/25))/(LN(2)/25)*Calculateur!V179*Calculateur!X179*VLOOKUP('Données projet'!$B$9,Paramètres!$A$1:$I$89,3,0)*0.475*44/12</f>
        <v>1.5866603365976595</v>
      </c>
      <c r="AB179" s="21">
        <f>EXP(-LN(2)/2)*AB178+(1-EXP(-LN(2)/2))/(LN(2)/2)*V179*Y179*VLOOKUP('Données projet'!$B$9,Paramètres!$A$1:$I$89,3,0)*0.475*44/12</f>
        <v>3.5046940126759403E-17</v>
      </c>
      <c r="AC179" s="22">
        <f t="shared" si="163"/>
        <v>16.711103508403202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-6.7984728957526396E-14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355.09162485318728</v>
      </c>
      <c r="AO179" s="59">
        <f t="shared" si="144"/>
        <v>320.06572891923685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24.612281259172786</v>
      </c>
      <c r="AV179" s="21">
        <f>EXP(-LN(2)/25)*AV178+(1-EXP(-LN(2)/25))/(LN(2)/25)*Calculateur!AQ179*Calculateur!AS179*VLOOKUP('Données projet'!$B$10,Paramètres!$A$1:$I$89,3,0)*0.475*44/12</f>
        <v>2.6502962821872416</v>
      </c>
      <c r="AW179" s="21">
        <f>EXP(-LN(2)/2)*AW178+(1-EXP(-LN(2)/2))/(LN(2)/2)*AQ179*AT179*VLOOKUP('Données projet'!$B$10,Paramètres!$A$1:$I$89,3,0)*0.475*44/12</f>
        <v>4.1469170956212196E-14</v>
      </c>
      <c r="AX179" s="21">
        <f t="shared" si="166"/>
        <v>27.26257754136007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119.99995828001613</v>
      </c>
      <c r="BJ179" s="59">
        <f t="shared" si="146"/>
        <v>317.56542444086261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2.8218341127383657</v>
      </c>
      <c r="BQ179" s="21">
        <f>EXP(-LN(2)/25)*BQ178+(1-EXP(-LN(2)/25))/(LN(2)/25)*Calculateur!BL179*Calculateur!BN179*VLOOKUP('Données projet'!$B$11,Paramètres!$A$1:$I$89,3,0)*0.475*44/12</f>
        <v>0.17503216400045696</v>
      </c>
      <c r="BR179" s="21">
        <f>EXP(-LN(2)/2)*BR178+(1-EXP(-LN(2)/2))/(LN(2)/2)*BL179*BO179*VLOOKUP('Données projet'!$B$11,Paramètres!$A$1:$I$89,3,0)*0.475*44/12</f>
        <v>6.2513622215440211E-23</v>
      </c>
      <c r="BS179" s="22">
        <f t="shared" si="169"/>
        <v>2.9968662767388228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-1.0197709343628959E-13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323.17232038705157</v>
      </c>
      <c r="T180" s="59">
        <f t="shared" si="142"/>
        <v>402.34685738619197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14.827862066205878</v>
      </c>
      <c r="AA180" s="21">
        <f>EXP(-LN(2)/25)*AA179+(1-EXP(-LN(2)/25))/(LN(2)/25)*Calculateur!V180*Calculateur!X180*VLOOKUP('Données projet'!$B$9,Paramètres!$A$1:$I$89,3,0)*0.475*44/12</f>
        <v>1.5432730262545558</v>
      </c>
      <c r="AB180" s="21">
        <f>EXP(-LN(2)/2)*AB179+(1-EXP(-LN(2)/2))/(LN(2)/2)*V180*Y180*VLOOKUP('Données projet'!$B$9,Paramètres!$A$1:$I$89,3,0)*0.475*44/12</f>
        <v>2.4781929023470494E-17</v>
      </c>
      <c r="AC180" s="22">
        <f t="shared" si="163"/>
        <v>16.371135092460435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-6.7984728957526396E-14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355.09162485318728</v>
      </c>
      <c r="AO180" s="59">
        <f t="shared" si="144"/>
        <v>320.06572891923685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24.129649435689664</v>
      </c>
      <c r="AV180" s="21">
        <f>EXP(-LN(2)/25)*AV179+(1-EXP(-LN(2)/25))/(LN(2)/25)*Calculateur!AQ180*Calculateur!AS180*VLOOKUP('Données projet'!$B$10,Paramètres!$A$1:$I$89,3,0)*0.475*44/12</f>
        <v>2.5778237909778072</v>
      </c>
      <c r="AW180" s="21">
        <f>EXP(-LN(2)/2)*AW179+(1-EXP(-LN(2)/2))/(LN(2)/2)*AQ180*AT180*VLOOKUP('Données projet'!$B$10,Paramètres!$A$1:$I$89,3,0)*0.475*44/12</f>
        <v>2.9323131993321869E-14</v>
      </c>
      <c r="AX180" s="21">
        <f t="shared" si="166"/>
        <v>26.707473226667499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119.99995828001613</v>
      </c>
      <c r="BJ180" s="59">
        <f t="shared" si="146"/>
        <v>317.56542444086261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2.7664996669364257</v>
      </c>
      <c r="BQ180" s="21">
        <f>EXP(-LN(2)/25)*BQ179+(1-EXP(-LN(2)/25))/(LN(2)/25)*Calculateur!BL180*Calculateur!BN180*VLOOKUP('Données projet'!$B$11,Paramètres!$A$1:$I$89,3,0)*0.475*44/12</f>
        <v>0.170245900271323</v>
      </c>
      <c r="BR180" s="21">
        <f>EXP(-LN(2)/2)*BR179+(1-EXP(-LN(2)/2))/(LN(2)/2)*BL180*BO180*VLOOKUP('Données projet'!$B$11,Paramètres!$A$1:$I$89,3,0)*0.475*44/12</f>
        <v>4.4203806185071778E-23</v>
      </c>
      <c r="BS180" s="22">
        <f t="shared" si="169"/>
        <v>2.9367455672077485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-1.0197709343628959E-13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323.17232038705157</v>
      </c>
      <c r="T181" s="59">
        <f t="shared" si="142"/>
        <v>402.34685738619197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14.53709673519041</v>
      </c>
      <c r="AA181" s="21">
        <f>EXP(-LN(2)/25)*AA180+(1-EXP(-LN(2)/25))/(LN(2)/25)*Calculateur!V181*Calculateur!X181*VLOOKUP('Données projet'!$B$9,Paramètres!$A$1:$I$89,3,0)*0.475*44/12</f>
        <v>1.5010721441944237</v>
      </c>
      <c r="AB181" s="21">
        <f>EXP(-LN(2)/2)*AB180+(1-EXP(-LN(2)/2))/(LN(2)/2)*V181*Y181*VLOOKUP('Données projet'!$B$9,Paramètres!$A$1:$I$89,3,0)*0.475*44/12</f>
        <v>1.7523470063379701E-17</v>
      </c>
      <c r="AC181" s="22">
        <f t="shared" si="163"/>
        <v>16.038168879384834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-6.7984728957526396E-14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355.09162485318728</v>
      </c>
      <c r="AO181" s="59">
        <f t="shared" si="144"/>
        <v>320.06572891923685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23.6564817278887</v>
      </c>
      <c r="AV181" s="21">
        <f>EXP(-LN(2)/25)*AV180+(1-EXP(-LN(2)/25))/(LN(2)/25)*Calculateur!AQ181*Calculateur!AS181*VLOOKUP('Données projet'!$B$10,Paramètres!$A$1:$I$89,3,0)*0.475*44/12</f>
        <v>2.5073330638516578</v>
      </c>
      <c r="AW181" s="21">
        <f>EXP(-LN(2)/2)*AW180+(1-EXP(-LN(2)/2))/(LN(2)/2)*AQ181*AT181*VLOOKUP('Données projet'!$B$10,Paramètres!$A$1:$I$89,3,0)*0.475*44/12</f>
        <v>2.0734585478106098E-14</v>
      </c>
      <c r="AX181" s="21">
        <f t="shared" si="166"/>
        <v>26.163814791740378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119.99995828001613</v>
      </c>
      <c r="BJ181" s="59">
        <f t="shared" si="146"/>
        <v>317.56542444086261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2.7122502958659824</v>
      </c>
      <c r="BQ181" s="21">
        <f>EXP(-LN(2)/25)*BQ180+(1-EXP(-LN(2)/25))/(LN(2)/25)*Calculateur!BL181*Calculateur!BN181*VLOOKUP('Données projet'!$B$11,Paramètres!$A$1:$I$89,3,0)*0.475*44/12</f>
        <v>0.16559051717556086</v>
      </c>
      <c r="BR181" s="21">
        <f>EXP(-LN(2)/2)*BR180+(1-EXP(-LN(2)/2))/(LN(2)/2)*BL181*BO181*VLOOKUP('Données projet'!$B$11,Paramètres!$A$1:$I$89,3,0)*0.475*44/12</f>
        <v>3.1256811107720106E-23</v>
      </c>
      <c r="BS181" s="22">
        <f t="shared" si="169"/>
        <v>2.8778408130415434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-1.0197709343628959E-13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323.17232038705157</v>
      </c>
      <c r="T182" s="59">
        <f t="shared" si="142"/>
        <v>402.34685738619197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14.252033134966815</v>
      </c>
      <c r="AA182" s="21">
        <f>EXP(-LN(2)/25)*AA181+(1-EXP(-LN(2)/25))/(LN(2)/25)*Calculateur!V182*Calculateur!X182*VLOOKUP('Données projet'!$B$9,Paramètres!$A$1:$I$89,3,0)*0.475*44/12</f>
        <v>1.4600252474734738</v>
      </c>
      <c r="AB182" s="21">
        <f>EXP(-LN(2)/2)*AB181+(1-EXP(-LN(2)/2))/(LN(2)/2)*V182*Y182*VLOOKUP('Données projet'!$B$9,Paramètres!$A$1:$I$89,3,0)*0.475*44/12</f>
        <v>1.2390964511735247E-17</v>
      </c>
      <c r="AC182" s="22">
        <f t="shared" si="163"/>
        <v>15.71205838244029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-6.7984728957526396E-14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355.09162485318728</v>
      </c>
      <c r="AO182" s="59">
        <f t="shared" si="144"/>
        <v>320.06572891923685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23.192592550233908</v>
      </c>
      <c r="AV182" s="21">
        <f>EXP(-LN(2)/25)*AV181+(1-EXP(-LN(2)/25))/(LN(2)/25)*Calculateur!AQ182*Calculateur!AS182*VLOOKUP('Données projet'!$B$10,Paramètres!$A$1:$I$89,3,0)*0.475*44/12</f>
        <v>2.4387699093657189</v>
      </c>
      <c r="AW182" s="21">
        <f>EXP(-LN(2)/2)*AW181+(1-EXP(-LN(2)/2))/(LN(2)/2)*AQ182*AT182*VLOOKUP('Données projet'!$B$10,Paramètres!$A$1:$I$89,3,0)*0.475*44/12</f>
        <v>1.4661565996660934E-14</v>
      </c>
      <c r="AX182" s="21">
        <f t="shared" si="166"/>
        <v>25.631362459599639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119.99995828001613</v>
      </c>
      <c r="BJ182" s="59">
        <f t="shared" si="146"/>
        <v>317.56542444086261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2.6590647218733814</v>
      </c>
      <c r="BQ182" s="21">
        <f>EXP(-LN(2)/25)*BQ181+(1-EXP(-LN(2)/25))/(LN(2)/25)*Calculateur!BL182*Calculateur!BN182*VLOOKUP('Données projet'!$B$11,Paramètres!$A$1:$I$89,3,0)*0.475*44/12</f>
        <v>0.16106243577536833</v>
      </c>
      <c r="BR182" s="21">
        <f>EXP(-LN(2)/2)*BR181+(1-EXP(-LN(2)/2))/(LN(2)/2)*BL182*BO182*VLOOKUP('Données projet'!$B$11,Paramètres!$A$1:$I$89,3,0)*0.475*44/12</f>
        <v>2.2101903092535889E-23</v>
      </c>
      <c r="BS182" s="22">
        <f t="shared" si="169"/>
        <v>2.8201271576487499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-1.0197709343628959E-13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323.17232038705157</v>
      </c>
      <c r="T183" s="59">
        <f t="shared" si="142"/>
        <v>402.34685738619197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13.972559458071977</v>
      </c>
      <c r="AA183" s="21">
        <f>EXP(-LN(2)/25)*AA182+(1-EXP(-LN(2)/25))/(LN(2)/25)*Calculateur!V183*Calculateur!X183*VLOOKUP('Données projet'!$B$9,Paramètres!$A$1:$I$89,3,0)*0.475*44/12</f>
        <v>1.4201007803019208</v>
      </c>
      <c r="AB183" s="21">
        <f>EXP(-LN(2)/2)*AB182+(1-EXP(-LN(2)/2))/(LN(2)/2)*V183*Y183*VLOOKUP('Données projet'!$B$9,Paramètres!$A$1:$I$89,3,0)*0.475*44/12</f>
        <v>8.7617350316898507E-18</v>
      </c>
      <c r="AC183" s="22">
        <f t="shared" si="163"/>
        <v>15.392660238373898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-6.7984728957526396E-14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355.09162485318728</v>
      </c>
      <c r="AO183" s="59">
        <f t="shared" si="144"/>
        <v>320.06572891923685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22.737799956408466</v>
      </c>
      <c r="AV183" s="21">
        <f>EXP(-LN(2)/25)*AV182+(1-EXP(-LN(2)/25))/(LN(2)/25)*Calculateur!AQ183*Calculateur!AS183*VLOOKUP('Données projet'!$B$10,Paramètres!$A$1:$I$89,3,0)*0.475*44/12</f>
        <v>2.3720816179447777</v>
      </c>
      <c r="AW183" s="21">
        <f>EXP(-LN(2)/2)*AW182+(1-EXP(-LN(2)/2))/(LN(2)/2)*AQ183*AT183*VLOOKUP('Données projet'!$B$10,Paramètres!$A$1:$I$89,3,0)*0.475*44/12</f>
        <v>1.0367292739053049E-14</v>
      </c>
      <c r="AX183" s="21">
        <f t="shared" si="166"/>
        <v>25.109881574353256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119.99995828001613</v>
      </c>
      <c r="BJ183" s="59">
        <f t="shared" si="146"/>
        <v>317.56542444086261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2.6069220845467784</v>
      </c>
      <c r="BQ183" s="21">
        <f>EXP(-LN(2)/25)*BQ182+(1-EXP(-LN(2)/25))/(LN(2)/25)*Calculateur!BL183*Calculateur!BN183*VLOOKUP('Données projet'!$B$11,Paramètres!$A$1:$I$89,3,0)*0.475*44/12</f>
        <v>0.1566581749991855</v>
      </c>
      <c r="BR183" s="21">
        <f>EXP(-LN(2)/2)*BR182+(1-EXP(-LN(2)/2))/(LN(2)/2)*BL183*BO183*VLOOKUP('Données projet'!$B$11,Paramètres!$A$1:$I$89,3,0)*0.475*44/12</f>
        <v>1.5628405553860053E-23</v>
      </c>
      <c r="BS183" s="22">
        <f t="shared" si="169"/>
        <v>2.763580259545964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-1.0197709343628959E-13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323.17232038705157</v>
      </c>
      <c r="T184" s="59">
        <f t="shared" si="142"/>
        <v>402.34685738619197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13.698566089518936</v>
      </c>
      <c r="AA184" s="21">
        <f>EXP(-LN(2)/25)*AA183+(1-EXP(-LN(2)/25))/(LN(2)/25)*Calculateur!V184*Calculateur!X184*VLOOKUP('Données projet'!$B$9,Paramètres!$A$1:$I$89,3,0)*0.475*44/12</f>
        <v>1.3812680497847103</v>
      </c>
      <c r="AB184" s="21">
        <f>EXP(-LN(2)/2)*AB183+(1-EXP(-LN(2)/2))/(LN(2)/2)*V184*Y184*VLOOKUP('Données projet'!$B$9,Paramètres!$A$1:$I$89,3,0)*0.475*44/12</f>
        <v>6.1954822558676234E-18</v>
      </c>
      <c r="AC184" s="22">
        <f t="shared" si="163"/>
        <v>15.079834139303646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-6.7984728957526396E-14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355.09162485318728</v>
      </c>
      <c r="AO184" s="59">
        <f t="shared" si="144"/>
        <v>320.06572891923685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22.29192556795185</v>
      </c>
      <c r="AV184" s="21">
        <f>EXP(-LN(2)/25)*AV183+(1-EXP(-LN(2)/25))/(LN(2)/25)*Calculateur!AQ184*Calculateur!AS184*VLOOKUP('Données projet'!$B$10,Paramètres!$A$1:$I$89,3,0)*0.475*44/12</f>
        <v>2.3072169213597271</v>
      </c>
      <c r="AW184" s="21">
        <f>EXP(-LN(2)/2)*AW183+(1-EXP(-LN(2)/2))/(LN(2)/2)*AQ184*AT184*VLOOKUP('Données projet'!$B$10,Paramètres!$A$1:$I$89,3,0)*0.475*44/12</f>
        <v>7.3307829983304672E-15</v>
      </c>
      <c r="AX184" s="21">
        <f t="shared" si="166"/>
        <v>24.599142489311586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119.99995828001613</v>
      </c>
      <c r="BJ184" s="59">
        <f t="shared" si="146"/>
        <v>317.56542444086261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2.5558019325342816</v>
      </c>
      <c r="BQ184" s="21">
        <f>EXP(-LN(2)/25)*BQ183+(1-EXP(-LN(2)/25))/(LN(2)/25)*Calculateur!BL184*Calculateur!BN184*VLOOKUP('Données projet'!$B$11,Paramètres!$A$1:$I$89,3,0)*0.475*44/12</f>
        <v>0.15237434896553739</v>
      </c>
      <c r="BR184" s="21">
        <f>EXP(-LN(2)/2)*BR183+(1-EXP(-LN(2)/2))/(LN(2)/2)*BL184*BO184*VLOOKUP('Données projet'!$B$11,Paramètres!$A$1:$I$89,3,0)*0.475*44/12</f>
        <v>1.1050951546267945E-23</v>
      </c>
      <c r="BS184" s="22">
        <f t="shared" si="169"/>
        <v>2.7081762814998189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-1.0197709343628959E-13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323.17232038705157</v>
      </c>
      <c r="T185" s="59">
        <f t="shared" si="142"/>
        <v>402.34685738619197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13.429945563803766</v>
      </c>
      <c r="AA185" s="21">
        <f>EXP(-LN(2)/25)*AA184+(1-EXP(-LN(2)/25))/(LN(2)/25)*Calculateur!V185*Calculateur!X185*VLOOKUP('Données projet'!$B$9,Paramètres!$A$1:$I$89,3,0)*0.475*44/12</f>
        <v>1.3434972023256175</v>
      </c>
      <c r="AB185" s="21">
        <f>EXP(-LN(2)/2)*AB184+(1-EXP(-LN(2)/2))/(LN(2)/2)*V185*Y185*VLOOKUP('Données projet'!$B$9,Paramètres!$A$1:$I$89,3,0)*0.475*44/12</f>
        <v>4.3808675158449253E-18</v>
      </c>
      <c r="AC185" s="22">
        <f t="shared" si="163"/>
        <v>14.773442766129383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-6.7984728957526396E-14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355.09162485318728</v>
      </c>
      <c r="AO185" s="59">
        <f t="shared" si="144"/>
        <v>320.06572891923685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21.854794504296343</v>
      </c>
      <c r="AV185" s="21">
        <f>EXP(-LN(2)/25)*AV184+(1-EXP(-LN(2)/25))/(LN(2)/25)*Calculateur!AQ185*Calculateur!AS185*VLOOKUP('Données projet'!$B$10,Paramètres!$A$1:$I$89,3,0)*0.475*44/12</f>
        <v>2.2441259533138807</v>
      </c>
      <c r="AW185" s="21">
        <f>EXP(-LN(2)/2)*AW184+(1-EXP(-LN(2)/2))/(LN(2)/2)*AQ185*AT185*VLOOKUP('Données projet'!$B$10,Paramètres!$A$1:$I$89,3,0)*0.475*44/12</f>
        <v>5.1836463695265245E-15</v>
      </c>
      <c r="AX185" s="21">
        <f t="shared" si="166"/>
        <v>24.098920457610227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119.99995828001613</v>
      </c>
      <c r="BJ185" s="59">
        <f t="shared" si="146"/>
        <v>317.56542444086261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2.5056842155225358</v>
      </c>
      <c r="BQ185" s="21">
        <f>EXP(-LN(2)/25)*BQ184+(1-EXP(-LN(2)/25))/(LN(2)/25)*Calculateur!BL185*Calculateur!BN185*VLOOKUP('Données projet'!$B$11,Paramètres!$A$1:$I$89,3,0)*0.475*44/12</f>
        <v>0.148207664380056</v>
      </c>
      <c r="BR185" s="21">
        <f>EXP(-LN(2)/2)*BR184+(1-EXP(-LN(2)/2))/(LN(2)/2)*BL185*BO185*VLOOKUP('Données projet'!$B$11,Paramètres!$A$1:$I$89,3,0)*0.475*44/12</f>
        <v>7.8142027769300264E-24</v>
      </c>
      <c r="BS185" s="22">
        <f t="shared" si="169"/>
        <v>2.6538918799025919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-1.0197709343628959E-13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323.17232038705157</v>
      </c>
      <c r="T186" s="59">
        <f t="shared" si="142"/>
        <v>402.34685738619197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13.166592522755529</v>
      </c>
      <c r="AA186" s="21">
        <f>EXP(-LN(2)/25)*AA185+(1-EXP(-LN(2)/25))/(LN(2)/25)*Calculateur!V186*Calculateur!X186*VLOOKUP('Données projet'!$B$9,Paramètres!$A$1:$I$89,3,0)*0.475*44/12</f>
        <v>1.3067592006765762</v>
      </c>
      <c r="AB186" s="21">
        <f>EXP(-LN(2)/2)*AB185+(1-EXP(-LN(2)/2))/(LN(2)/2)*V186*Y186*VLOOKUP('Données projet'!$B$9,Paramètres!$A$1:$I$89,3,0)*0.475*44/12</f>
        <v>3.0977411279338117E-18</v>
      </c>
      <c r="AC186" s="22">
        <f t="shared" si="163"/>
        <v>14.473351723432106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-6.7984728957526396E-14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355.09162485318728</v>
      </c>
      <c r="AO186" s="59">
        <f t="shared" si="144"/>
        <v>320.06572891923685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21.4262353141755</v>
      </c>
      <c r="AV186" s="21">
        <f>EXP(-LN(2)/25)*AV185+(1-EXP(-LN(2)/25))/(LN(2)/25)*Calculateur!AQ186*Calculateur!AS186*VLOOKUP('Données projet'!$B$10,Paramètres!$A$1:$I$89,3,0)*0.475*44/12</f>
        <v>2.1827602111070576</v>
      </c>
      <c r="AW186" s="21">
        <f>EXP(-LN(2)/2)*AW185+(1-EXP(-LN(2)/2))/(LN(2)/2)*AQ186*AT186*VLOOKUP('Données projet'!$B$10,Paramètres!$A$1:$I$89,3,0)*0.475*44/12</f>
        <v>3.6653914991652336E-15</v>
      </c>
      <c r="AX186" s="21">
        <f t="shared" si="166"/>
        <v>23.608995525282563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119.99995828001613</v>
      </c>
      <c r="BJ186" s="59">
        <f t="shared" si="146"/>
        <v>317.56542444086261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2.4565492763726016</v>
      </c>
      <c r="BQ186" s="21">
        <f>EXP(-LN(2)/25)*BQ185+(1-EXP(-LN(2)/25))/(LN(2)/25)*Calculateur!BL186*Calculateur!BN186*VLOOKUP('Données projet'!$B$11,Paramètres!$A$1:$I$89,3,0)*0.475*44/12</f>
        <v>0.14415491800368105</v>
      </c>
      <c r="BR186" s="21">
        <f>EXP(-LN(2)/2)*BR185+(1-EXP(-LN(2)/2))/(LN(2)/2)*BL186*BO186*VLOOKUP('Données projet'!$B$11,Paramètres!$A$1:$I$89,3,0)*0.475*44/12</f>
        <v>5.5254757731339723E-24</v>
      </c>
      <c r="BS186" s="22">
        <f t="shared" si="169"/>
        <v>2.6007041943762825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-1.0197709343628959E-13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323.17232038705157</v>
      </c>
      <c r="T187" s="59">
        <f t="shared" si="142"/>
        <v>402.34685738619197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12.908403674212753</v>
      </c>
      <c r="AA187" s="21">
        <f>EXP(-LN(2)/25)*AA186+(1-EXP(-LN(2)/25))/(LN(2)/25)*Calculateur!V187*Calculateur!X187*VLOOKUP('Données projet'!$B$9,Paramètres!$A$1:$I$89,3,0)*0.475*44/12</f>
        <v>1.2710258016145954</v>
      </c>
      <c r="AB187" s="21">
        <f>EXP(-LN(2)/2)*AB186+(1-EXP(-LN(2)/2))/(LN(2)/2)*V187*Y187*VLOOKUP('Données projet'!$B$9,Paramètres!$A$1:$I$89,3,0)*0.475*44/12</f>
        <v>2.1904337579224627E-18</v>
      </c>
      <c r="AC187" s="22">
        <f t="shared" si="163"/>
        <v>14.179429475827348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-6.7984728957526396E-14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355.09162485318728</v>
      </c>
      <c r="AO187" s="59">
        <f t="shared" si="144"/>
        <v>320.06572891923685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21.006079908377632</v>
      </c>
      <c r="AV187" s="21">
        <f>EXP(-LN(2)/25)*AV186+(1-EXP(-LN(2)/25))/(LN(2)/25)*Calculateur!AQ187*Calculateur!AS187*VLOOKUP('Données projet'!$B$10,Paramètres!$A$1:$I$89,3,0)*0.475*44/12</f>
        <v>2.1230725183479646</v>
      </c>
      <c r="AW187" s="21">
        <f>EXP(-LN(2)/2)*AW186+(1-EXP(-LN(2)/2))/(LN(2)/2)*AQ187*AT187*VLOOKUP('Données projet'!$B$10,Paramètres!$A$1:$I$89,3,0)*0.475*44/12</f>
        <v>2.5918231847632622E-15</v>
      </c>
      <c r="AX187" s="21">
        <f t="shared" si="166"/>
        <v>23.1291524267256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119.99995828001613</v>
      </c>
      <c r="BJ187" s="59">
        <f t="shared" si="146"/>
        <v>317.56542444086261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2.4083778434100438</v>
      </c>
      <c r="BQ187" s="21">
        <f>EXP(-LN(2)/25)*BQ186+(1-EXP(-LN(2)/25))/(LN(2)/25)*Calculateur!BL187*Calculateur!BN187*VLOOKUP('Données projet'!$B$11,Paramètres!$A$1:$I$89,3,0)*0.475*44/12</f>
        <v>0.14021299419009273</v>
      </c>
      <c r="BR187" s="21">
        <f>EXP(-LN(2)/2)*BR186+(1-EXP(-LN(2)/2))/(LN(2)/2)*BL187*BO187*VLOOKUP('Données projet'!$B$11,Paramètres!$A$1:$I$89,3,0)*0.475*44/12</f>
        <v>3.9071013884650132E-24</v>
      </c>
      <c r="BS187" s="22">
        <f t="shared" si="169"/>
        <v>2.5485908376001367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-1.0197709343628959E-13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323.17232038705157</v>
      </c>
      <c r="T188" s="59">
        <f t="shared" si="142"/>
        <v>402.34685738619197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12.655277751510253</v>
      </c>
      <c r="AA188" s="21">
        <f>EXP(-LN(2)/25)*AA187+(1-EXP(-LN(2)/25))/(LN(2)/25)*Calculateur!V188*Calculateur!X188*VLOOKUP('Données projet'!$B$9,Paramètres!$A$1:$I$89,3,0)*0.475*44/12</f>
        <v>1.2362695342291024</v>
      </c>
      <c r="AB188" s="21">
        <f>EXP(-LN(2)/2)*AB187+(1-EXP(-LN(2)/2))/(LN(2)/2)*V188*Y188*VLOOKUP('Données projet'!$B$9,Paramètres!$A$1:$I$89,3,0)*0.475*44/12</f>
        <v>1.5488705639669058E-18</v>
      </c>
      <c r="AC188" s="22">
        <f t="shared" si="163"/>
        <v>13.891547285739355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-6.7984728957526396E-14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355.09162485318728</v>
      </c>
      <c r="AO188" s="59">
        <f t="shared" si="144"/>
        <v>320.06572891923685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20.594163493817966</v>
      </c>
      <c r="AV188" s="21">
        <f>EXP(-LN(2)/25)*AV187+(1-EXP(-LN(2)/25))/(LN(2)/25)*Calculateur!AQ188*Calculateur!AS188*VLOOKUP('Données projet'!$B$10,Paramètres!$A$1:$I$89,3,0)*0.475*44/12</f>
        <v>2.065016988686208</v>
      </c>
      <c r="AW188" s="21">
        <f>EXP(-LN(2)/2)*AW187+(1-EXP(-LN(2)/2))/(LN(2)/2)*AQ188*AT188*VLOOKUP('Données projet'!$B$10,Paramètres!$A$1:$I$89,3,0)*0.475*44/12</f>
        <v>1.8326957495826168E-15</v>
      </c>
      <c r="AX188" s="21">
        <f t="shared" si="166"/>
        <v>22.659180482504176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119.99995828001613</v>
      </c>
      <c r="BJ188" s="59">
        <f t="shared" si="146"/>
        <v>317.56542444086261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2.3611510228662089</v>
      </c>
      <c r="BQ188" s="21">
        <f>EXP(-LN(2)/25)*BQ187+(1-EXP(-LN(2)/25))/(LN(2)/25)*Calculateur!BL188*Calculateur!BN188*VLOOKUP('Données projet'!$B$11,Paramètres!$A$1:$I$89,3,0)*0.475*44/12</f>
        <v>0.13637886249048373</v>
      </c>
      <c r="BR188" s="21">
        <f>EXP(-LN(2)/2)*BR187+(1-EXP(-LN(2)/2))/(LN(2)/2)*BL188*BO188*VLOOKUP('Données projet'!$B$11,Paramètres!$A$1:$I$89,3,0)*0.475*44/12</f>
        <v>2.7627378865669862E-24</v>
      </c>
      <c r="BS188" s="22">
        <f t="shared" si="169"/>
        <v>2.4975298853566925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-1.0197709343628959E-13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323.17232038705157</v>
      </c>
      <c r="T189" s="59">
        <f t="shared" si="142"/>
        <v>402.34685738619197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12.407115473760381</v>
      </c>
      <c r="AA189" s="21">
        <f>EXP(-LN(2)/25)*AA188+(1-EXP(-LN(2)/25))/(LN(2)/25)*Calculateur!V189*Calculateur!X189*VLOOKUP('Données projet'!$B$9,Paramètres!$A$1:$I$89,3,0)*0.475*44/12</f>
        <v>1.2024636788030183</v>
      </c>
      <c r="AB189" s="21">
        <f>EXP(-LN(2)/2)*AB188+(1-EXP(-LN(2)/2))/(LN(2)/2)*V189*Y189*VLOOKUP('Données projet'!$B$9,Paramètres!$A$1:$I$89,3,0)*0.475*44/12</f>
        <v>1.0952168789612313E-18</v>
      </c>
      <c r="AC189" s="22">
        <f t="shared" si="163"/>
        <v>13.6095791525634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-6.7984728957526396E-14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355.09162485318728</v>
      </c>
      <c r="AO189" s="59">
        <f t="shared" si="144"/>
        <v>320.06572891923685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20.190324508903611</v>
      </c>
      <c r="AV189" s="21">
        <f>EXP(-LN(2)/25)*AV188+(1-EXP(-LN(2)/25))/(LN(2)/25)*Calculateur!AQ189*Calculateur!AS189*VLOOKUP('Données projet'!$B$10,Paramètres!$A$1:$I$89,3,0)*0.475*44/12</f>
        <v>2.0085489905360601</v>
      </c>
      <c r="AW189" s="21">
        <f>EXP(-LN(2)/2)*AW188+(1-EXP(-LN(2)/2))/(LN(2)/2)*AQ189*AT189*VLOOKUP('Données projet'!$B$10,Paramètres!$A$1:$I$89,3,0)*0.475*44/12</f>
        <v>1.2959115923816311E-15</v>
      </c>
      <c r="AX189" s="21">
        <f t="shared" si="166"/>
        <v>22.198873499439671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119.99995828001613</v>
      </c>
      <c r="BJ189" s="59">
        <f t="shared" si="146"/>
        <v>317.56542444086261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2.3148502914677227</v>
      </c>
      <c r="BQ189" s="21">
        <f>EXP(-LN(2)/25)*BQ188+(1-EXP(-LN(2)/25))/(LN(2)/25)*Calculateur!BL189*Calculateur!BN189*VLOOKUP('Données projet'!$B$11,Paramètres!$A$1:$I$89,3,0)*0.475*44/12</f>
        <v>0.13264957532382876</v>
      </c>
      <c r="BR189" s="21">
        <f>EXP(-LN(2)/2)*BR188+(1-EXP(-LN(2)/2))/(LN(2)/2)*BL189*BO189*VLOOKUP('Données projet'!$B$11,Paramètres!$A$1:$I$89,3,0)*0.475*44/12</f>
        <v>1.9535506942325066E-24</v>
      </c>
      <c r="BS189" s="22">
        <f t="shared" si="169"/>
        <v>2.4474998667915515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-1.0197709343628959E-13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323.17232038705157</v>
      </c>
      <c r="T190" s="59">
        <f t="shared" si="142"/>
        <v>402.34685738619197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12.163819506913141</v>
      </c>
      <c r="AA190" s="21">
        <f>EXP(-LN(2)/25)*AA189+(1-EXP(-LN(2)/25))/(LN(2)/25)*Calculateur!V190*Calculateur!X190*VLOOKUP('Données projet'!$B$9,Paramètres!$A$1:$I$89,3,0)*0.475*44/12</f>
        <v>1.1695822462713332</v>
      </c>
      <c r="AB190" s="21">
        <f>EXP(-LN(2)/2)*AB189+(1-EXP(-LN(2)/2))/(LN(2)/2)*V190*Y190*VLOOKUP('Données projet'!$B$9,Paramètres!$A$1:$I$89,3,0)*0.475*44/12</f>
        <v>7.7443528198345292E-19</v>
      </c>
      <c r="AC190" s="22">
        <f t="shared" si="163"/>
        <v>13.333401753184475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-6.7984728957526396E-14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355.09162485318728</v>
      </c>
      <c r="AO190" s="59">
        <f t="shared" si="144"/>
        <v>320.06572891923685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19.794404560165969</v>
      </c>
      <c r="AV190" s="21">
        <f>EXP(-LN(2)/25)*AV189+(1-EXP(-LN(2)/25))/(LN(2)/25)*Calculateur!AQ190*Calculateur!AS190*VLOOKUP('Données projet'!$B$10,Paramètres!$A$1:$I$89,3,0)*0.475*44/12</f>
        <v>1.9536251127648507</v>
      </c>
      <c r="AW190" s="21">
        <f>EXP(-LN(2)/2)*AW189+(1-EXP(-LN(2)/2))/(LN(2)/2)*AQ190*AT190*VLOOKUP('Données projet'!$B$10,Paramètres!$A$1:$I$89,3,0)*0.475*44/12</f>
        <v>9.163478747913084E-16</v>
      </c>
      <c r="AX190" s="21">
        <f t="shared" si="166"/>
        <v>21.748029672930819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119.99995828001613</v>
      </c>
      <c r="BJ190" s="59">
        <f t="shared" si="146"/>
        <v>317.56542444086261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2.2694574891713031</v>
      </c>
      <c r="BQ190" s="21">
        <f>EXP(-LN(2)/25)*BQ189+(1-EXP(-LN(2)/25))/(LN(2)/25)*Calculateur!BL190*Calculateur!BN190*VLOOKUP('Données projet'!$B$11,Paramètres!$A$1:$I$89,3,0)*0.475*44/12</f>
        <v>0.12902226571086067</v>
      </c>
      <c r="BR190" s="21">
        <f>EXP(-LN(2)/2)*BR189+(1-EXP(-LN(2)/2))/(LN(2)/2)*BL190*BO190*VLOOKUP('Données projet'!$B$11,Paramètres!$A$1:$I$89,3,0)*0.475*44/12</f>
        <v>1.3813689432834931E-24</v>
      </c>
      <c r="BS190" s="22">
        <f t="shared" si="169"/>
        <v>2.3984797548821639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-1.0197709343628959E-13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323.17232038705157</v>
      </c>
      <c r="T191" s="59">
        <f t="shared" si="142"/>
        <v>402.34685738619197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11.925294425579889</v>
      </c>
      <c r="AA191" s="21">
        <f>EXP(-LN(2)/25)*AA190+(1-EXP(-LN(2)/25))/(LN(2)/25)*Calculateur!V191*Calculateur!X191*VLOOKUP('Données projet'!$B$9,Paramètres!$A$1:$I$89,3,0)*0.475*44/12</f>
        <v>1.1375999582413865</v>
      </c>
      <c r="AB191" s="21">
        <f>EXP(-LN(2)/2)*AB190+(1-EXP(-LN(2)/2))/(LN(2)/2)*V191*Y191*VLOOKUP('Données projet'!$B$9,Paramètres!$A$1:$I$89,3,0)*0.475*44/12</f>
        <v>5.4760843948061567E-19</v>
      </c>
      <c r="AC191" s="22">
        <f t="shared" si="163"/>
        <v>13.062894383821275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-6.7984728957526396E-14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355.09162485318728</v>
      </c>
      <c r="AO191" s="59">
        <f t="shared" si="144"/>
        <v>320.06572891923685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19.406248360135748</v>
      </c>
      <c r="AV191" s="21">
        <f>EXP(-LN(2)/25)*AV190+(1-EXP(-LN(2)/25))/(LN(2)/25)*Calculateur!AQ191*Calculateur!AS191*VLOOKUP('Données projet'!$B$10,Paramètres!$A$1:$I$89,3,0)*0.475*44/12</f>
        <v>1.9002031313196164</v>
      </c>
      <c r="AW191" s="21">
        <f>EXP(-LN(2)/2)*AW190+(1-EXP(-LN(2)/2))/(LN(2)/2)*AQ191*AT191*VLOOKUP('Données projet'!$B$10,Paramètres!$A$1:$I$89,3,0)*0.475*44/12</f>
        <v>6.4795579619081556E-16</v>
      </c>
      <c r="AX191" s="21">
        <f t="shared" si="166"/>
        <v>21.306451491455366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119.99995828001613</v>
      </c>
      <c r="BJ191" s="59">
        <f t="shared" si="146"/>
        <v>317.56542444086261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2.2249548120410405</v>
      </c>
      <c r="BQ191" s="21">
        <f>EXP(-LN(2)/25)*BQ190+(1-EXP(-LN(2)/25))/(LN(2)/25)*Calculateur!BL191*Calculateur!BN191*VLOOKUP('Données projet'!$B$11,Paramètres!$A$1:$I$89,3,0)*0.475*44/12</f>
        <v>0.12549414507001111</v>
      </c>
      <c r="BR191" s="21">
        <f>EXP(-LN(2)/2)*BR190+(1-EXP(-LN(2)/2))/(LN(2)/2)*BL191*BO191*VLOOKUP('Données projet'!$B$11,Paramètres!$A$1:$I$89,3,0)*0.475*44/12</f>
        <v>9.767753471162533E-25</v>
      </c>
      <c r="BS191" s="22">
        <f t="shared" si="169"/>
        <v>2.3504489571110518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-1.0197709343628959E-13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323.17232038705157</v>
      </c>
      <c r="T192" s="59">
        <f t="shared" si="142"/>
        <v>402.34685738619197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11.691446675605647</v>
      </c>
      <c r="AA192" s="21">
        <f>EXP(-LN(2)/25)*AA191+(1-EXP(-LN(2)/25))/(LN(2)/25)*Calculateur!V192*Calculateur!X192*VLOOKUP('Données projet'!$B$9,Paramètres!$A$1:$I$89,3,0)*0.475*44/12</f>
        <v>1.1064922275594939</v>
      </c>
      <c r="AB192" s="21">
        <f>EXP(-LN(2)/2)*AB191+(1-EXP(-LN(2)/2))/(LN(2)/2)*V192*Y192*VLOOKUP('Données projet'!$B$9,Paramètres!$A$1:$I$89,3,0)*0.475*44/12</f>
        <v>3.8721764099172646E-19</v>
      </c>
      <c r="AC192" s="22">
        <f t="shared" si="163"/>
        <v>12.797938903165141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-6.7984728957526396E-14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355.09162485318728</v>
      </c>
      <c r="AO192" s="59">
        <f t="shared" si="144"/>
        <v>320.06572891923685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19.025703666436215</v>
      </c>
      <c r="AV192" s="21">
        <f>EXP(-LN(2)/25)*AV191+(1-EXP(-LN(2)/25))/(LN(2)/25)*Calculateur!AQ192*Calculateur!AS192*VLOOKUP('Données projet'!$B$10,Paramètres!$A$1:$I$89,3,0)*0.475*44/12</f>
        <v>1.8482419767663418</v>
      </c>
      <c r="AW192" s="21">
        <f>EXP(-LN(2)/2)*AW191+(1-EXP(-LN(2)/2))/(LN(2)/2)*AQ192*AT192*VLOOKUP('Données projet'!$B$10,Paramètres!$A$1:$I$89,3,0)*0.475*44/12</f>
        <v>4.581739373956542E-16</v>
      </c>
      <c r="AX192" s="21">
        <f t="shared" si="166"/>
        <v>20.873945643202557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119.99995828001613</v>
      </c>
      <c r="BJ192" s="59">
        <f t="shared" si="146"/>
        <v>317.56542444086261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2.1813248052653496</v>
      </c>
      <c r="BQ192" s="21">
        <f>EXP(-LN(2)/25)*BQ191+(1-EXP(-LN(2)/25))/(LN(2)/25)*Calculateur!BL192*Calculateur!BN192*VLOOKUP('Données projet'!$B$11,Paramètres!$A$1:$I$89,3,0)*0.475*44/12</f>
        <v>0.12206250107362139</v>
      </c>
      <c r="BR192" s="21">
        <f>EXP(-LN(2)/2)*BR191+(1-EXP(-LN(2)/2))/(LN(2)/2)*BL192*BO192*VLOOKUP('Données projet'!$B$11,Paramètres!$A$1:$I$89,3,0)*0.475*44/12</f>
        <v>6.9068447164174654E-25</v>
      </c>
      <c r="BS192" s="22">
        <f t="shared" si="169"/>
        <v>2.3033873063389709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-1.0197709343628959E-13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323.17232038705157</v>
      </c>
      <c r="T193" s="59">
        <f t="shared" si="142"/>
        <v>402.34685738619197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11.462184537375357</v>
      </c>
      <c r="AA193" s="21">
        <f>EXP(-LN(2)/25)*AA192+(1-EXP(-LN(2)/25))/(LN(2)/25)*Calculateur!V193*Calculateur!X193*VLOOKUP('Données projet'!$B$9,Paramètres!$A$1:$I$89,3,0)*0.475*44/12</f>
        <v>1.0762351394089822</v>
      </c>
      <c r="AB193" s="21">
        <f>EXP(-LN(2)/2)*AB192+(1-EXP(-LN(2)/2))/(LN(2)/2)*V193*Y193*VLOOKUP('Données projet'!$B$9,Paramètres!$A$1:$I$89,3,0)*0.475*44/12</f>
        <v>2.7380421974030783E-19</v>
      </c>
      <c r="AC193" s="22">
        <f t="shared" si="163"/>
        <v>12.53841967678434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-6.7984728957526396E-14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355.09162485318728</v>
      </c>
      <c r="AO193" s="59">
        <f t="shared" si="144"/>
        <v>320.06572891923685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18.652621222070785</v>
      </c>
      <c r="AV193" s="21">
        <f>EXP(-LN(2)/25)*AV192+(1-EXP(-LN(2)/25))/(LN(2)/25)*Calculateur!AQ193*Calculateur!AS193*VLOOKUP('Données projet'!$B$10,Paramètres!$A$1:$I$89,3,0)*0.475*44/12</f>
        <v>1.7977017027168449</v>
      </c>
      <c r="AW193" s="21">
        <f>EXP(-LN(2)/2)*AW192+(1-EXP(-LN(2)/2))/(LN(2)/2)*AQ193*AT193*VLOOKUP('Données projet'!$B$10,Paramètres!$A$1:$I$89,3,0)*0.475*44/12</f>
        <v>3.2397789809540778E-16</v>
      </c>
      <c r="AX193" s="21">
        <f t="shared" si="166"/>
        <v>20.450322924787631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119.99995828001613</v>
      </c>
      <c r="BJ193" s="59">
        <f t="shared" si="146"/>
        <v>317.56542444086261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2.1385503563108537</v>
      </c>
      <c r="BQ193" s="21">
        <f>EXP(-LN(2)/25)*BQ192+(1-EXP(-LN(2)/25))/(LN(2)/25)*Calculateur!BL193*Calculateur!BN193*VLOOKUP('Données projet'!$B$11,Paramètres!$A$1:$I$89,3,0)*0.475*44/12</f>
        <v>0.11872469556277526</v>
      </c>
      <c r="BR193" s="21">
        <f>EXP(-LN(2)/2)*BR192+(1-EXP(-LN(2)/2))/(LN(2)/2)*BL193*BO193*VLOOKUP('Données projet'!$B$11,Paramètres!$A$1:$I$89,3,0)*0.475*44/12</f>
        <v>4.8838767355812665E-25</v>
      </c>
      <c r="BS193" s="22">
        <f t="shared" si="169"/>
        <v>2.2572750518736289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-1.0197709343628959E-13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323.17232038705157</v>
      </c>
      <c r="T194" s="59">
        <f t="shared" si="142"/>
        <v>402.34685738619197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11.237418089839666</v>
      </c>
      <c r="AA194" s="21">
        <f>EXP(-LN(2)/25)*AA193+(1-EXP(-LN(2)/25))/(LN(2)/25)*Calculateur!V194*Calculateur!X194*VLOOKUP('Données projet'!$B$9,Paramètres!$A$1:$I$89,3,0)*0.475*44/12</f>
        <v>1.0468054329250973</v>
      </c>
      <c r="AB194" s="21">
        <f>EXP(-LN(2)/2)*AB193+(1-EXP(-LN(2)/2))/(LN(2)/2)*V194*Y194*VLOOKUP('Données projet'!$B$9,Paramètres!$A$1:$I$89,3,0)*0.475*44/12</f>
        <v>1.9360882049586323E-19</v>
      </c>
      <c r="AC194" s="22">
        <f t="shared" si="163"/>
        <v>12.284223522764764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-6.7984728957526396E-14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355.09162485318728</v>
      </c>
      <c r="AO194" s="59">
        <f t="shared" si="144"/>
        <v>320.06572891923685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18.286854696881541</v>
      </c>
      <c r="AV194" s="21">
        <f>EXP(-LN(2)/25)*AV193+(1-EXP(-LN(2)/25))/(LN(2)/25)*Calculateur!AQ194*Calculateur!AS194*VLOOKUP('Données projet'!$B$10,Paramètres!$A$1:$I$89,3,0)*0.475*44/12</f>
        <v>1.7485434551190289</v>
      </c>
      <c r="AW194" s="21">
        <f>EXP(-LN(2)/2)*AW193+(1-EXP(-LN(2)/2))/(LN(2)/2)*AQ194*AT194*VLOOKUP('Données projet'!$B$10,Paramètres!$A$1:$I$89,3,0)*0.475*44/12</f>
        <v>2.290869686978271E-16</v>
      </c>
      <c r="AX194" s="21">
        <f t="shared" si="166"/>
        <v>20.035398152000571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119.99995828001613</v>
      </c>
      <c r="BJ194" s="59">
        <f t="shared" si="146"/>
        <v>317.56542444086261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2.0966146882105177</v>
      </c>
      <c r="BQ194" s="21">
        <f>EXP(-LN(2)/25)*BQ193+(1-EXP(-LN(2)/25))/(LN(2)/25)*Calculateur!BL194*Calculateur!BN194*VLOOKUP('Données projet'!$B$11,Paramètres!$A$1:$I$89,3,0)*0.475*44/12</f>
        <v>0.11547816251915079</v>
      </c>
      <c r="BR194" s="21">
        <f>EXP(-LN(2)/2)*BR193+(1-EXP(-LN(2)/2))/(LN(2)/2)*BL194*BO194*VLOOKUP('Données projet'!$B$11,Paramètres!$A$1:$I$89,3,0)*0.475*44/12</f>
        <v>3.4534223582087327E-25</v>
      </c>
      <c r="BS194" s="22">
        <f t="shared" si="169"/>
        <v>2.2120928507296687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-1.0197709343628959E-13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323.17232038705157</v>
      </c>
      <c r="T195" s="59">
        <f t="shared" si="142"/>
        <v>402.34685738619197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11.017059175246155</v>
      </c>
      <c r="AA195" s="21">
        <f>EXP(-LN(2)/25)*AA194+(1-EXP(-LN(2)/25))/(LN(2)/25)*Calculateur!V195*Calculateur!X195*VLOOKUP('Données projet'!$B$9,Paramètres!$A$1:$I$89,3,0)*0.475*44/12</f>
        <v>1.0181804833126553</v>
      </c>
      <c r="AB195" s="21">
        <f>EXP(-LN(2)/2)*AB194+(1-EXP(-LN(2)/2))/(LN(2)/2)*V195*Y195*VLOOKUP('Données projet'!$B$9,Paramètres!$A$1:$I$89,3,0)*0.475*44/12</f>
        <v>1.3690210987015392E-19</v>
      </c>
      <c r="AC195" s="22">
        <f t="shared" si="163"/>
        <v>12.03523965855881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-6.7984728957526396E-14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355.09162485318728</v>
      </c>
      <c r="AO195" s="59">
        <f t="shared" si="144"/>
        <v>320.06572891923685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17.928260630155705</v>
      </c>
      <c r="AV195" s="21">
        <f>EXP(-LN(2)/25)*AV194+(1-EXP(-LN(2)/25))/(LN(2)/25)*Calculateur!AQ195*Calculateur!AS195*VLOOKUP('Données projet'!$B$10,Paramètres!$A$1:$I$89,3,0)*0.475*44/12</f>
        <v>1.7007294423868951</v>
      </c>
      <c r="AW195" s="21">
        <f>EXP(-LN(2)/2)*AW194+(1-EXP(-LN(2)/2))/(LN(2)/2)*AQ195*AT195*VLOOKUP('Données projet'!$B$10,Paramètres!$A$1:$I$89,3,0)*0.475*44/12</f>
        <v>1.6198894904770389E-16</v>
      </c>
      <c r="AX195" s="21">
        <f t="shared" si="166"/>
        <v>19.628990072542599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119.99995828001613</v>
      </c>
      <c r="BJ195" s="59">
        <f t="shared" si="146"/>
        <v>317.56542444086261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2.0555013529833972</v>
      </c>
      <c r="BQ195" s="21">
        <f>EXP(-LN(2)/25)*BQ194+(1-EXP(-LN(2)/25))/(LN(2)/25)*Calculateur!BL195*Calculateur!BN195*VLOOKUP('Données projet'!$B$11,Paramètres!$A$1:$I$89,3,0)*0.475*44/12</f>
        <v>0.11232040609233197</v>
      </c>
      <c r="BR195" s="21">
        <f>EXP(-LN(2)/2)*BR194+(1-EXP(-LN(2)/2))/(LN(2)/2)*BL195*BO195*VLOOKUP('Données projet'!$B$11,Paramètres!$A$1:$I$89,3,0)*0.475*44/12</f>
        <v>2.4419383677906333E-25</v>
      </c>
      <c r="BS195" s="22">
        <f t="shared" si="169"/>
        <v>2.1678217590757294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-1.0197709343628959E-13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323.17232038705157</v>
      </c>
      <c r="T196" s="59">
        <f t="shared" si="142"/>
        <v>402.34685738619197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10.801021364562155</v>
      </c>
      <c r="AA196" s="21">
        <f>EXP(-LN(2)/25)*AA195+(1-EXP(-LN(2)/25))/(LN(2)/25)*Calculateur!V196*Calculateur!X196*VLOOKUP('Données projet'!$B$9,Paramètres!$A$1:$I$89,3,0)*0.475*44/12</f>
        <v>0.99033828445268623</v>
      </c>
      <c r="AB196" s="21">
        <f>EXP(-LN(2)/2)*AB195+(1-EXP(-LN(2)/2))/(LN(2)/2)*V196*Y196*VLOOKUP('Données projet'!$B$9,Paramètres!$A$1:$I$89,3,0)*0.475*44/12</f>
        <v>9.6804410247931615E-20</v>
      </c>
      <c r="AC196" s="22">
        <f t="shared" si="163"/>
        <v>11.791359649014842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-6.7984728957526396E-14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355.09162485318728</v>
      </c>
      <c r="AO196" s="59">
        <f t="shared" si="144"/>
        <v>320.06572891923685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17.57669837435758</v>
      </c>
      <c r="AV196" s="21">
        <f>EXP(-LN(2)/25)*AV195+(1-EXP(-LN(2)/25))/(LN(2)/25)*Calculateur!AQ196*Calculateur!AS196*VLOOKUP('Données projet'!$B$10,Paramètres!$A$1:$I$89,3,0)*0.475*44/12</f>
        <v>1.654222906347351</v>
      </c>
      <c r="AW196" s="21">
        <f>EXP(-LN(2)/2)*AW195+(1-EXP(-LN(2)/2))/(LN(2)/2)*AQ196*AT196*VLOOKUP('Données projet'!$B$10,Paramètres!$A$1:$I$89,3,0)*0.475*44/12</f>
        <v>1.1454348434891355E-16</v>
      </c>
      <c r="AX196" s="21">
        <f t="shared" si="166"/>
        <v>19.23092128070493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119.99995828001613</v>
      </c>
      <c r="BJ196" s="59">
        <f t="shared" si="146"/>
        <v>317.56542444086261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2.0151942251834223</v>
      </c>
      <c r="BQ196" s="21">
        <f>EXP(-LN(2)/25)*BQ195+(1-EXP(-LN(2)/25))/(LN(2)/25)*Calculateur!BL196*Calculateur!BN196*VLOOKUP('Données projet'!$B$11,Paramètres!$A$1:$I$89,3,0)*0.475*44/12</f>
        <v>0.10924899868106371</v>
      </c>
      <c r="BR196" s="21">
        <f>EXP(-LN(2)/2)*BR195+(1-EXP(-LN(2)/2))/(LN(2)/2)*BL196*BO196*VLOOKUP('Données projet'!$B$11,Paramètres!$A$1:$I$89,3,0)*0.475*44/12</f>
        <v>1.7267111791043663E-25</v>
      </c>
      <c r="BS196" s="22">
        <f t="shared" si="169"/>
        <v>2.1244432238644859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-1.0197709343628959E-13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323.17232038705157</v>
      </c>
      <c r="T197" s="59">
        <f t="shared" ref="T197:T203" si="204">$T$3</f>
        <v>402.34685738619197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10.589219923575616</v>
      </c>
      <c r="AA197" s="21">
        <f>EXP(-LN(2)/25)*AA196+(1-EXP(-LN(2)/25))/(LN(2)/25)*Calculateur!V197*Calculateur!X197*VLOOKUP('Données projet'!$B$9,Paramètres!$A$1:$I$89,3,0)*0.475*44/12</f>
        <v>0.9632574319847006</v>
      </c>
      <c r="AB197" s="21">
        <f>EXP(-LN(2)/2)*AB196+(1-EXP(-LN(2)/2))/(LN(2)/2)*V197*Y197*VLOOKUP('Données projet'!$B$9,Paramètres!$A$1:$I$89,3,0)*0.475*44/12</f>
        <v>6.8451054935076958E-20</v>
      </c>
      <c r="AC197" s="22">
        <f t="shared" si="163"/>
        <v>11.552477355560317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-6.7984728957526396E-14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355.09162485318728</v>
      </c>
      <c r="AO197" s="59">
        <f t="shared" ref="AO197:AO203" si="205">$AO$3</f>
        <v>320.06572891923685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17.232030039963853</v>
      </c>
      <c r="AV197" s="21">
        <f>EXP(-LN(2)/25)*AV196+(1-EXP(-LN(2)/25))/(LN(2)/25)*Calculateur!AQ197*Calculateur!AS197*VLOOKUP('Données projet'!$B$10,Paramètres!$A$1:$I$89,3,0)*0.475*44/12</f>
        <v>1.6089880939814809</v>
      </c>
      <c r="AW197" s="21">
        <f>EXP(-LN(2)/2)*AW196+(1-EXP(-LN(2)/2))/(LN(2)/2)*AQ197*AT197*VLOOKUP('Données projet'!$B$10,Paramètres!$A$1:$I$89,3,0)*0.475*44/12</f>
        <v>8.0994474523851945E-17</v>
      </c>
      <c r="AX197" s="21">
        <f t="shared" si="166"/>
        <v>18.841018133945333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119.99995828001613</v>
      </c>
      <c r="BJ197" s="59">
        <f t="shared" ref="BJ197:BJ203" si="206">$BJ$3</f>
        <v>317.56542444086261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1.9756774955746845</v>
      </c>
      <c r="BQ197" s="21">
        <f>EXP(-LN(2)/25)*BQ196+(1-EXP(-LN(2)/25))/(LN(2)/25)*Calculateur!BL197*Calculateur!BN197*VLOOKUP('Données projet'!$B$11,Paramètres!$A$1:$I$89,3,0)*0.475*44/12</f>
        <v>0.10626157906697486</v>
      </c>
      <c r="BR197" s="21">
        <f>EXP(-LN(2)/2)*BR196+(1-EXP(-LN(2)/2))/(LN(2)/2)*BL197*BO197*VLOOKUP('Données projet'!$B$11,Paramètres!$A$1:$I$89,3,0)*0.475*44/12</f>
        <v>1.2209691838953166E-25</v>
      </c>
      <c r="BS197" s="22">
        <f t="shared" si="169"/>
        <v>2.0819390746416593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-1.0197709343628959E-13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323.17232038705157</v>
      </c>
      <c r="T198" s="59">
        <f t="shared" si="204"/>
        <v>402.34685738619197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10.3815717796607</v>
      </c>
      <c r="AA198" s="21">
        <f>EXP(-LN(2)/25)*AA197+(1-EXP(-LN(2)/25))/(LN(2)/25)*Calculateur!V198*Calculateur!X198*VLOOKUP('Données projet'!$B$9,Paramètres!$A$1:$I$89,3,0)*0.475*44/12</f>
        <v>0.93691710685157215</v>
      </c>
      <c r="AB198" s="21">
        <f>EXP(-LN(2)/2)*AB197+(1-EXP(-LN(2)/2))/(LN(2)/2)*V198*Y198*VLOOKUP('Données projet'!$B$9,Paramètres!$A$1:$I$89,3,0)*0.475*44/12</f>
        <v>4.8402205123965808E-20</v>
      </c>
      <c r="AC198" s="22">
        <f t="shared" si="163"/>
        <v>11.318488886512272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-6.7984728957526396E-14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355.09162485318728</v>
      </c>
      <c r="AO198" s="59">
        <f t="shared" si="205"/>
        <v>320.06572891923685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16.894120441380661</v>
      </c>
      <c r="AV198" s="21">
        <f>EXP(-LN(2)/25)*AV197+(1-EXP(-LN(2)/25))/(LN(2)/25)*Calculateur!AQ198*Calculateur!AS198*VLOOKUP('Données projet'!$B$10,Paramètres!$A$1:$I$89,3,0)*0.475*44/12</f>
        <v>1.5649902299385507</v>
      </c>
      <c r="AW198" s="21">
        <f>EXP(-LN(2)/2)*AW197+(1-EXP(-LN(2)/2))/(LN(2)/2)*AQ198*AT198*VLOOKUP('Données projet'!$B$10,Paramètres!$A$1:$I$89,3,0)*0.475*44/12</f>
        <v>5.7271742174456775E-17</v>
      </c>
      <c r="AX198" s="21">
        <f t="shared" si="166"/>
        <v>18.459110671319213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119.99995828001613</v>
      </c>
      <c r="BJ198" s="59">
        <f t="shared" si="206"/>
        <v>317.56542444086261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1.936935664930749</v>
      </c>
      <c r="BQ198" s="21">
        <f>EXP(-LN(2)/25)*BQ197+(1-EXP(-LN(2)/25))/(LN(2)/25)*Calculateur!BL198*Calculateur!BN198*VLOOKUP('Données projet'!$B$11,Paramètres!$A$1:$I$89,3,0)*0.475*44/12</f>
        <v>0.10335585059933486</v>
      </c>
      <c r="BR198" s="21">
        <f>EXP(-LN(2)/2)*BR197+(1-EXP(-LN(2)/2))/(LN(2)/2)*BL198*BO198*VLOOKUP('Données projet'!$B$11,Paramètres!$A$1:$I$89,3,0)*0.475*44/12</f>
        <v>8.6335558955218317E-26</v>
      </c>
      <c r="BS198" s="22">
        <f t="shared" si="169"/>
        <v>2.0402915155300838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-1.0197709343628959E-13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323.17232038705157</v>
      </c>
      <c r="T199" s="59">
        <f t="shared" si="204"/>
        <v>402.34685738619197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10.177995489195093</v>
      </c>
      <c r="AA199" s="21">
        <f>EXP(-LN(2)/25)*AA198+(1-EXP(-LN(2)/25))/(LN(2)/25)*Calculateur!V199*Calculateur!X199*VLOOKUP('Données projet'!$B$9,Paramètres!$A$1:$I$89,3,0)*0.475*44/12</f>
        <v>0.91129705929438665</v>
      </c>
      <c r="AB199" s="21">
        <f>EXP(-LN(2)/2)*AB198+(1-EXP(-LN(2)/2))/(LN(2)/2)*V199*Y199*VLOOKUP('Données projet'!$B$9,Paramètres!$A$1:$I$89,3,0)*0.475*44/12</f>
        <v>3.4225527467538479E-20</v>
      </c>
      <c r="AC199" s="22">
        <f t="shared" si="163"/>
        <v>11.08929254848948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-6.7984728957526396E-14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355.09162485318728</v>
      </c>
      <c r="AO199" s="59">
        <f t="shared" si="205"/>
        <v>320.06572891923685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16.562837043921181</v>
      </c>
      <c r="AV199" s="21">
        <f>EXP(-LN(2)/25)*AV198+(1-EXP(-LN(2)/25))/(LN(2)/25)*Calculateur!AQ199*Calculateur!AS199*VLOOKUP('Données projet'!$B$10,Paramètres!$A$1:$I$89,3,0)*0.475*44/12</f>
        <v>1.5221954898016217</v>
      </c>
      <c r="AW199" s="21">
        <f>EXP(-LN(2)/2)*AW198+(1-EXP(-LN(2)/2))/(LN(2)/2)*AQ199*AT199*VLOOKUP('Données projet'!$B$10,Paramètres!$A$1:$I$89,3,0)*0.475*44/12</f>
        <v>4.0497237261925973E-17</v>
      </c>
      <c r="AX199" s="21">
        <f t="shared" si="166"/>
        <v>18.085032533722803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119.99995828001613</v>
      </c>
      <c r="BJ199" s="59">
        <f t="shared" si="206"/>
        <v>317.56542444086261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1.8989535379555575</v>
      </c>
      <c r="BQ199" s="21">
        <f>EXP(-LN(2)/25)*BQ198+(1-EXP(-LN(2)/25))/(LN(2)/25)*Calculateur!BL199*Calculateur!BN199*VLOOKUP('Données projet'!$B$11,Paramètres!$A$1:$I$89,3,0)*0.475*44/12</f>
        <v>0.10052957942944808</v>
      </c>
      <c r="BR199" s="21">
        <f>EXP(-LN(2)/2)*BR198+(1-EXP(-LN(2)/2))/(LN(2)/2)*BL199*BO199*VLOOKUP('Données projet'!$B$11,Paramètres!$A$1:$I$89,3,0)*0.475*44/12</f>
        <v>6.1048459194765831E-26</v>
      </c>
      <c r="BS199" s="22">
        <f t="shared" si="169"/>
        <v>1.9994831173850056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-1.0197709343628959E-13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323.17232038705157</v>
      </c>
      <c r="T200" s="59">
        <f t="shared" si="204"/>
        <v>402.34685738619197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9.97841120561624</v>
      </c>
      <c r="AA200" s="21">
        <f>EXP(-LN(2)/25)*AA199+(1-EXP(-LN(2)/25))/(LN(2)/25)*Calculateur!V200*Calculateur!X200*VLOOKUP('Données projet'!$B$9,Paramètres!$A$1:$I$89,3,0)*0.475*44/12</f>
        <v>0.88637759328495214</v>
      </c>
      <c r="AB200" s="21">
        <f>EXP(-LN(2)/2)*AB199+(1-EXP(-LN(2)/2))/(LN(2)/2)*V200*Y200*VLOOKUP('Données projet'!$B$9,Paramètres!$A$1:$I$89,3,0)*0.475*44/12</f>
        <v>2.4201102561982904E-20</v>
      </c>
      <c r="AC200" s="22">
        <f t="shared" si="163"/>
        <v>10.864788798901191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-6.7984728957526396E-14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355.09162485318728</v>
      </c>
      <c r="AO200" s="59">
        <f t="shared" si="205"/>
        <v>320.06572891923685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16.238049911822962</v>
      </c>
      <c r="AV200" s="21">
        <f>EXP(-LN(2)/25)*AV199+(1-EXP(-LN(2)/25))/(LN(2)/25)*Calculateur!AQ200*Calculateur!AS200*VLOOKUP('Données projet'!$B$10,Paramètres!$A$1:$I$89,3,0)*0.475*44/12</f>
        <v>1.4805709740842146</v>
      </c>
      <c r="AW200" s="21">
        <f>EXP(-LN(2)/2)*AW199+(1-EXP(-LN(2)/2))/(LN(2)/2)*AQ200*AT200*VLOOKUP('Données projet'!$B$10,Paramètres!$A$1:$I$89,3,0)*0.475*44/12</f>
        <v>2.8635871087228388E-17</v>
      </c>
      <c r="AX200" s="21">
        <f t="shared" si="166"/>
        <v>17.718620885907178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119.99995828001613</v>
      </c>
      <c r="BJ200" s="59">
        <f t="shared" si="206"/>
        <v>317.56542444086261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1.8617162173235398</v>
      </c>
      <c r="BQ200" s="21">
        <f>EXP(-LN(2)/25)*BQ199+(1-EXP(-LN(2)/25))/(LN(2)/25)*Calculateur!BL200*Calculateur!BN200*VLOOKUP('Données projet'!$B$11,Paramètres!$A$1:$I$89,3,0)*0.475*44/12</f>
        <v>9.7780592793328999E-2</v>
      </c>
      <c r="BR200" s="21">
        <f>EXP(-LN(2)/2)*BR199+(1-EXP(-LN(2)/2))/(LN(2)/2)*BL200*BO200*VLOOKUP('Données projet'!$B$11,Paramètres!$A$1:$I$89,3,0)*0.475*44/12</f>
        <v>4.3167779477609159E-26</v>
      </c>
      <c r="BS200" s="22">
        <f t="shared" si="169"/>
        <v>1.9594968101168688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-1.0197709343628959E-13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323.17232038705157</v>
      </c>
      <c r="T201" s="59">
        <f t="shared" si="204"/>
        <v>402.34685738619197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9.7827406481039763</v>
      </c>
      <c r="AA201" s="21">
        <f>EXP(-LN(2)/25)*AA200+(1-EXP(-LN(2)/25))/(LN(2)/25)*Calculateur!V201*Calculateur!X201*VLOOKUP('Données projet'!$B$9,Paramètres!$A$1:$I$89,3,0)*0.475*44/12</f>
        <v>0.86213955138400333</v>
      </c>
      <c r="AB201" s="21">
        <f>EXP(-LN(2)/2)*AB200+(1-EXP(-LN(2)/2))/(LN(2)/2)*V201*Y201*VLOOKUP('Données projet'!$B$9,Paramètres!$A$1:$I$89,3,0)*0.475*44/12</f>
        <v>1.711276373376924E-20</v>
      </c>
      <c r="AC201" s="22">
        <f t="shared" si="163"/>
        <v>10.644880199487979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-6.7984728957526396E-14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355.09162485318728</v>
      </c>
      <c r="AO201" s="59">
        <f t="shared" si="205"/>
        <v>320.06572891923685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15.919631657284599</v>
      </c>
      <c r="AV201" s="21">
        <f>EXP(-LN(2)/25)*AV200+(1-EXP(-LN(2)/25))/(LN(2)/25)*Calculateur!AQ201*Calculateur!AS201*VLOOKUP('Données projet'!$B$10,Paramètres!$A$1:$I$89,3,0)*0.475*44/12</f>
        <v>1.440084682938038</v>
      </c>
      <c r="AW201" s="21">
        <f>EXP(-LN(2)/2)*AW200+(1-EXP(-LN(2)/2))/(LN(2)/2)*AQ201*AT201*VLOOKUP('Données projet'!$B$10,Paramètres!$A$1:$I$89,3,0)*0.475*44/12</f>
        <v>2.0248618630962986E-17</v>
      </c>
      <c r="AX201" s="21">
        <f t="shared" si="166"/>
        <v>17.359716340222636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119.99995828001613</v>
      </c>
      <c r="BJ201" s="59">
        <f t="shared" si="206"/>
        <v>317.56542444086261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1.8252090978365929</v>
      </c>
      <c r="BQ201" s="21">
        <f>EXP(-LN(2)/25)*BQ200+(1-EXP(-LN(2)/25))/(LN(2)/25)*Calculateur!BL201*Calculateur!BN201*VLOOKUP('Données projet'!$B$11,Paramètres!$A$1:$I$89,3,0)*0.475*44/12</f>
        <v>9.5106777341337517E-2</v>
      </c>
      <c r="BR201" s="21">
        <f>EXP(-LN(2)/2)*BR200+(1-EXP(-LN(2)/2))/(LN(2)/2)*BL201*BO201*VLOOKUP('Données projet'!$B$11,Paramètres!$A$1:$I$89,3,0)*0.475*44/12</f>
        <v>3.0524229597382916E-26</v>
      </c>
      <c r="BS201" s="22">
        <f t="shared" si="169"/>
        <v>1.9203158751779303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-1.0197709343628959E-13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323.17232038705157</v>
      </c>
      <c r="T202" s="59">
        <f t="shared" si="204"/>
        <v>402.34685738619197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9.5909070708772717</v>
      </c>
      <c r="AA202" s="21">
        <f>EXP(-LN(2)/25)*AA201+(1-EXP(-LN(2)/25))/(LN(2)/25)*Calculateur!V202*Calculateur!X202*VLOOKUP('Données projet'!$B$9,Paramètres!$A$1:$I$89,3,0)*0.475*44/12</f>
        <v>0.83856430001345916</v>
      </c>
      <c r="AB202" s="21">
        <f>EXP(-LN(2)/2)*AB201+(1-EXP(-LN(2)/2))/(LN(2)/2)*V202*Y202*VLOOKUP('Données projet'!$B$9,Paramètres!$A$1:$I$89,3,0)*0.475*44/12</f>
        <v>1.2100551280991452E-20</v>
      </c>
      <c r="AC202" s="22">
        <f t="shared" si="163"/>
        <v>10.429471370890731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-6.7984728957526396E-14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355.09162485318728</v>
      </c>
      <c r="AO202" s="59">
        <f t="shared" si="205"/>
        <v>320.06572891923685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15.607457390501775</v>
      </c>
      <c r="AV202" s="21">
        <f>EXP(-LN(2)/25)*AV201+(1-EXP(-LN(2)/25))/(LN(2)/25)*Calculateur!AQ202*Calculateur!AS202*VLOOKUP('Données projet'!$B$10,Paramètres!$A$1:$I$89,3,0)*0.475*44/12</f>
        <v>1.4007054915523354</v>
      </c>
      <c r="AW202" s="21">
        <f>EXP(-LN(2)/2)*AW201+(1-EXP(-LN(2)/2))/(LN(2)/2)*AQ202*AT202*VLOOKUP('Données projet'!$B$10,Paramètres!$A$1:$I$89,3,0)*0.475*44/12</f>
        <v>1.4317935543614194E-17</v>
      </c>
      <c r="AX202" s="21">
        <f t="shared" si="166"/>
        <v>17.008162882054112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119.99995828001613</v>
      </c>
      <c r="BJ202" s="59">
        <f t="shared" si="206"/>
        <v>317.56542444086261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1.789417860695641</v>
      </c>
      <c r="BQ202" s="21">
        <f>EXP(-LN(2)/25)*BQ201+(1-EXP(-LN(2)/25))/(LN(2)/25)*Calculateur!BL202*Calculateur!BN202*VLOOKUP('Données projet'!$B$11,Paramètres!$A$1:$I$89,3,0)*0.475*44/12</f>
        <v>9.2506077513490589E-2</v>
      </c>
      <c r="BR202" s="21">
        <f>EXP(-LN(2)/2)*BR201+(1-EXP(-LN(2)/2))/(LN(2)/2)*BL202*BO202*VLOOKUP('Données projet'!$B$11,Paramètres!$A$1:$I$89,3,0)*0.475*44/12</f>
        <v>2.1583889738804579E-26</v>
      </c>
      <c r="BS202" s="22">
        <f t="shared" si="169"/>
        <v>1.8819239382091315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-1.0197709343628959E-13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323.17232038705157</v>
      </c>
      <c r="T203" s="59">
        <f t="shared" si="204"/>
        <v>402.34685738619197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9.4028352330930538</v>
      </c>
      <c r="AA203" s="21">
        <f>EXP(-LN(2)/25)*AA202+(1-EXP(-LN(2)/25))/(LN(2)/25)*Calculateur!V203*Calculateur!X203*VLOOKUP('Données projet'!$B$9,Paramètres!$A$1:$I$89,3,0)*0.475*44/12</f>
        <v>0.81563371513141114</v>
      </c>
      <c r="AB203" s="21">
        <f>EXP(-LN(2)/2)*AB202+(1-EXP(-LN(2)/2))/(LN(2)/2)*V203*Y203*VLOOKUP('Données projet'!$B$9,Paramètres!$A$1:$I$89,3,0)*0.475*44/12</f>
        <v>8.5563818668846198E-21</v>
      </c>
      <c r="AC203" s="22">
        <f t="shared" si="163"/>
        <v>10.218468948224466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-6.7984728957526396E-14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355.09162485318728</v>
      </c>
      <c r="AO203" s="59">
        <f t="shared" si="205"/>
        <v>320.06572891923685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15.301404670683061</v>
      </c>
      <c r="AV203" s="21">
        <f>EXP(-LN(2)/25)*AV202+(1-EXP(-LN(2)/25))/(LN(2)/25)*Calculateur!AQ203*Calculateur!AS203*VLOOKUP('Données projet'!$B$10,Paramètres!$A$1:$I$89,3,0)*0.475*44/12</f>
        <v>1.3624031262259364</v>
      </c>
      <c r="AW203" s="21">
        <f>EXP(-LN(2)/2)*AW202+(1-EXP(-LN(2)/2))/(LN(2)/2)*AQ203*AT203*VLOOKUP('Données projet'!$B$10,Paramètres!$A$1:$I$89,3,0)*0.475*44/12</f>
        <v>1.0124309315481493E-17</v>
      </c>
      <c r="AX203" s="21">
        <f t="shared" si="166"/>
        <v>16.663807796908998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119.99995828001613</v>
      </c>
      <c r="BJ203" s="59">
        <f t="shared" si="206"/>
        <v>317.56542444086261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1.7543284678845241</v>
      </c>
      <c r="BQ203" s="21">
        <f>EXP(-LN(2)/25)*BQ202+(1-EXP(-LN(2)/25))/(LN(2)/25)*Calculateur!BL203*Calculateur!BN203*VLOOKUP('Données projet'!$B$11,Paramètres!$A$1:$I$89,3,0)*0.475*44/12</f>
        <v>8.9976493959201001E-2</v>
      </c>
      <c r="BR203" s="21">
        <f>EXP(-LN(2)/2)*BR202+(1-EXP(-LN(2)/2))/(LN(2)/2)*BL203*BO203*VLOOKUP('Données projet'!$B$11,Paramètres!$A$1:$I$89,3,0)*0.475*44/12</f>
        <v>1.5262114798691458E-26</v>
      </c>
      <c r="BS203" s="22">
        <f t="shared" si="169"/>
        <v>1.8443049618437251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1.3909694153327172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1.2909310311160476</v>
      </c>
      <c r="BA205" s="82">
        <f>EXP(LN('Données projet'!B88)/'Données projet'!A88)</f>
        <v>0.42937043954955023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F14" sqref="F1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maritime</v>
      </c>
      <c r="B6" s="146">
        <f>'Données projet'!D9</f>
        <v>5.984</v>
      </c>
      <c r="C6" s="147">
        <f ca="1">IF(OR('Données projet'!B9="",'Données projet'!C9="",'Données projet'!C9=0%),0,Calculateur!S3)</f>
        <v>323.17232038705157</v>
      </c>
      <c r="D6" s="147">
        <f>IF(OR('Données projet'!B9="",'Données projet'!C9="",'Données projet'!C9=0%),0,Calculateur!T3)</f>
        <v>402.34685738619197</v>
      </c>
      <c r="E6" s="147">
        <f ca="1">MIN(C6,D6)</f>
        <v>323.17232038705157</v>
      </c>
      <c r="F6" s="147">
        <f ca="1">E6*B6</f>
        <v>1933.8631651961166</v>
      </c>
      <c r="G6" s="147">
        <f ca="1">F6*(100%-'Données projet'!$C$24)*(100%-'Données projet'!$C$25)*(100%-'Données projet'!$C$26)*(100%-'Données projet'!$C$27)</f>
        <v>1740.4768486765049</v>
      </c>
      <c r="H6" s="148">
        <f>IF(OR('Données projet'!B9="",'Données projet'!C9="",'Données projet'!C9=0%),0,AVERAGE(Calculateur!$AC$3:$AC$33)*B6)</f>
        <v>77.905355550772583</v>
      </c>
      <c r="I6" s="149">
        <f>H6*(100%-'Données projet'!$C$24)*(100%-'Données projet'!$C$25)*(100%-'Données projet'!$C$26)*(100%-'Données projet'!$C$27)</f>
        <v>70.114819995695328</v>
      </c>
      <c r="J6" s="150">
        <f>IF(OR('Données projet'!B9="",'Données projet'!C9="",'Données projet'!C9=0%),0,SUM(Calculateur!$V$3:$V$33)*VLOOKUP('Données projet'!$B$9,Paramètres!$A$1:$I$89,9,0)*B6)</f>
        <v>513.66932184615382</v>
      </c>
      <c r="K6" s="151">
        <f>J6*(100%-'Données projet'!$C$24)*(100%-'Données projet'!$C$25)*(100%-'Données projet'!$C$26)*(100%-'Données projet'!$C$27)</f>
        <v>462.30238966153843</v>
      </c>
      <c r="L6" s="152">
        <f ca="1">G6+I6+K6</f>
        <v>2272.8940583337389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Pin laricio</v>
      </c>
      <c r="B7" s="154">
        <f>'Données projet'!D10</f>
        <v>5.984</v>
      </c>
      <c r="C7" s="147">
        <f ca="1">IF(OR('Données projet'!B10="",'Données projet'!C10="",'Données projet'!C10=0%),0,Calculateur!AN3)</f>
        <v>355.09162485318728</v>
      </c>
      <c r="D7" s="147">
        <f>IF(OR('Données projet'!B10="",'Données projet'!C10="",'Données projet'!C10=0%),0,Calculateur!AO3)</f>
        <v>320.06572891923685</v>
      </c>
      <c r="E7" s="147">
        <f t="shared" ref="E7:E15" ca="1" si="0">MIN(C7,D7)</f>
        <v>320.06572891923685</v>
      </c>
      <c r="F7" s="147">
        <f t="shared" ref="F7:F15" ca="1" si="1">E7*B7</f>
        <v>1915.2733218527133</v>
      </c>
      <c r="G7" s="147">
        <f ca="1">F7*(100%-'Données projet'!$C$24)*(100%-'Données projet'!$C$25)*(100%-'Données projet'!$C$26)*(100%-'Données projet'!$C$27)</f>
        <v>1723.745989667442</v>
      </c>
      <c r="H7" s="155">
        <f>IF(OR('Données projet'!B10="",'Données projet'!C10="",'Données projet'!C10=0%),0,AVERAGE(Calculateur!$AX$3:$AX$33)*B7)</f>
        <v>49.857463609363293</v>
      </c>
      <c r="I7" s="149">
        <f>H7*(100%-'Données projet'!$C$24)*(100%-'Données projet'!$C$25)*(100%-'Données projet'!$C$26)*(100%-'Données projet'!$C$27)</f>
        <v>44.871717248426968</v>
      </c>
      <c r="J7" s="150">
        <f>IF(OR('Données projet'!B10="",'Données projet'!C10="",'Données projet'!C10=0%),0,SUM(Calculateur!$AQ$3:$AQ$33)*VLOOKUP('Données projet'!$B$10,Paramètres!$A$1:$I$89,9,0)*B7)</f>
        <v>367.50091569230767</v>
      </c>
      <c r="K7" s="151">
        <f>J7*(100%-'Données projet'!$C$24)*(100%-'Données projet'!$C$25)*(100%-'Données projet'!$C$26)*(100%-'Données projet'!$C$27)</f>
        <v>330.75082412307694</v>
      </c>
      <c r="L7" s="152">
        <f t="shared" ref="L7:L15" ca="1" si="2">G7+I7+K7</f>
        <v>2099.368531038946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Peuplier Dorskamp</v>
      </c>
      <c r="B8" s="154">
        <f>'Données projet'!D11</f>
        <v>1.6319999999999999</v>
      </c>
      <c r="C8" s="147">
        <f ca="1">IF(OR('Données projet'!B11="",'Données projet'!C11="",'Données projet'!C11=0%),0,Calculateur!BI3)</f>
        <v>119.99995828001613</v>
      </c>
      <c r="D8" s="147">
        <f>IF(OR('Données projet'!B11="",'Données projet'!C11="",'Données projet'!C11=0%),0,Calculateur!BJ3)</f>
        <v>317.56542444086261</v>
      </c>
      <c r="E8" s="147">
        <f t="shared" ca="1" si="0"/>
        <v>119.99995828001613</v>
      </c>
      <c r="F8" s="147">
        <f t="shared" ca="1" si="1"/>
        <v>195.83993191298632</v>
      </c>
      <c r="G8" s="147">
        <f ca="1">F8*(100%-'Données projet'!$C$24)*(100%-'Données projet'!$C$25)*(100%-'Données projet'!$C$26)*(100%-'Données projet'!$C$27)</f>
        <v>176.2559387216877</v>
      </c>
      <c r="H8" s="155">
        <f>IF(OR('Données projet'!B11="",'Données projet'!C11="",'Données projet'!C11=0%),0,AVERAGE(Calculateur!$BS$3:$BS$33)*B8)</f>
        <v>42.589462826967541</v>
      </c>
      <c r="I8" s="149">
        <f>H8*(100%-'Données projet'!$C$24)*(100%-'Données projet'!$C$25)*(100%-'Données projet'!$C$26)*(100%-'Données projet'!$C$27)</f>
        <v>38.330516544270786</v>
      </c>
      <c r="J8" s="150">
        <f>IF(OR('Données projet'!B11="",'Données projet'!C11="",'Données projet'!C11=0%),0,SUM(Calculateur!$BL$3:$BL$33)*VLOOKUP('Données projet'!$B$11,Paramètres!$A$1:$I$89,9,0)*B8)</f>
        <v>428.11680615384597</v>
      </c>
      <c r="K8" s="151">
        <f>J8*(100%-'Données projet'!$C$24)*(100%-'Données projet'!$C$25)*(100%-'Données projet'!$C$26)*(100%-'Données projet'!$C$27)</f>
        <v>385.30512553846137</v>
      </c>
      <c r="L8" s="152">
        <f t="shared" ca="1" si="2"/>
        <v>599.89158080441985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4044.9764189618159</v>
      </c>
      <c r="G16" s="166">
        <f t="shared" ca="1" si="3"/>
        <v>3640.4787770656349</v>
      </c>
      <c r="H16" s="167">
        <f t="shared" si="3"/>
        <v>170.35228198710342</v>
      </c>
      <c r="I16" s="167">
        <f t="shared" si="3"/>
        <v>153.31705378839308</v>
      </c>
      <c r="J16" s="168">
        <f t="shared" si="3"/>
        <v>1309.2870436923074</v>
      </c>
      <c r="K16" s="168">
        <f t="shared" si="3"/>
        <v>1178.3583393230767</v>
      </c>
      <c r="L16" s="169">
        <f t="shared" ca="1" si="3"/>
        <v>4972.1541701771057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Peuplier Dorskamp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9" zoomScale="80" zoomScaleNormal="80" workbookViewId="0">
      <selection activeCell="P23" sqref="P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3349.8568350307655</v>
      </c>
      <c r="U10" s="178">
        <f>'Données projet'!D9</f>
        <v>5.984</v>
      </c>
      <c r="V10" s="177">
        <f>U10*T10</f>
        <v>20045.543300824102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1217.599080020394</v>
      </c>
      <c r="U11" s="178">
        <f>'Données projet'!D10</f>
        <v>5.984</v>
      </c>
      <c r="V11" s="177">
        <f t="shared" ref="V11" si="0">U11*T11</f>
        <v>7286.1128948420373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Peuplier Dorskamp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6274.0249010966281</v>
      </c>
      <c r="U12" s="178">
        <f>'Données projet'!D11</f>
        <v>1.6319999999999999</v>
      </c>
      <c r="V12" s="177">
        <f t="shared" ref="V12:V19" si="1">U12*T12</f>
        <v>10239.208638589696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8622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15</v>
      </c>
      <c r="B23" s="181">
        <f>'Données projet'!D36</f>
        <v>49.784615384615385</v>
      </c>
      <c r="C23" s="193">
        <v>10</v>
      </c>
      <c r="D23" s="182">
        <f>B23*C23</f>
        <v>497.84615384615387</v>
      </c>
      <c r="E23" s="193">
        <v>150</v>
      </c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-74638.895931294392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48.723076923076924</v>
      </c>
      <c r="C24" s="193">
        <v>18</v>
      </c>
      <c r="D24" s="182">
        <f t="shared" ref="D24:D42" si="2">B24*C24</f>
        <v>877.01538461538462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26</v>
      </c>
      <c r="B25" s="181">
        <f>'Données projet'!D38</f>
        <v>46.984615384615381</v>
      </c>
      <c r="C25" s="193">
        <v>25</v>
      </c>
      <c r="D25" s="182">
        <f t="shared" si="2"/>
        <v>1174.6153846153845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299">
        <f ca="1">T23-T24</f>
        <v>-74638.895931294392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32</v>
      </c>
      <c r="B26" s="181">
        <f>'Données projet'!D39</f>
        <v>64.523076923076914</v>
      </c>
      <c r="C26" s="193">
        <v>25</v>
      </c>
      <c r="D26" s="182">
        <f t="shared" si="2"/>
        <v>1613.0769230769229</v>
      </c>
      <c r="E26" s="193">
        <v>150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40</v>
      </c>
      <c r="B27" s="181">
        <f>'Données projet'!D40</f>
        <v>92.661538461538456</v>
      </c>
      <c r="C27" s="193">
        <v>35</v>
      </c>
      <c r="D27" s="182">
        <f t="shared" si="2"/>
        <v>3243.1538461538457</v>
      </c>
      <c r="E27" s="193">
        <v>150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48</v>
      </c>
      <c r="B28" s="181">
        <f>'Données projet'!D41</f>
        <v>83.969230769230762</v>
      </c>
      <c r="C28" s="193">
        <v>35</v>
      </c>
      <c r="D28" s="182">
        <f t="shared" si="2"/>
        <v>2938.9230769230767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56</v>
      </c>
      <c r="B29" s="181">
        <f>'Données projet'!D42</f>
        <v>446.47692307692301</v>
      </c>
      <c r="C29" s="193">
        <v>35</v>
      </c>
      <c r="D29" s="182">
        <f t="shared" si="2"/>
        <v>15626.692307692305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19</v>
      </c>
      <c r="B54" s="181">
        <f>'Données projet'!D62</f>
        <v>46.53846153846154</v>
      </c>
      <c r="C54" s="191">
        <v>10</v>
      </c>
      <c r="D54" s="179">
        <f>B54*C54</f>
        <v>465.38461538461542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24</v>
      </c>
      <c r="B55" s="181">
        <f>'Données projet'!D63</f>
        <v>40.41538461538461</v>
      </c>
      <c r="C55" s="191">
        <v>10</v>
      </c>
      <c r="D55" s="179">
        <f t="shared" ref="D55:D73" si="4">B55*C55</f>
        <v>404.15384615384608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55.869230769230761</v>
      </c>
      <c r="C56" s="191">
        <v>10</v>
      </c>
      <c r="D56" s="179">
        <f t="shared" si="4"/>
        <v>558.69230769230762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37</v>
      </c>
      <c r="B57" s="181">
        <f>'Données projet'!D65</f>
        <v>43.623076923076923</v>
      </c>
      <c r="C57" s="191">
        <v>15</v>
      </c>
      <c r="D57" s="179">
        <f t="shared" si="4"/>
        <v>654.34615384615381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46</v>
      </c>
      <c r="B58" s="181">
        <f>'Données projet'!D66</f>
        <v>72.561538461538461</v>
      </c>
      <c r="C58" s="191">
        <v>25</v>
      </c>
      <c r="D58" s="179">
        <f t="shared" si="4"/>
        <v>1814.0384615384614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56</v>
      </c>
      <c r="B59" s="181">
        <f>'Données projet'!D67</f>
        <v>60.092307692307692</v>
      </c>
      <c r="C59" s="191">
        <v>25</v>
      </c>
      <c r="D59" s="179">
        <f t="shared" si="4"/>
        <v>1502.3076923076924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66</v>
      </c>
      <c r="B60" s="181">
        <f>'Données projet'!D68</f>
        <v>68.146153846153851</v>
      </c>
      <c r="C60" s="191">
        <v>25</v>
      </c>
      <c r="D60" s="179">
        <f t="shared" si="4"/>
        <v>1703.6538461538462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76</v>
      </c>
      <c r="B61" s="181">
        <f>'Données projet'!D69</f>
        <v>520.22307692307686</v>
      </c>
      <c r="C61" s="191">
        <v>25</v>
      </c>
      <c r="D61" s="179">
        <f t="shared" si="4"/>
        <v>13005.576923076922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Peuplier Dorskamp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11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12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13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14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15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16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17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18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19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20</v>
      </c>
      <c r="B103" s="181">
        <f>'Données projet'!D106</f>
        <v>254.68589743589735</v>
      </c>
      <c r="C103" s="191">
        <v>60</v>
      </c>
      <c r="D103" s="179">
        <f t="shared" si="6"/>
        <v>15281.15384615384</v>
      </c>
      <c r="E103" s="193">
        <v>150</v>
      </c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7EFC3F1A-548E-42C4-92D1-6F31BC27738F}"/>
</file>

<file path=customXml/itemProps2.xml><?xml version="1.0" encoding="utf-8"?>
<ds:datastoreItem xmlns:ds="http://schemas.openxmlformats.org/officeDocument/2006/customXml" ds:itemID="{5AD0A3AC-BFD5-4CE3-9009-7D9796AFD99E}"/>
</file>

<file path=customXml/itemProps3.xml><?xml version="1.0" encoding="utf-8"?>
<ds:datastoreItem xmlns:ds="http://schemas.openxmlformats.org/officeDocument/2006/customXml" ds:itemID="{5157648A-1560-42F9-9806-9D3D4FAC606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Alexia Link</cp:lastModifiedBy>
  <dcterms:created xsi:type="dcterms:W3CDTF">2021-02-01T08:22:39Z</dcterms:created>
  <dcterms:modified xsi:type="dcterms:W3CDTF">2024-07-09T09:52:00Z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</Properties>
</file>