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B067D730-4B17-4DC3-A1F3-A88974B5E251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EC4" i="2"/>
  <c r="FR4" i="2"/>
  <c r="BQ4" i="2"/>
  <c r="GL4" i="2"/>
  <c r="F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H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FS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HH130" i="2"/>
  <c r="HG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EC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G141" i="2"/>
  <c r="FS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B145" i="2"/>
  <c r="EX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H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HH156" i="2"/>
  <c r="EB156" i="2"/>
  <c r="AB156" i="2"/>
  <c r="HG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AB161" i="2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HG163" i="2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EA164" i="2"/>
  <c r="HH164" i="2"/>
  <c r="HG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DG167" i="2"/>
  <c r="HH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V168" i="2"/>
  <c r="EC168" i="2"/>
  <c r="HI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FS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W185" i="2"/>
  <c r="EB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HI192" i="2"/>
  <c r="EW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B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144" i="2" a="1"/>
  <c r="FD144" i="2" s="1"/>
  <c r="FD59" i="2" a="1"/>
  <c r="FD59" i="2" s="1"/>
  <c r="BC34" i="2" a="1"/>
  <c r="BC34" i="2" s="1"/>
  <c r="BC65" i="2" a="1"/>
  <c r="BC6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151" i="2" a="1"/>
  <c r="AH151" i="2" s="1"/>
  <c r="AH90" i="2" a="1"/>
  <c r="AH90" i="2" s="1"/>
  <c r="FD60" i="2" a="1"/>
  <c r="FD60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59" i="2" a="1"/>
  <c r="FD159" i="2" s="1"/>
  <c r="FD137" i="2" a="1"/>
  <c r="FD137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143" i="2" a="1"/>
  <c r="BC143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114" i="2" a="1"/>
  <c r="CS114" i="2" s="1"/>
  <c r="DN6" i="2" a="1"/>
  <c r="DN6" i="2" s="1"/>
  <c r="DO6" i="2" s="1"/>
  <c r="CS24" i="2" a="1"/>
  <c r="CS24" i="2" s="1"/>
  <c r="FD82" i="2" a="1"/>
  <c r="FD82" i="2" s="1"/>
  <c r="HJ202" i="2"/>
  <c r="AX200" i="2"/>
  <c r="BC130" i="2" l="1" a="1"/>
  <c r="BC130" i="2" s="1"/>
  <c r="AH19" i="2" a="1"/>
  <c r="AH19" i="2" s="1"/>
  <c r="FY71" i="2" a="1"/>
  <c r="FY71" i="2" s="1"/>
  <c r="CS77" i="2" a="1"/>
  <c r="CS77" i="2" s="1"/>
  <c r="FY186" i="2" a="1"/>
  <c r="FY186" i="2" s="1"/>
  <c r="BC38" i="2" a="1"/>
  <c r="BC38" i="2" s="1"/>
  <c r="BC47" i="2" a="1"/>
  <c r="BC47" i="2" s="1"/>
  <c r="BC68" i="2" a="1"/>
  <c r="BC68" i="2" s="1"/>
  <c r="BC83" i="2" a="1"/>
  <c r="BC83" i="2" s="1"/>
  <c r="CS56" i="2" a="1"/>
  <c r="CS56" i="2" s="1"/>
  <c r="BC151" i="2" a="1"/>
  <c r="BC151" i="2" s="1"/>
  <c r="BC58" i="2" a="1"/>
  <c r="BC58" i="2" s="1"/>
  <c r="DN66" i="2" a="1"/>
  <c r="DN66" i="2" s="1"/>
  <c r="FR203" i="2"/>
  <c r="DN168" i="2" a="1"/>
  <c r="DN168" i="2" s="1"/>
  <c r="BC7" i="2" a="1"/>
  <c r="BC7" i="2" s="1"/>
  <c r="BD7" i="2" s="1"/>
  <c r="FD19" i="2" a="1"/>
  <c r="FD19" i="2" s="1"/>
  <c r="FD44" i="2" a="1"/>
  <c r="FD44" i="2" s="1"/>
  <c r="DN152" i="2" a="1"/>
  <c r="DN152" i="2" s="1"/>
  <c r="BC117" i="2" a="1"/>
  <c r="BC117" i="2" s="1"/>
  <c r="FD21" i="2" a="1"/>
  <c r="FD21" i="2" s="1"/>
  <c r="HG203" i="2"/>
  <c r="BC185" i="2" a="1"/>
  <c r="BC185" i="2" s="1"/>
  <c r="FD160" i="2" a="1"/>
  <c r="FD160" i="2" s="1"/>
  <c r="FD188" i="2" a="1"/>
  <c r="FD188" i="2" s="1"/>
  <c r="BC181" i="2" a="1"/>
  <c r="BC181" i="2" s="1"/>
  <c r="FY172" i="2" a="1"/>
  <c r="FY172" i="2" s="1"/>
  <c r="DN31" i="2" a="1"/>
  <c r="DN31" i="2" s="1"/>
  <c r="FY104" i="2" a="1"/>
  <c r="FY104" i="2" s="1"/>
  <c r="FY178" i="2" a="1"/>
  <c r="FY178" i="2" s="1"/>
  <c r="CS72" i="2" a="1"/>
  <c r="CS72" i="2" s="1"/>
  <c r="FD107" i="2" a="1"/>
  <c r="FD107" i="2" s="1"/>
  <c r="FY182" i="2" a="1"/>
  <c r="FY182" i="2" s="1"/>
  <c r="BC126" i="2" a="1"/>
  <c r="BC126" i="2" s="1"/>
  <c r="FY55" i="2" a="1"/>
  <c r="FY55" i="2" s="1"/>
  <c r="FY18" i="2" a="1"/>
  <c r="FY18" i="2" s="1"/>
  <c r="FY54" i="2" a="1"/>
  <c r="FY54" i="2" s="1"/>
  <c r="FY50" i="2" a="1"/>
  <c r="FY50" i="2" s="1"/>
  <c r="BC31" i="2" a="1"/>
  <c r="BC31" i="2" s="1"/>
  <c r="FY82" i="2" a="1"/>
  <c r="FY82" i="2" s="1"/>
  <c r="BC114" i="2" a="1"/>
  <c r="BC114" i="2" s="1"/>
  <c r="BC84" i="2" a="1"/>
  <c r="BC84" i="2" s="1"/>
  <c r="CS134" i="2" a="1"/>
  <c r="CS134" i="2" s="1"/>
  <c r="BC32" i="2" a="1"/>
  <c r="BC32" i="2" s="1"/>
  <c r="FD167" i="2" a="1"/>
  <c r="FD167" i="2" s="1"/>
  <c r="CS38" i="2" a="1"/>
  <c r="CS38" i="2" s="1"/>
  <c r="BC82" i="2" a="1"/>
  <c r="BC82" i="2" s="1"/>
  <c r="FY152" i="2" a="1"/>
  <c r="FY152" i="2" s="1"/>
  <c r="DN29" i="2" a="1"/>
  <c r="DN29" i="2" s="1"/>
  <c r="FY115" i="2" a="1"/>
  <c r="FY115" i="2" s="1"/>
  <c r="FY34" i="2" a="1"/>
  <c r="FY34" i="2" s="1"/>
  <c r="DN46" i="2" a="1"/>
  <c r="DN46" i="2" s="1"/>
  <c r="FY47" i="2" a="1"/>
  <c r="FY47" i="2" s="1"/>
  <c r="DN164" i="2" a="1"/>
  <c r="DN164" i="2" s="1"/>
  <c r="DN137" i="2" a="1"/>
  <c r="DN137" i="2" s="1"/>
  <c r="FY191" i="2" a="1"/>
  <c r="FY191" i="2" s="1"/>
  <c r="DN187" i="2" a="1"/>
  <c r="DN187" i="2" s="1"/>
  <c r="CS105" i="2" a="1"/>
  <c r="CS105" i="2" s="1"/>
  <c r="DN170" i="2" a="1"/>
  <c r="DN170" i="2" s="1"/>
  <c r="CS129" i="2" a="1"/>
  <c r="CS129" i="2" s="1"/>
  <c r="FY124" i="2" a="1"/>
  <c r="FY124" i="2" s="1"/>
  <c r="FY174" i="2" a="1"/>
  <c r="FY174" i="2" s="1"/>
  <c r="FY110" i="2" a="1"/>
  <c r="FY110" i="2" s="1"/>
  <c r="FY165" i="2" a="1"/>
  <c r="FY165" i="2" s="1"/>
  <c r="DN30" i="2" a="1"/>
  <c r="DN30" i="2" s="1"/>
  <c r="DN162" i="2" a="1"/>
  <c r="DN162" i="2" s="1"/>
  <c r="FY86" i="2" a="1"/>
  <c r="FY86" i="2" s="1"/>
  <c r="FY188" i="2" a="1"/>
  <c r="FY188" i="2" s="1"/>
  <c r="DN103" i="2" a="1"/>
  <c r="DN103" i="2" s="1"/>
  <c r="DN186" i="2" a="1"/>
  <c r="DN186" i="2" s="1"/>
  <c r="FY149" i="2" a="1"/>
  <c r="FY149" i="2" s="1"/>
  <c r="FY28" i="2" a="1"/>
  <c r="FY28" i="2" s="1"/>
  <c r="FY121" i="2" a="1"/>
  <c r="FY121" i="2" s="1"/>
  <c r="DN153" i="2" a="1"/>
  <c r="DN153" i="2" s="1"/>
  <c r="FY24" i="2" a="1"/>
  <c r="FY24" i="2" s="1"/>
  <c r="FY78" i="2" a="1"/>
  <c r="FY78" i="2" s="1"/>
  <c r="FY35" i="2" a="1"/>
  <c r="FY35" i="2" s="1"/>
  <c r="DN190" i="2" a="1"/>
  <c r="DN190" i="2" s="1"/>
  <c r="DN135" i="2" a="1"/>
  <c r="DN135" i="2" s="1"/>
  <c r="FY167" i="2" a="1"/>
  <c r="FY167" i="2" s="1"/>
  <c r="CS137" i="2" a="1"/>
  <c r="CS137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FY133" i="2" a="1"/>
  <c r="FY133" i="2" s="1"/>
  <c r="DN114" i="2" a="1"/>
  <c r="DN114" i="2" s="1"/>
  <c r="FY164" i="2" a="1"/>
  <c r="FY164" i="2" s="1"/>
  <c r="DN49" i="2" a="1"/>
  <c r="DN49" i="2" s="1"/>
  <c r="FY29" i="2" a="1"/>
  <c r="FY29" i="2" s="1"/>
  <c r="DN176" i="2" a="1"/>
  <c r="DN176" i="2" s="1"/>
  <c r="BX107" i="2" a="1"/>
  <c r="BX107" i="2" s="1"/>
  <c r="DN65" i="2" a="1"/>
  <c r="DN65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188" i="2" a="1"/>
  <c r="DN188" i="2" s="1"/>
  <c r="DN41" i="2" a="1"/>
  <c r="DN41" i="2" s="1"/>
  <c r="FY173" i="2" a="1"/>
  <c r="FY173" i="2" s="1"/>
  <c r="FY79" i="2" a="1"/>
  <c r="FY79" i="2" s="1"/>
  <c r="FY143" i="2" a="1"/>
  <c r="FY143" i="2" s="1"/>
  <c r="DN70" i="2" a="1"/>
  <c r="DN70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67" i="2" a="1"/>
  <c r="DN167" i="2" s="1"/>
  <c r="DN16" i="2" a="1"/>
  <c r="DN16" i="2" s="1"/>
  <c r="FY126" i="2" a="1"/>
  <c r="FY126" i="2" s="1"/>
  <c r="DN177" i="2" a="1"/>
  <c r="DN177" i="2" s="1"/>
  <c r="FY140" i="2" a="1"/>
  <c r="FY140" i="2" s="1"/>
  <c r="FY58" i="2" a="1"/>
  <c r="FY58" i="2" s="1"/>
  <c r="DN45" i="2" a="1"/>
  <c r="DN4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86" i="2" a="1"/>
  <c r="DN86" i="2" s="1"/>
  <c r="FY109" i="2" a="1"/>
  <c r="FY109" i="2" s="1"/>
  <c r="DN43" i="2" a="1"/>
  <c r="DN43" i="2" s="1"/>
  <c r="FY159" i="2" a="1"/>
  <c r="FY159" i="2" s="1"/>
  <c r="DN115" i="2" a="1"/>
  <c r="DN115" i="2" s="1"/>
  <c r="DN55" i="2" a="1"/>
  <c r="DN55" i="2" s="1"/>
  <c r="DN110" i="2" a="1"/>
  <c r="DN110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<sst xmlns="http://schemas.openxmlformats.org/spreadsheetml/2006/main" count="1173" uniqueCount="325">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</sst>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0.60686231053735495</c:v>
                </c:pt>
                <c:pt idx="2">
                  <c:v>0.27011021672331176</c:v>
                </c:pt>
                <c:pt idx="3">
                  <c:v>3.0592628362055301</c:v>
                </c:pt>
                <c:pt idx="4">
                  <c:v>8.5318891377485393</c:v>
                </c:pt>
                <c:pt idx="5">
                  <c:v>16.422958035106777</c:v>
                </c:pt>
                <c:pt idx="6">
                  <c:v>26.5103136965093</c:v>
                </c:pt>
                <c:pt idx="7">
                  <c:v>38.58931797123882</c:v>
                </c:pt>
                <c:pt idx="8">
                  <c:v>52.4649899361224</c:v>
                </c:pt>
                <c:pt idx="9">
                  <c:v>67.948479026849526</c:v>
                </c:pt>
                <c:pt idx="10">
                  <c:v>84.855169028532458</c:v>
                </c:pt>
                <c:pt idx="11">
                  <c:v>103.00353721143388</c:v>
                </c:pt>
                <c:pt idx="12">
                  <c:v>122.21441178823478</c:v>
                </c:pt>
                <c:pt idx="13">
                  <c:v>142.31045943041215</c:v>
                </c:pt>
                <c:pt idx="14">
                  <c:v>163.11581486298448</c:v>
                </c:pt>
                <c:pt idx="15">
                  <c:v>184.45580281206844</c:v>
                </c:pt>
                <c:pt idx="16">
                  <c:v>206.15672242392552</c:v>
                </c:pt>
                <c:pt idx="17">
                  <c:v>228.04567527517145</c:v>
                </c:pt>
                <c:pt idx="18">
                  <c:v>249.95042452570706</c:v>
                </c:pt>
                <c:pt idx="19">
                  <c:v>271.69927669174325</c:v>
                </c:pt>
                <c:pt idx="20">
                  <c:v>293.12097999641816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7" zoomScale="80" zoomScaleNormal="80" workbookViewId="0">
      <selection activeCell="A88" sqref="A88:H10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24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0.45</v>
      </c>
      <c r="D9" s="33">
        <f t="shared" ref="D9:D18" si="0">C9*$C$5</f>
        <v>10.8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35</v>
      </c>
      <c r="C10" s="32">
        <v>0.45</v>
      </c>
      <c r="D10" s="33">
        <f t="shared" si="0"/>
        <v>10.8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123</v>
      </c>
      <c r="C11" s="32">
        <v>0.1</v>
      </c>
      <c r="D11" s="33">
        <f t="shared" si="0"/>
        <v>2.4000000000000004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ref="I39:I44" si="2">IF(A39&lt;&gt;0,(B39-(B38-D38))/(A39-A38),"")</f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2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2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2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2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2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19</v>
      </c>
      <c r="B62" s="60">
        <v>127.98461538461538</v>
      </c>
      <c r="C62" s="60">
        <v>1</v>
      </c>
      <c r="D62" s="60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24</v>
      </c>
      <c r="B63" s="60">
        <v>159.94615384615383</v>
      </c>
      <c r="C63" s="60">
        <v>2</v>
      </c>
      <c r="D63" s="60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215.65384615384616</v>
      </c>
      <c r="C64" s="60">
        <v>3</v>
      </c>
      <c r="D64" s="60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37</v>
      </c>
      <c r="B65" s="60">
        <v>268.16923076923075</v>
      </c>
      <c r="C65" s="60">
        <v>4</v>
      </c>
      <c r="D65" s="60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46</v>
      </c>
      <c r="B66" s="60">
        <v>362.82307692307688</v>
      </c>
      <c r="C66" s="60">
        <v>5</v>
      </c>
      <c r="D66" s="60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3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56</v>
      </c>
      <c r="B67" s="60">
        <v>428.20000000000005</v>
      </c>
      <c r="C67" s="60">
        <v>6</v>
      </c>
      <c r="D67" s="60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3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66</v>
      </c>
      <c r="B68" s="60">
        <v>488.65384615384613</v>
      </c>
      <c r="C68" s="60">
        <v>7</v>
      </c>
      <c r="D68" s="60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3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76</v>
      </c>
      <c r="B69" s="50">
        <v>520.22307692307686</v>
      </c>
      <c r="C69" s="50">
        <v>8</v>
      </c>
      <c r="D69" s="50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3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Peuplier Dorskamp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</v>
      </c>
      <c r="B88" s="60">
        <v>0.18435897435897397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9.2179487179486985E-2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3</v>
      </c>
      <c r="B89" s="60">
        <v>2.31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0</v>
      </c>
      <c r="I89" s="53">
        <f t="shared" ref="I89:I107" si="4">IF(A89&lt;&gt;0,(B89-(B88-D88))/(A89-A88),"")</f>
        <v>2.1256410256410261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</v>
      </c>
      <c r="B90" s="60">
        <v>6.6838461538461518</v>
      </c>
      <c r="C90" s="60">
        <v>0</v>
      </c>
      <c r="D90" s="60">
        <v>0</v>
      </c>
      <c r="E90" s="87">
        <v>0</v>
      </c>
      <c r="F90" s="87">
        <v>0</v>
      </c>
      <c r="G90" s="87">
        <v>0</v>
      </c>
      <c r="H90" s="87">
        <v>0</v>
      </c>
      <c r="I90" s="53">
        <f t="shared" si="4"/>
        <v>4.3738461538461522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</v>
      </c>
      <c r="B91" s="60">
        <v>13.14935897435897</v>
      </c>
      <c r="C91" s="60">
        <v>0</v>
      </c>
      <c r="D91" s="60">
        <v>0</v>
      </c>
      <c r="E91" s="87">
        <v>0</v>
      </c>
      <c r="F91" s="87">
        <v>0</v>
      </c>
      <c r="G91" s="87">
        <v>0</v>
      </c>
      <c r="H91" s="87">
        <v>0</v>
      </c>
      <c r="I91" s="53">
        <f t="shared" si="4"/>
        <v>6.4655128205128181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6</v>
      </c>
      <c r="B92" s="60">
        <v>21.549999999999997</v>
      </c>
      <c r="C92" s="60">
        <v>0</v>
      </c>
      <c r="D92" s="60">
        <v>0</v>
      </c>
      <c r="E92" s="87">
        <v>0</v>
      </c>
      <c r="F92" s="87">
        <v>0</v>
      </c>
      <c r="G92" s="87">
        <v>0</v>
      </c>
      <c r="H92" s="87">
        <v>0</v>
      </c>
      <c r="I92" s="53">
        <f t="shared" si="4"/>
        <v>8.4006410256410273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7</v>
      </c>
      <c r="B93" s="60">
        <v>31.729230769230764</v>
      </c>
      <c r="C93" s="60">
        <v>0</v>
      </c>
      <c r="D93" s="60">
        <v>0</v>
      </c>
      <c r="E93" s="87">
        <v>0</v>
      </c>
      <c r="F93" s="87">
        <v>0</v>
      </c>
      <c r="G93" s="87">
        <v>0</v>
      </c>
      <c r="H93" s="87">
        <v>0</v>
      </c>
      <c r="I93" s="53">
        <f t="shared" si="4"/>
        <v>10.179230769230767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8</v>
      </c>
      <c r="B94" s="60">
        <v>43.530512820512811</v>
      </c>
      <c r="C94" s="60">
        <v>0</v>
      </c>
      <c r="D94" s="60">
        <v>0</v>
      </c>
      <c r="E94" s="87">
        <v>0</v>
      </c>
      <c r="F94" s="87">
        <v>0</v>
      </c>
      <c r="G94" s="87">
        <v>0</v>
      </c>
      <c r="H94" s="87">
        <v>0</v>
      </c>
      <c r="I94" s="53">
        <f t="shared" si="4"/>
        <v>11.801282051282048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</v>
      </c>
      <c r="B95" s="60">
        <v>56.797307692307676</v>
      </c>
      <c r="C95" s="60">
        <v>0</v>
      </c>
      <c r="D95" s="60">
        <v>0</v>
      </c>
      <c r="E95" s="87">
        <v>0</v>
      </c>
      <c r="F95" s="87">
        <v>0</v>
      </c>
      <c r="G95" s="87">
        <v>0</v>
      </c>
      <c r="H95" s="87">
        <v>0</v>
      </c>
      <c r="I95" s="53">
        <f t="shared" si="4"/>
        <v>13.266794871794865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</v>
      </c>
      <c r="B96" s="60">
        <v>71.373076923076894</v>
      </c>
      <c r="C96" s="60">
        <v>0</v>
      </c>
      <c r="D96" s="60">
        <v>0</v>
      </c>
      <c r="E96" s="87">
        <v>0</v>
      </c>
      <c r="F96" s="87">
        <v>0</v>
      </c>
      <c r="G96" s="87">
        <v>0</v>
      </c>
      <c r="H96" s="87">
        <v>0</v>
      </c>
      <c r="I96" s="53">
        <f t="shared" si="4"/>
        <v>14.575769230769218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</v>
      </c>
      <c r="B97" s="60">
        <v>87.101282051282055</v>
      </c>
      <c r="C97" s="60">
        <v>0</v>
      </c>
      <c r="D97" s="60">
        <v>0</v>
      </c>
      <c r="E97" s="87">
        <v>0</v>
      </c>
      <c r="F97" s="87">
        <v>0</v>
      </c>
      <c r="G97" s="87">
        <v>0</v>
      </c>
      <c r="H97" s="87">
        <v>0</v>
      </c>
      <c r="I97" s="53">
        <f t="shared" si="4"/>
        <v>15.728205128205161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</v>
      </c>
      <c r="B98" s="60">
        <v>103.82538461538462</v>
      </c>
      <c r="C98" s="60">
        <v>0</v>
      </c>
      <c r="D98" s="60">
        <v>0</v>
      </c>
      <c r="E98" s="87">
        <v>0</v>
      </c>
      <c r="F98" s="87">
        <v>0</v>
      </c>
      <c r="G98" s="87">
        <v>0</v>
      </c>
      <c r="H98" s="87">
        <v>0</v>
      </c>
      <c r="I98" s="53">
        <f t="shared" si="4"/>
        <v>16.724102564102566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13</v>
      </c>
      <c r="B99" s="60">
        <v>121.38884615384613</v>
      </c>
      <c r="C99" s="60">
        <v>0</v>
      </c>
      <c r="D99" s="60">
        <v>0</v>
      </c>
      <c r="E99" s="87">
        <v>0</v>
      </c>
      <c r="F99" s="87">
        <v>0</v>
      </c>
      <c r="G99" s="87">
        <v>0</v>
      </c>
      <c r="H99" s="87">
        <v>0</v>
      </c>
      <c r="I99" s="53">
        <f t="shared" si="4"/>
        <v>17.56346153846151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14</v>
      </c>
      <c r="B100" s="60">
        <v>139.63512820512813</v>
      </c>
      <c r="C100" s="60">
        <v>0</v>
      </c>
      <c r="D100" s="60">
        <v>0</v>
      </c>
      <c r="E100" s="65">
        <v>0</v>
      </c>
      <c r="F100" s="65">
        <v>0</v>
      </c>
      <c r="G100" s="65">
        <v>0</v>
      </c>
      <c r="H100" s="65">
        <v>0</v>
      </c>
      <c r="I100" s="53">
        <f t="shared" si="4"/>
        <v>18.246282051281995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</v>
      </c>
      <c r="B101" s="60">
        <v>158.40769230769226</v>
      </c>
      <c r="C101" s="60">
        <v>0</v>
      </c>
      <c r="D101" s="60">
        <v>0</v>
      </c>
      <c r="E101" s="65">
        <v>0</v>
      </c>
      <c r="F101" s="65">
        <v>0</v>
      </c>
      <c r="G101" s="65">
        <v>0</v>
      </c>
      <c r="H101" s="65">
        <v>0</v>
      </c>
      <c r="I101" s="53">
        <f t="shared" si="4"/>
        <v>18.772564102564132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16</v>
      </c>
      <c r="B102" s="50">
        <v>177.54999999999995</v>
      </c>
      <c r="C102" s="60">
        <v>0</v>
      </c>
      <c r="D102" s="50">
        <v>0</v>
      </c>
      <c r="E102" s="54">
        <v>0</v>
      </c>
      <c r="F102" s="54">
        <v>0</v>
      </c>
      <c r="G102" s="54">
        <v>0</v>
      </c>
      <c r="H102" s="54">
        <v>0</v>
      </c>
      <c r="I102" s="53">
        <f t="shared" si="4"/>
        <v>19.142307692307696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17</v>
      </c>
      <c r="B103" s="50">
        <v>196.90551282051274</v>
      </c>
      <c r="C103" s="60">
        <v>0</v>
      </c>
      <c r="D103" s="50">
        <v>0</v>
      </c>
      <c r="E103" s="54">
        <v>0</v>
      </c>
      <c r="F103" s="54">
        <v>0</v>
      </c>
      <c r="G103" s="54">
        <v>0</v>
      </c>
      <c r="H103" s="54">
        <v>0</v>
      </c>
      <c r="I103" s="53">
        <f t="shared" si="4"/>
        <v>19.355512820512786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18</v>
      </c>
      <c r="B104" s="50">
        <v>216.31769230769225</v>
      </c>
      <c r="C104" s="60">
        <v>0</v>
      </c>
      <c r="D104" s="50">
        <v>0</v>
      </c>
      <c r="E104" s="54">
        <v>0</v>
      </c>
      <c r="F104" s="54">
        <v>0</v>
      </c>
      <c r="G104" s="54">
        <v>0</v>
      </c>
      <c r="H104" s="54">
        <v>0</v>
      </c>
      <c r="I104" s="53">
        <f t="shared" si="4"/>
        <v>19.412179487179515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19</v>
      </c>
      <c r="B105" s="50">
        <v>235.63</v>
      </c>
      <c r="C105" s="50">
        <v>0</v>
      </c>
      <c r="D105" s="50">
        <v>0</v>
      </c>
      <c r="E105" s="54">
        <v>0</v>
      </c>
      <c r="F105" s="54">
        <v>0</v>
      </c>
      <c r="G105" s="54">
        <v>0</v>
      </c>
      <c r="H105" s="54">
        <v>0</v>
      </c>
      <c r="I105" s="53">
        <f t="shared" si="4"/>
        <v>19.312307692307741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20</v>
      </c>
      <c r="B106" s="50">
        <v>254.68589743589735</v>
      </c>
      <c r="C106" s="50" t="s">
        <v>324</v>
      </c>
      <c r="D106" s="50">
        <v>254.68589743589735</v>
      </c>
      <c r="E106" s="54">
        <v>0.7</v>
      </c>
      <c r="F106" s="54">
        <v>0.15</v>
      </c>
      <c r="G106" s="54">
        <v>0.15</v>
      </c>
      <c r="H106" s="54">
        <v>0</v>
      </c>
      <c r="I106" s="53">
        <f t="shared" si="4"/>
        <v>19.05589743589735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Dorskamp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323.17232038705157</v>
      </c>
      <c r="T3" s="59">
        <f>IF('Données projet'!E9&gt;30,$R$33-$H$33,LOOKUP('Données projet'!$E$9,$A$3:$A$203,R3:R203)-LOOKUP('Données projet'!$E$9,$A$3:$A$203,$H$3:$H$203))</f>
        <v>402.34685738619197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355.09162485318728</v>
      </c>
      <c r="AO3" s="59">
        <f>IF('Données projet'!E10&gt;30,$AM$33-$H$33,LOOKUP('Données projet'!$E$10,$A$3:$A$203,AM3:AM203)-LOOKUP('Données projet'!$E$10,$A$3:$A$203,$H$3:$H$203))</f>
        <v>320.06572891923685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119.99995828001613</v>
      </c>
      <c r="BJ3" s="59">
        <f>IF('Données projet'!E11&gt;30,$BH$33-$H$33,LOOKUP('Données projet'!$E$11,$A$3:$A$203,BH3:BH203)-LOOKUP('Données projet'!$E$11,$A$3:$A$203,$H$3:$H$203))</f>
        <v>317.56542444086261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260.01970300488796</v>
      </c>
      <c r="S4" s="59">
        <f ca="1">AVERAGE(OFFSET($R$3,0,0,'Données projet'!$E$9+1,1))-AVERAGE(OFFSET($H$3,0,0,'Données projet'!$E$9+1,1))</f>
        <v>323.17232038705157</v>
      </c>
      <c r="T4" s="59">
        <f>$T$3</f>
        <v>402.34685738619197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259.87197873029919</v>
      </c>
      <c r="AN4" s="59">
        <f ca="1">AVERAGE(OFFSET($AM$3,0,0,'Données projet'!$E$10+1,1))-AVERAGE(OFFSET($H$3,0,0,'Données projet'!$E$10+1,1))</f>
        <v>355.09162485318728</v>
      </c>
      <c r="AO4" s="59">
        <f>$AO$3</f>
        <v>320.06572891923685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9.2179487179486985E-2</v>
      </c>
      <c r="BD4" s="12">
        <f>IF('Données projet'!$A$88&gt;35,BD3+BC4-BL3,IF(A4&lt;'Données projet'!$A$88,$BA$205^A4,IF(A4='Données projet'!$A$88,'Données projet'!$B$88,BD3+BC4-BL3)))</f>
        <v>0.42937043954955023</v>
      </c>
      <c r="BE4" s="13">
        <f>BD4*VLOOKUP('Données projet'!$B$11,Paramètres!$A$1:$I$89,3,0)*VLOOKUP('Données projet'!$B$11,Paramètres!$A$1:$I$89,5,0)</f>
        <v>0.22505880959429228</v>
      </c>
      <c r="BF4" s="13">
        <f>EXP(-1.0587+0.8836*LN(BE4)+0.284)</f>
        <v>0.12337888066639002</v>
      </c>
      <c r="BG4" s="20">
        <f t="shared" ref="BG4:BG67" si="7">(BE4+BF4)*0.475*44/12</f>
        <v>0.60686231053735495</v>
      </c>
      <c r="BH4" s="59">
        <f t="shared" ref="BH4:BH67" si="8">BG4+(AY4+AZ4)*44/12</f>
        <v>258.49575119942619</v>
      </c>
      <c r="BI4" s="59">
        <f ca="1">AVERAGE(OFFSET($BH$3,0,0,'Données projet'!$E$11+1,1))-AVERAGE(OFFSET($H$3,0,0,'Données projet'!$E$11+1,1))</f>
        <v>119.99995828001613</v>
      </c>
      <c r="BJ4" s="59">
        <f>$BJ$3</f>
        <v>317.56542444086261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262.03925500316808</v>
      </c>
      <c r="S5" s="59">
        <f ca="1">AVERAGE(OFFSET($R$3,0,0,'Données projet'!$E$9+1,1))-AVERAGE(OFFSET($H$3,0,0,'Données projet'!$E$9+1,1))</f>
        <v>323.17232038705157</v>
      </c>
      <c r="T5" s="59">
        <f t="shared" ref="T5:T68" si="34">$T$3</f>
        <v>402.34685738619197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261.64700090545813</v>
      </c>
      <c r="AN5" s="59">
        <f ca="1">AVERAGE(OFFSET($AM$3,0,0,'Données projet'!$E$10+1,1))-AVERAGE(OFFSET($H$3,0,0,'Données projet'!$E$10+1,1))</f>
        <v>355.09162485318728</v>
      </c>
      <c r="AO5" s="59">
        <f t="shared" ref="AO5:AO68" si="36">$AO$3</f>
        <v>320.06572891923685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>
        <f>VLOOKUP(A5,'Données projet'!$A$87:$I$107,2,0)</f>
        <v>0.18435897435897397</v>
      </c>
      <c r="BB5" s="12">
        <f>VLOOKUP(A5,'Données projet'!$A$87:$I$107,9,0)</f>
        <v>9.2179487179486985E-2</v>
      </c>
      <c r="BC5" s="12">
        <f t="array" ref="BC5">INDEX(BB:BB,MIN(IF(ISNUMBER(BB5:BB201),ROW(BB5:BB201),"")))</f>
        <v>9.2179487179486985E-2</v>
      </c>
      <c r="BD5" s="12">
        <f>IF('Données projet'!$A$88&gt;35,BD4+BC5-BL4,IF(A5&lt;'Données projet'!$A$88,$BA$205^A5,IF(A5='Données projet'!$A$88,'Données projet'!$B$88,BD4+BC5-BL4)))</f>
        <v>0.18435897435897397</v>
      </c>
      <c r="BE5" s="13">
        <f>BD5*VLOOKUP('Données projet'!$B$11,Paramètres!$A$1:$I$89,3,0)*VLOOKUP('Données projet'!$B$11,Paramètres!$A$1:$I$89,5,0)</f>
        <v>9.6633599999999806E-2</v>
      </c>
      <c r="BF5" s="13">
        <f t="shared" ref="BF5:BF68" si="37">EXP(-1.0587+0.8836*LN(BE5)+0.284)</f>
        <v>5.8453605774150506E-2</v>
      </c>
      <c r="BG5" s="20">
        <f t="shared" si="7"/>
        <v>0.27011021672331176</v>
      </c>
      <c r="BH5" s="59">
        <f t="shared" si="8"/>
        <v>259.38122132783445</v>
      </c>
      <c r="BI5" s="59">
        <f ca="1">AVERAGE(OFFSET($BH$3,0,0,'Données projet'!$E$11+1,1))-AVERAGE(OFFSET($H$3,0,0,'Données projet'!$E$11+1,1))</f>
        <v>119.99995828001613</v>
      </c>
      <c r="BJ5" s="59">
        <f t="shared" ref="BJ5:BJ68" si="38">$BJ$3</f>
        <v>317.56542444086261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264.35843416345045</v>
      </c>
      <c r="S6" s="59">
        <f ca="1">AVERAGE(OFFSET($R$3,0,0,'Données projet'!$E$9+1,1))-AVERAGE(OFFSET($H$3,0,0,'Données projet'!$E$9+1,1))</f>
        <v>323.17232038705157</v>
      </c>
      <c r="T6" s="59">
        <f t="shared" si="34"/>
        <v>402.34685738619197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263.57673872359732</v>
      </c>
      <c r="AN6" s="59">
        <f ca="1">AVERAGE(OFFSET($AM$3,0,0,'Données projet'!$E$10+1,1))-AVERAGE(OFFSET($H$3,0,0,'Données projet'!$E$10+1,1))</f>
        <v>355.09162485318728</v>
      </c>
      <c r="AO6" s="59">
        <f t="shared" si="36"/>
        <v>320.06572891923685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>
        <f>VLOOKUP(A6,'Données projet'!$A$87:$I$107,2,0)</f>
        <v>2.31</v>
      </c>
      <c r="BB6" s="12">
        <f>VLOOKUP(A6,'Données projet'!$A$87:$I$107,9,0)</f>
        <v>2.1256410256410261</v>
      </c>
      <c r="BC6" s="12">
        <f t="array" ref="BC6">INDEX(BB:BB,MIN(IF(ISNUMBER(BB6:BB202),ROW(BB6:BB202),"")))</f>
        <v>2.1256410256410261</v>
      </c>
      <c r="BD6" s="12">
        <f>IF('Données projet'!$A$88&gt;35,BD5+BC6-BL5,IF(A6&lt;'Données projet'!$A$88,$BA$205^A6,IF(A6='Données projet'!$A$88,'Données projet'!$B$88,BD5+BC6-BL5)))</f>
        <v>2.31</v>
      </c>
      <c r="BE6" s="13">
        <f>BD6*VLOOKUP('Données projet'!$B$11,Paramètres!$A$1:$I$89,3,0)*VLOOKUP('Données projet'!$B$11,Paramètres!$A$1:$I$89,5,0)</f>
        <v>1.2108096000000002</v>
      </c>
      <c r="BF6" s="13">
        <f t="shared" si="37"/>
        <v>0.54570494710365358</v>
      </c>
      <c r="BG6" s="20">
        <f t="shared" si="7"/>
        <v>3.0592628362055301</v>
      </c>
      <c r="BH6" s="59">
        <f t="shared" si="8"/>
        <v>263.39259616953882</v>
      </c>
      <c r="BI6" s="59">
        <f ca="1">AVERAGE(OFFSET($BH$3,0,0,'Données projet'!$E$11+1,1))-AVERAGE(OFFSET($H$3,0,0,'Données projet'!$E$11+1,1))</f>
        <v>119.99995828001613</v>
      </c>
      <c r="BJ6" s="59">
        <f t="shared" si="38"/>
        <v>317.56542444086261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267.09028756892366</v>
      </c>
      <c r="S7" s="59">
        <f ca="1">AVERAGE(OFFSET($R$3,0,0,'Données projet'!$E$9+1,1))-AVERAGE(OFFSET($H$3,0,0,'Données projet'!$E$9+1,1))</f>
        <v>323.17232038705157</v>
      </c>
      <c r="T7" s="59">
        <f t="shared" si="34"/>
        <v>402.34685738619197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265.70465692324655</v>
      </c>
      <c r="AN7" s="59">
        <f ca="1">AVERAGE(OFFSET($AM$3,0,0,'Données projet'!$E$10+1,1))-AVERAGE(OFFSET($H$3,0,0,'Données projet'!$E$10+1,1))</f>
        <v>355.09162485318728</v>
      </c>
      <c r="AO7" s="59">
        <f t="shared" si="36"/>
        <v>320.06572891923685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>
        <f>VLOOKUP(A7,'Données projet'!$A$87:$I$107,2,0)</f>
        <v>6.6838461538461518</v>
      </c>
      <c r="BB7" s="12">
        <f>VLOOKUP(A7,'Données projet'!$A$87:$I$107,9,0)</f>
        <v>4.3738461538461522</v>
      </c>
      <c r="BC7" s="12">
        <f t="array" ref="BC7">INDEX(BB:BB,MIN(IF(ISNUMBER(BB7:BB203),ROW(BB7:BB203),"")))</f>
        <v>4.3738461538461522</v>
      </c>
      <c r="BD7" s="12">
        <f>IF('Données projet'!$A$88&gt;35,BD6+BC7-BL6,IF(A7&lt;'Données projet'!$A$88,$BA$205^A7,IF(A7='Données projet'!$A$88,'Données projet'!$B$88,BD6+BC7-BL6)))</f>
        <v>6.6838461538461527</v>
      </c>
      <c r="BE7" s="13">
        <f>BD7*VLOOKUP('Données projet'!$B$11,Paramètres!$A$1:$I$89,3,0)*VLOOKUP('Données projet'!$B$11,Paramètres!$A$1:$I$89,5,0)</f>
        <v>3.5034047999999993</v>
      </c>
      <c r="BF7" s="13">
        <f t="shared" si="37"/>
        <v>1.395287527893899</v>
      </c>
      <c r="BG7" s="20">
        <f t="shared" si="7"/>
        <v>8.5318891377485393</v>
      </c>
      <c r="BH7" s="59">
        <f t="shared" si="8"/>
        <v>270.08744469330406</v>
      </c>
      <c r="BI7" s="59">
        <f ca="1">AVERAGE(OFFSET($BH$3,0,0,'Données projet'!$E$11+1,1))-AVERAGE(OFFSET($H$3,0,0,'Données projet'!$E$11+1,1))</f>
        <v>119.99995828001613</v>
      </c>
      <c r="BJ7" s="59">
        <f t="shared" si="38"/>
        <v>317.56542444086261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270.39067287567633</v>
      </c>
      <c r="S8" s="59">
        <f ca="1">AVERAGE(OFFSET($R$3,0,0,'Données projet'!$E$9+1,1))-AVERAGE(OFFSET($H$3,0,0,'Données projet'!$E$9+1,1))</f>
        <v>323.17232038705157</v>
      </c>
      <c r="T8" s="59">
        <f t="shared" si="34"/>
        <v>402.34685738619197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268.08647394158317</v>
      </c>
      <c r="AN8" s="59">
        <f ca="1">AVERAGE(OFFSET($AM$3,0,0,'Données projet'!$E$10+1,1))-AVERAGE(OFFSET($H$3,0,0,'Données projet'!$E$10+1,1))</f>
        <v>355.09162485318728</v>
      </c>
      <c r="AO8" s="59">
        <f t="shared" si="36"/>
        <v>320.06572891923685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13.14935897435897</v>
      </c>
      <c r="BB8" s="12">
        <f>VLOOKUP(A8,'Données projet'!$A$87:$I$107,9,0)</f>
        <v>6.4655128205128181</v>
      </c>
      <c r="BC8" s="12">
        <f t="array" ref="BC8">INDEX(BB:BB,MIN(IF(ISNUMBER(BB8:BB204),ROW(BB8:BB204),"")))</f>
        <v>6.4655128205128181</v>
      </c>
      <c r="BD8" s="12">
        <f>IF('Données projet'!$A$88&gt;35,BD7+BC8-BL7,IF(A8&lt;'Données projet'!$A$88,$BA$205^A8,IF(A8='Données projet'!$A$88,'Données projet'!$B$88,BD7+BC8-BL7)))</f>
        <v>13.149358974358972</v>
      </c>
      <c r="BE8" s="13">
        <f>BD8*VLOOKUP('Données projet'!$B$11,Paramètres!$A$1:$I$89,3,0)*VLOOKUP('Données projet'!$B$11,Paramètres!$A$1:$I$89,5,0)</f>
        <v>6.8923679999999985</v>
      </c>
      <c r="BF8" s="13">
        <f t="shared" si="37"/>
        <v>2.5370815895349925</v>
      </c>
      <c r="BG8" s="20">
        <f t="shared" si="7"/>
        <v>16.422958035106777</v>
      </c>
      <c r="BH8" s="59">
        <f t="shared" si="8"/>
        <v>279.20073581288455</v>
      </c>
      <c r="BI8" s="59">
        <f ca="1">AVERAGE(OFFSET($BH$3,0,0,'Données projet'!$E$11+1,1))-AVERAGE(OFFSET($H$3,0,0,'Données projet'!$E$11+1,1))</f>
        <v>119.99995828001613</v>
      </c>
      <c r="BJ8" s="59">
        <f t="shared" si="38"/>
        <v>317.56542444086261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274.47452623666408</v>
      </c>
      <c r="S9" s="59">
        <f ca="1">AVERAGE(OFFSET($R$3,0,0,'Données projet'!$E$9+1,1))-AVERAGE(OFFSET($H$3,0,0,'Données projet'!$E$9+1,1))</f>
        <v>323.17232038705157</v>
      </c>
      <c r="T9" s="59">
        <f t="shared" si="34"/>
        <v>402.34685738619197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270.79362778693587</v>
      </c>
      <c r="AN9" s="59">
        <f ca="1">AVERAGE(OFFSET($AM$3,0,0,'Données projet'!$E$10+1,1))-AVERAGE(OFFSET($H$3,0,0,'Données projet'!$E$10+1,1))</f>
        <v>355.09162485318728</v>
      </c>
      <c r="AO9" s="59">
        <f t="shared" si="36"/>
        <v>320.06572891923685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>
        <f>VLOOKUP(A9,'Données projet'!$A$87:$I$107,2,0)</f>
        <v>21.549999999999997</v>
      </c>
      <c r="BB9" s="12">
        <f>VLOOKUP(A9,'Données projet'!$A$87:$I$107,9,0)</f>
        <v>8.4006410256410273</v>
      </c>
      <c r="BC9" s="12">
        <f t="array" ref="BC9">INDEX(BB:BB,MIN(IF(ISNUMBER(BB9:BB205),ROW(BB9:BB205),"")))</f>
        <v>8.4006410256410273</v>
      </c>
      <c r="BD9" s="12">
        <f>IF('Données projet'!$A$88&gt;35,BD8+BC9-BL8,IF(A9&lt;'Données projet'!$A$88,$BA$205^A9,IF(A9='Données projet'!$A$88,'Données projet'!$B$88,BD8+BC9-BL8)))</f>
        <v>21.549999999999997</v>
      </c>
      <c r="BE9" s="13">
        <f>BD9*VLOOKUP('Données projet'!$B$11,Paramètres!$A$1:$I$89,3,0)*VLOOKUP('Données projet'!$B$11,Paramètres!$A$1:$I$89,5,0)</f>
        <v>11.295648</v>
      </c>
      <c r="BF9" s="13">
        <f t="shared" si="37"/>
        <v>3.9255847444072547</v>
      </c>
      <c r="BG9" s="20">
        <f t="shared" si="7"/>
        <v>26.5103136965093</v>
      </c>
      <c r="BH9" s="59">
        <f t="shared" si="8"/>
        <v>290.51031369650929</v>
      </c>
      <c r="BI9" s="59">
        <f ca="1">AVERAGE(OFFSET($BH$3,0,0,'Données projet'!$E$11+1,1))-AVERAGE(OFFSET($H$3,0,0,'Données projet'!$E$11+1,1))</f>
        <v>119.99995828001613</v>
      </c>
      <c r="BJ9" s="59">
        <f t="shared" si="38"/>
        <v>317.56542444086261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279.63833146804814</v>
      </c>
      <c r="S10" s="59">
        <f ca="1">AVERAGE(OFFSET($R$3,0,0,'Données projet'!$E$9+1,1))-AVERAGE(OFFSET($H$3,0,0,'Données projet'!$E$9+1,1))</f>
        <v>323.17232038705157</v>
      </c>
      <c r="T10" s="59">
        <f t="shared" si="34"/>
        <v>402.34685738619197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273.91772515439823</v>
      </c>
      <c r="AN10" s="59">
        <f ca="1">AVERAGE(OFFSET($AM$3,0,0,'Données projet'!$E$10+1,1))-AVERAGE(OFFSET($H$3,0,0,'Données projet'!$E$10+1,1))</f>
        <v>355.09162485318728</v>
      </c>
      <c r="AO10" s="59">
        <f t="shared" si="36"/>
        <v>320.06572891923685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>
        <f>VLOOKUP(A10,'Données projet'!$A$87:$I$107,2,0)</f>
        <v>31.729230769230764</v>
      </c>
      <c r="BB10" s="12">
        <f>VLOOKUP(A10,'Données projet'!$A$87:$I$107,9,0)</f>
        <v>10.179230769230767</v>
      </c>
      <c r="BC10" s="12">
        <f t="array" ref="BC10">INDEX(BB:BB,MIN(IF(ISNUMBER(BB10:BB206),ROW(BB10:BB206),"")))</f>
        <v>10.179230769230767</v>
      </c>
      <c r="BD10" s="12">
        <f>IF('Données projet'!$A$88&gt;35,BD9+BC10-BL9,IF(A10&lt;'Données projet'!$A$88,$BA$205^A10,IF(A10='Données projet'!$A$88,'Données projet'!$B$88,BD9+BC10-BL9)))</f>
        <v>31.729230769230764</v>
      </c>
      <c r="BE10" s="13">
        <f>BD10*VLOOKUP('Données projet'!$B$11,Paramètres!$A$1:$I$89,3,0)*VLOOKUP('Données projet'!$B$11,Paramètres!$A$1:$I$89,5,0)</f>
        <v>16.631193599999996</v>
      </c>
      <c r="BF10" s="13">
        <f t="shared" si="37"/>
        <v>5.5253526035820979</v>
      </c>
      <c r="BG10" s="20">
        <f t="shared" si="7"/>
        <v>38.58931797123882</v>
      </c>
      <c r="BH10" s="59">
        <f t="shared" si="8"/>
        <v>303.81154019346104</v>
      </c>
      <c r="BI10" s="59">
        <f ca="1">AVERAGE(OFFSET($BH$3,0,0,'Données projet'!$E$11+1,1))-AVERAGE(OFFSET($H$3,0,0,'Données projet'!$E$11+1,1))</f>
        <v>119.99995828001613</v>
      </c>
      <c r="BJ10" s="59">
        <f t="shared" si="38"/>
        <v>317.56542444086261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286.29116111794826</v>
      </c>
      <c r="S11" s="59">
        <f ca="1">AVERAGE(OFFSET($R$3,0,0,'Données projet'!$E$9+1,1))-AVERAGE(OFFSET($H$3,0,0,'Données projet'!$E$9+1,1))</f>
        <v>323.17232038705157</v>
      </c>
      <c r="T11" s="59">
        <f t="shared" si="34"/>
        <v>402.34685738619197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277.57625349043491</v>
      </c>
      <c r="AN11" s="59">
        <f ca="1">AVERAGE(OFFSET($AM$3,0,0,'Données projet'!$E$10+1,1))-AVERAGE(OFFSET($H$3,0,0,'Données projet'!$E$10+1,1))</f>
        <v>355.09162485318728</v>
      </c>
      <c r="AO11" s="59">
        <f t="shared" si="36"/>
        <v>320.06572891923685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43.530512820512811</v>
      </c>
      <c r="BB11" s="12">
        <f>VLOOKUP(A11,'Données projet'!$A$87:$I$107,9,0)</f>
        <v>11.801282051282048</v>
      </c>
      <c r="BC11" s="12">
        <f t="array" ref="BC11">INDEX(BB:BB,MIN(IF(ISNUMBER(BB11:BB207),ROW(BB11:BB207),"")))</f>
        <v>11.801282051282048</v>
      </c>
      <c r="BD11" s="12">
        <f>IF('Données projet'!$A$88&gt;35,BD10+BC11-BL10,IF(A11&lt;'Données projet'!$A$88,$BA$205^A11,IF(A11='Données projet'!$A$88,'Données projet'!$B$88,BD10+BC11-BL10)))</f>
        <v>43.530512820512811</v>
      </c>
      <c r="BE11" s="13">
        <f>BD11*VLOOKUP('Données projet'!$B$11,Paramètres!$A$1:$I$89,3,0)*VLOOKUP('Données projet'!$B$11,Paramètres!$A$1:$I$89,5,0)</f>
        <v>22.816953599999998</v>
      </c>
      <c r="BF11" s="13">
        <f t="shared" si="37"/>
        <v>7.3064855977736274</v>
      </c>
      <c r="BG11" s="20">
        <f t="shared" si="7"/>
        <v>52.4649899361224</v>
      </c>
      <c r="BH11" s="59">
        <f t="shared" si="8"/>
        <v>318.90943438056684</v>
      </c>
      <c r="BI11" s="59">
        <f ca="1">AVERAGE(OFFSET($BH$3,0,0,'Données projet'!$E$11+1,1))-AVERAGE(OFFSET($H$3,0,0,'Données projet'!$E$11+1,1))</f>
        <v>119.99995828001613</v>
      </c>
      <c r="BJ11" s="59">
        <f t="shared" si="38"/>
        <v>317.56542444086261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294.9975687268884</v>
      </c>
      <c r="S12" s="59">
        <f ca="1">AVERAGE(OFFSET($R$3,0,0,'Données projet'!$E$9+1,1))-AVERAGE(OFFSET($H$3,0,0,'Données projet'!$E$9+1,1))</f>
        <v>323.17232038705157</v>
      </c>
      <c r="T12" s="59">
        <f t="shared" si="34"/>
        <v>402.34685738619197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281.91991548013488</v>
      </c>
      <c r="AN12" s="59">
        <f ca="1">AVERAGE(OFFSET($AM$3,0,0,'Données projet'!$E$10+1,1))-AVERAGE(OFFSET($H$3,0,0,'Données projet'!$E$10+1,1))</f>
        <v>355.09162485318728</v>
      </c>
      <c r="AO12" s="59">
        <f t="shared" si="36"/>
        <v>320.06572891923685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56.797307692307676</v>
      </c>
      <c r="BB12" s="12">
        <f>VLOOKUP(A12,'Données projet'!$A$87:$I$107,9,0)</f>
        <v>13.266794871794865</v>
      </c>
      <c r="BC12" s="12">
        <f t="array" ref="BC12">INDEX(BB:BB,MIN(IF(ISNUMBER(BB12:BB208),ROW(BB12:BB208),"")))</f>
        <v>13.266794871794865</v>
      </c>
      <c r="BD12" s="12">
        <f>IF('Données projet'!$A$88&gt;35,BD11+BC12-BL11,IF(A12&lt;'Données projet'!$A$88,$BA$205^A12,IF(A12='Données projet'!$A$88,'Données projet'!$B$88,BD11+BC12-BL11)))</f>
        <v>56.797307692307676</v>
      </c>
      <c r="BE12" s="13">
        <f>BD12*VLOOKUP('Données projet'!$B$11,Paramètres!$A$1:$I$89,3,0)*VLOOKUP('Données projet'!$B$11,Paramètres!$A$1:$I$89,5,0)</f>
        <v>29.770876799999996</v>
      </c>
      <c r="BF12" s="13">
        <f t="shared" si="37"/>
        <v>9.2426039809662441</v>
      </c>
      <c r="BG12" s="20">
        <f t="shared" si="7"/>
        <v>67.948479026849526</v>
      </c>
      <c r="BH12" s="59">
        <f t="shared" si="8"/>
        <v>335.61514569351618</v>
      </c>
      <c r="BI12" s="59">
        <f ca="1">AVERAGE(OFFSET($BH$3,0,0,'Données projet'!$E$11+1,1))-AVERAGE(OFFSET($H$3,0,0,'Données projet'!$E$11+1,1))</f>
        <v>119.99995828001613</v>
      </c>
      <c r="BJ12" s="59">
        <f t="shared" si="38"/>
        <v>317.56542444086261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306.53686927411997</v>
      </c>
      <c r="S13" s="59">
        <f ca="1">AVERAGE(OFFSET($R$3,0,0,'Données projet'!$E$9+1,1))-AVERAGE(OFFSET($H$3,0,0,'Données projet'!$E$9+1,1))</f>
        <v>323.17232038705157</v>
      </c>
      <c r="T13" s="59">
        <f t="shared" si="34"/>
        <v>402.34685738619197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287.14204799860295</v>
      </c>
      <c r="AN13" s="59">
        <f ca="1">AVERAGE(OFFSET($AM$3,0,0,'Données projet'!$E$10+1,1))-AVERAGE(OFFSET($H$3,0,0,'Données projet'!$E$10+1,1))</f>
        <v>355.09162485318728</v>
      </c>
      <c r="AO13" s="59">
        <f t="shared" si="36"/>
        <v>320.06572891923685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71.373076923076894</v>
      </c>
      <c r="BB13" s="12">
        <f>VLOOKUP(A13,'Données projet'!$A$87:$I$107,9,0)</f>
        <v>14.575769230769218</v>
      </c>
      <c r="BC13" s="12">
        <f t="array" ref="BC13">INDEX(BB:BB,MIN(IF(ISNUMBER(BB13:BB209),ROW(BB13:BB209),"")))</f>
        <v>14.575769230769218</v>
      </c>
      <c r="BD13" s="12">
        <f>IF('Données projet'!$A$88&gt;35,BD12+BC13-BL12,IF(A13&lt;'Données projet'!$A$88,$BA$205^A13,IF(A13='Données projet'!$A$88,'Données projet'!$B$88,BD12+BC13-BL12)))</f>
        <v>71.373076923076894</v>
      </c>
      <c r="BE13" s="13">
        <f>BD13*VLOOKUP('Données projet'!$B$11,Paramètres!$A$1:$I$89,3,0)*VLOOKUP('Données projet'!$B$11,Paramètres!$A$1:$I$89,5,0)</f>
        <v>37.410911999999989</v>
      </c>
      <c r="BF13" s="13">
        <f t="shared" si="37"/>
        <v>11.30975921255453</v>
      </c>
      <c r="BG13" s="20">
        <f t="shared" si="7"/>
        <v>84.855169028532458</v>
      </c>
      <c r="BH13" s="59">
        <f t="shared" si="8"/>
        <v>353.74405791742129</v>
      </c>
      <c r="BI13" s="59">
        <f ca="1">AVERAGE(OFFSET($BH$3,0,0,'Données projet'!$E$11+1,1))-AVERAGE(OFFSET($H$3,0,0,'Données projet'!$E$11+1,1))</f>
        <v>119.99995828001613</v>
      </c>
      <c r="BJ13" s="59">
        <f t="shared" si="38"/>
        <v>317.56542444086261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321.98508597343204</v>
      </c>
      <c r="S14" s="59">
        <f ca="1">AVERAGE(OFFSET($R$3,0,0,'Données projet'!$E$9+1,1))-AVERAGE(OFFSET($H$3,0,0,'Données projet'!$E$9+1,1))</f>
        <v>323.17232038705157</v>
      </c>
      <c r="T14" s="59">
        <f t="shared" si="34"/>
        <v>402.34685738619197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293.49071946613788</v>
      </c>
      <c r="AN14" s="59">
        <f ca="1">AVERAGE(OFFSET($AM$3,0,0,'Données projet'!$E$10+1,1))-AVERAGE(OFFSET($H$3,0,0,'Données projet'!$E$10+1,1))</f>
        <v>355.09162485318728</v>
      </c>
      <c r="AO14" s="59">
        <f t="shared" si="36"/>
        <v>320.06572891923685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87.101282051282055</v>
      </c>
      <c r="BB14" s="12">
        <f>VLOOKUP(A14,'Données projet'!$A$87:$I$107,9,0)</f>
        <v>15.728205128205161</v>
      </c>
      <c r="BC14" s="12">
        <f t="array" ref="BC14">INDEX(BB:BB,MIN(IF(ISNUMBER(BB14:BB210),ROW(BB14:BB210),"")))</f>
        <v>15.728205128205161</v>
      </c>
      <c r="BD14" s="12">
        <f>IF('Données projet'!$A$88&gt;35,BD13+BC14-BL13,IF(A14&lt;'Données projet'!$A$88,$BA$205^A14,IF(A14='Données projet'!$A$88,'Données projet'!$B$88,BD13+BC14-BL13)))</f>
        <v>87.101282051282055</v>
      </c>
      <c r="BE14" s="13">
        <f>BD14*VLOOKUP('Données projet'!$B$11,Paramètres!$A$1:$I$89,3,0)*VLOOKUP('Données projet'!$B$11,Paramètres!$A$1:$I$89,5,0)</f>
        <v>45.655008000000009</v>
      </c>
      <c r="BF14" s="13">
        <f t="shared" si="37"/>
        <v>13.485778915655812</v>
      </c>
      <c r="BG14" s="20">
        <f t="shared" si="7"/>
        <v>103.00353721143388</v>
      </c>
      <c r="BH14" s="59">
        <f t="shared" si="8"/>
        <v>373.11464832254501</v>
      </c>
      <c r="BI14" s="59">
        <f ca="1">AVERAGE(OFFSET($BH$3,0,0,'Données projet'!$E$11+1,1))-AVERAGE(OFFSET($H$3,0,0,'Données projet'!$E$11+1,1))</f>
        <v>119.99995828001613</v>
      </c>
      <c r="BJ14" s="59">
        <f t="shared" si="38"/>
        <v>317.56542444086261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342.82825243951993</v>
      </c>
      <c r="S15" s="59">
        <f ca="1">AVERAGE(OFFSET($R$3,0,0,'Données projet'!$E$9+1,1))-AVERAGE(OFFSET($H$3,0,0,'Données projet'!$E$9+1,1))</f>
        <v>323.17232038705157</v>
      </c>
      <c r="T15" s="59">
        <f t="shared" si="34"/>
        <v>402.34685738619197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301.28426917937514</v>
      </c>
      <c r="AN15" s="59">
        <f ca="1">AVERAGE(OFFSET($AM$3,0,0,'Données projet'!$E$10+1,1))-AVERAGE(OFFSET($H$3,0,0,'Données projet'!$E$10+1,1))</f>
        <v>355.09162485318728</v>
      </c>
      <c r="AO15" s="59">
        <f t="shared" si="36"/>
        <v>320.06572891923685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103.82538461538462</v>
      </c>
      <c r="BB15" s="12">
        <f>VLOOKUP(A15,'Données projet'!$A$87:$I$107,9,0)</f>
        <v>16.724102564102566</v>
      </c>
      <c r="BC15" s="12">
        <f t="array" ref="BC15">INDEX(BB:BB,MIN(IF(ISNUMBER(BB15:BB211),ROW(BB15:BB211),"")))</f>
        <v>16.724102564102566</v>
      </c>
      <c r="BD15" s="12">
        <f>IF('Données projet'!$A$88&gt;35,BD14+BC15-BL14,IF(A15&lt;'Données projet'!$A$88,$BA$205^A15,IF(A15='Données projet'!$A$88,'Données projet'!$B$88,BD14+BC15-BL14)))</f>
        <v>103.82538461538462</v>
      </c>
      <c r="BE15" s="13">
        <f>BD15*VLOOKUP('Données projet'!$B$11,Paramètres!$A$1:$I$89,3,0)*VLOOKUP('Données projet'!$B$11,Paramètres!$A$1:$I$89,5,0)</f>
        <v>54.421113600000012</v>
      </c>
      <c r="BF15" s="13">
        <f t="shared" si="37"/>
        <v>15.74984053678552</v>
      </c>
      <c r="BG15" s="20">
        <f t="shared" si="7"/>
        <v>122.21441178823478</v>
      </c>
      <c r="BH15" s="59">
        <f t="shared" si="8"/>
        <v>393.54774512156808</v>
      </c>
      <c r="BI15" s="59">
        <f ca="1">AVERAGE(OFFSET($BH$3,0,0,'Données projet'!$E$11+1,1))-AVERAGE(OFFSET($H$3,0,0,'Données projet'!$E$11+1,1))</f>
        <v>119.99995828001613</v>
      </c>
      <c r="BJ15" s="59">
        <f t="shared" si="38"/>
        <v>317.56542444086261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371.11909787600734</v>
      </c>
      <c r="S16" s="59">
        <f ca="1">AVERAGE(OFFSET($R$3,0,0,'Données projet'!$E$9+1,1))-AVERAGE(OFFSET($H$3,0,0,'Données projet'!$E$9+1,1))</f>
        <v>323.17232038705157</v>
      </c>
      <c r="T16" s="59">
        <f t="shared" si="34"/>
        <v>402.34685738619197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310.93127037385523</v>
      </c>
      <c r="AN16" s="59">
        <f ca="1">AVERAGE(OFFSET($AM$3,0,0,'Données projet'!$E$10+1,1))-AVERAGE(OFFSET($H$3,0,0,'Données projet'!$E$10+1,1))</f>
        <v>355.09162485318728</v>
      </c>
      <c r="AO16" s="59">
        <f t="shared" si="36"/>
        <v>320.06572891923685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121.38884615384613</v>
      </c>
      <c r="BB16" s="12">
        <f>VLOOKUP(A16,'Données projet'!$A$87:$I$107,9,0)</f>
        <v>17.56346153846151</v>
      </c>
      <c r="BC16" s="12">
        <f t="array" ref="BC16">INDEX(BB:BB,MIN(IF(ISNUMBER(BB16:BB212),ROW(BB16:BB212),"")))</f>
        <v>17.56346153846151</v>
      </c>
      <c r="BD16" s="12">
        <f>IF('Données projet'!$A$88&gt;35,BD15+BC16-BL15,IF(A16&lt;'Données projet'!$A$88,$BA$205^A16,IF(A16='Données projet'!$A$88,'Données projet'!$B$88,BD15+BC16-BL15)))</f>
        <v>121.38884615384613</v>
      </c>
      <c r="BE16" s="13">
        <f>BD16*VLOOKUP('Données projet'!$B$11,Paramètres!$A$1:$I$89,3,0)*VLOOKUP('Données projet'!$B$11,Paramètres!$A$1:$I$89,5,0)</f>
        <v>63.627177599999989</v>
      </c>
      <c r="BF16" s="13">
        <f t="shared" si="37"/>
        <v>18.082177096887371</v>
      </c>
      <c r="BG16" s="20">
        <f t="shared" si="7"/>
        <v>142.31045943041215</v>
      </c>
      <c r="BH16" s="59">
        <f t="shared" si="8"/>
        <v>414.86601498596769</v>
      </c>
      <c r="BI16" s="59">
        <f ca="1">AVERAGE(OFFSET($BH$3,0,0,'Données projet'!$E$11+1,1))-AVERAGE(OFFSET($H$3,0,0,'Données projet'!$E$11+1,1))</f>
        <v>119.99995828001613</v>
      </c>
      <c r="BJ16" s="59">
        <f t="shared" si="38"/>
        <v>317.56542444086261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409.69376705925629</v>
      </c>
      <c r="S17" s="59">
        <f ca="1">AVERAGE(OFFSET($R$3,0,0,'Données projet'!$E$9+1,1))-AVERAGE(OFFSET($H$3,0,0,'Données projet'!$E$9+1,1))</f>
        <v>323.17232038705157</v>
      </c>
      <c r="T17" s="59">
        <f t="shared" si="34"/>
        <v>402.34685738619197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322.95617942976799</v>
      </c>
      <c r="AN17" s="59">
        <f ca="1">AVERAGE(OFFSET($AM$3,0,0,'Données projet'!$E$10+1,1))-AVERAGE(OFFSET($H$3,0,0,'Données projet'!$E$10+1,1))</f>
        <v>355.09162485318728</v>
      </c>
      <c r="AO17" s="59">
        <f t="shared" si="36"/>
        <v>320.06572891923685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139.63512820512813</v>
      </c>
      <c r="BB17" s="12">
        <f>VLOOKUP(A17,'Données projet'!$A$87:$I$107,9,0)</f>
        <v>18.246282051281995</v>
      </c>
      <c r="BC17" s="12">
        <f t="array" ref="BC17">INDEX(BB:BB,MIN(IF(ISNUMBER(BB17:BB213),ROW(BB17:BB213),"")))</f>
        <v>18.246282051281995</v>
      </c>
      <c r="BD17" s="12">
        <f>IF('Données projet'!$A$88&gt;35,BD16+BC17-BL16,IF(A17&lt;'Données projet'!$A$88,$BA$205^A17,IF(A17='Données projet'!$A$88,'Données projet'!$B$88,BD16+BC17-BL16)))</f>
        <v>139.63512820512813</v>
      </c>
      <c r="BE17" s="13">
        <f>BD17*VLOOKUP('Données projet'!$B$11,Paramètres!$A$1:$I$89,3,0)*VLOOKUP('Données projet'!$B$11,Paramètres!$A$1:$I$89,5,0)</f>
        <v>73.191148799999965</v>
      </c>
      <c r="BF17" s="13">
        <f t="shared" si="37"/>
        <v>20.463864518460035</v>
      </c>
      <c r="BG17" s="20">
        <f t="shared" si="7"/>
        <v>163.11581486298448</v>
      </c>
      <c r="BH17" s="59">
        <f t="shared" si="8"/>
        <v>436.89359264076222</v>
      </c>
      <c r="BI17" s="59">
        <f ca="1">AVERAGE(OFFSET($BH$3,0,0,'Données projet'!$E$11+1,1))-AVERAGE(OFFSET($H$3,0,0,'Données projet'!$E$11+1,1))</f>
        <v>119.99995828001613</v>
      </c>
      <c r="BJ17" s="59">
        <f t="shared" si="38"/>
        <v>317.56542444086261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462.4716323901705</v>
      </c>
      <c r="S18" s="59">
        <f ca="1">AVERAGE(OFFSET($R$3,0,0,'Données projet'!$E$9+1,1))-AVERAGE(OFFSET($H$3,0,0,'Données projet'!$E$9+1,1))</f>
        <v>323.17232038705157</v>
      </c>
      <c r="T18" s="59">
        <f t="shared" si="34"/>
        <v>402.34685738619197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338.03229468332916</v>
      </c>
      <c r="AN18" s="59">
        <f ca="1">AVERAGE(OFFSET($AM$3,0,0,'Données projet'!$E$10+1,1))-AVERAGE(OFFSET($H$3,0,0,'Données projet'!$E$10+1,1))</f>
        <v>355.09162485318728</v>
      </c>
      <c r="AO18" s="59">
        <f t="shared" si="36"/>
        <v>320.06572891923685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158.40769230769226</v>
      </c>
      <c r="BB18" s="12">
        <f>VLOOKUP(A18,'Données projet'!$A$87:$I$107,9,0)</f>
        <v>18.772564102564132</v>
      </c>
      <c r="BC18" s="12">
        <f t="array" ref="BC18">INDEX(BB:BB,MIN(IF(ISNUMBER(BB18:BB214),ROW(BB18:BB214),"")))</f>
        <v>18.772564102564132</v>
      </c>
      <c r="BD18" s="12">
        <f>IF('Données projet'!$A$88&gt;35,BD17+BC18-BL17,IF(A18&lt;'Données projet'!$A$88,$BA$205^A18,IF(A18='Données projet'!$A$88,'Données projet'!$B$88,BD17+BC18-BL17)))</f>
        <v>158.40769230769226</v>
      </c>
      <c r="BE18" s="13">
        <f>BD18*VLOOKUP('Données projet'!$B$11,Paramètres!$A$1:$I$89,3,0)*VLOOKUP('Données projet'!$B$11,Paramètres!$A$1:$I$89,5,0)</f>
        <v>83.030975999999981</v>
      </c>
      <c r="BF18" s="13">
        <f t="shared" si="37"/>
        <v>22.87666197822114</v>
      </c>
      <c r="BG18" s="20">
        <f t="shared" si="7"/>
        <v>184.45580281206844</v>
      </c>
      <c r="BH18" s="59">
        <f t="shared" si="8"/>
        <v>459.45580281206844</v>
      </c>
      <c r="BI18" s="59">
        <f ca="1">AVERAGE(OFFSET($BH$3,0,0,'Données projet'!$E$11+1,1))-AVERAGE(OFFSET($H$3,0,0,'Données projet'!$E$11+1,1))</f>
        <v>119.99995828001613</v>
      </c>
      <c r="BJ18" s="59">
        <f t="shared" si="38"/>
        <v>317.56542444086261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423.03358770020975</v>
      </c>
      <c r="S19" s="59">
        <f ca="1">AVERAGE(OFFSET($R$3,0,0,'Données projet'!$E$9+1,1))-AVERAGE(OFFSET($H$3,0,0,'Données projet'!$E$9+1,1))</f>
        <v>323.17232038705157</v>
      </c>
      <c r="T19" s="59">
        <f t="shared" si="34"/>
        <v>402.34685738619197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357.02411282233345</v>
      </c>
      <c r="AN19" s="59">
        <f ca="1">AVERAGE(OFFSET($AM$3,0,0,'Données projet'!$E$10+1,1))-AVERAGE(OFFSET($H$3,0,0,'Données projet'!$E$10+1,1))</f>
        <v>355.09162485318728</v>
      </c>
      <c r="AO19" s="59">
        <f t="shared" si="36"/>
        <v>320.06572891923685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177.54999999999995</v>
      </c>
      <c r="BB19" s="12">
        <f>VLOOKUP(A19,'Données projet'!$A$87:$I$107,9,0)</f>
        <v>19.142307692307696</v>
      </c>
      <c r="BC19" s="12">
        <f t="array" ref="BC19">INDEX(BB:BB,MIN(IF(ISNUMBER(BB19:BB215),ROW(BB19:BB215),"")))</f>
        <v>19.142307692307696</v>
      </c>
      <c r="BD19" s="12">
        <f>IF('Données projet'!$A$88&gt;35,BD18+BC19-BL18,IF(A19&lt;'Données projet'!$A$88,$BA$205^A19,IF(A19='Données projet'!$A$88,'Données projet'!$B$88,BD18+BC19-BL18)))</f>
        <v>177.54999999999995</v>
      </c>
      <c r="BE19" s="13">
        <f>BD19*VLOOKUP('Données projet'!$B$11,Paramètres!$A$1:$I$89,3,0)*VLOOKUP('Données projet'!$B$11,Paramètres!$A$1:$I$89,5,0)</f>
        <v>93.064607999999993</v>
      </c>
      <c r="BF19" s="13">
        <f t="shared" si="37"/>
        <v>25.302888128569681</v>
      </c>
      <c r="BG19" s="20">
        <f t="shared" si="7"/>
        <v>206.15672242392552</v>
      </c>
      <c r="BH19" s="59">
        <f t="shared" si="8"/>
        <v>482.37894464614772</v>
      </c>
      <c r="BI19" s="59">
        <f ca="1">AVERAGE(OFFSET($BH$3,0,0,'Données projet'!$E$11+1,1))-AVERAGE(OFFSET($H$3,0,0,'Données projet'!$E$11+1,1))</f>
        <v>119.99995828001613</v>
      </c>
      <c r="BJ19" s="59">
        <f t="shared" si="38"/>
        <v>317.56542444086261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448.25187399121603</v>
      </c>
      <c r="S20" s="59">
        <f ca="1">AVERAGE(OFFSET($R$3,0,0,'Données projet'!$E$9+1,1))-AVERAGE(OFFSET($H$3,0,0,'Données projet'!$E$9+1,1))</f>
        <v>323.17232038705157</v>
      </c>
      <c r="T20" s="59">
        <f t="shared" si="34"/>
        <v>402.34685738619197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381.04176852843364</v>
      </c>
      <c r="AN20" s="59">
        <f ca="1">AVERAGE(OFFSET($AM$3,0,0,'Données projet'!$E$10+1,1))-AVERAGE(OFFSET($H$3,0,0,'Données projet'!$E$10+1,1))</f>
        <v>355.09162485318728</v>
      </c>
      <c r="AO20" s="59">
        <f t="shared" si="36"/>
        <v>320.06572891923685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196.90551282051274</v>
      </c>
      <c r="BB20" s="12">
        <f>VLOOKUP(A20,'Données projet'!$A$87:$I$107,9,0)</f>
        <v>19.355512820512786</v>
      </c>
      <c r="BC20" s="12">
        <f t="array" ref="BC20">INDEX(BB:BB,MIN(IF(ISNUMBER(BB20:BB216),ROW(BB20:BB216),"")))</f>
        <v>19.355512820512786</v>
      </c>
      <c r="BD20" s="12">
        <f>IF('Données projet'!$A$88&gt;35,BD19+BC20-BL19,IF(A20&lt;'Données projet'!$A$88,$BA$205^A20,IF(A20='Données projet'!$A$88,'Données projet'!$B$88,BD19+BC20-BL19)))</f>
        <v>196.90551282051274</v>
      </c>
      <c r="BE20" s="13">
        <f>BD20*VLOOKUP('Données projet'!$B$11,Paramètres!$A$1:$I$89,3,0)*VLOOKUP('Données projet'!$B$11,Paramètres!$A$1:$I$89,5,0)</f>
        <v>103.20999359999998</v>
      </c>
      <c r="BF20" s="13">
        <f t="shared" si="37"/>
        <v>27.725322347466896</v>
      </c>
      <c r="BG20" s="20">
        <f t="shared" si="7"/>
        <v>228.04567527517145</v>
      </c>
      <c r="BH20" s="59">
        <f t="shared" si="8"/>
        <v>505.4901197196159</v>
      </c>
      <c r="BI20" s="59">
        <f ca="1">AVERAGE(OFFSET($BH$3,0,0,'Données projet'!$E$11+1,1))-AVERAGE(OFFSET($H$3,0,0,'Données projet'!$E$11+1,1))</f>
        <v>119.99995828001613</v>
      </c>
      <c r="BJ20" s="59">
        <f t="shared" si="38"/>
        <v>317.56542444086261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473.39070630817372</v>
      </c>
      <c r="S21" s="59">
        <f ca="1">AVERAGE(OFFSET($R$3,0,0,'Données projet'!$E$9+1,1))-AVERAGE(OFFSET($H$3,0,0,'Données projet'!$E$9+1,1))</f>
        <v>323.17232038705157</v>
      </c>
      <c r="T21" s="59">
        <f t="shared" si="34"/>
        <v>402.34685738619197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411.51101212354814</v>
      </c>
      <c r="AN21" s="59">
        <f ca="1">AVERAGE(OFFSET($AM$3,0,0,'Données projet'!$E$10+1,1))-AVERAGE(OFFSET($H$3,0,0,'Données projet'!$E$10+1,1))</f>
        <v>355.09162485318728</v>
      </c>
      <c r="AO21" s="59">
        <f t="shared" si="36"/>
        <v>320.06572891923685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216.31769230769225</v>
      </c>
      <c r="BB21" s="12">
        <f>VLOOKUP(A21,'Données projet'!$A$87:$I$107,9,0)</f>
        <v>19.412179487179515</v>
      </c>
      <c r="BC21" s="12">
        <f t="array" ref="BC21">INDEX(BB:BB,MIN(IF(ISNUMBER(BB21:BB217),ROW(BB21:BB217),"")))</f>
        <v>19.412179487179515</v>
      </c>
      <c r="BD21" s="12">
        <f>IF('Données projet'!$A$88&gt;35,BD20+BC21-BL20,IF(A21&lt;'Données projet'!$A$88,$BA$205^A21,IF(A21='Données projet'!$A$88,'Données projet'!$B$88,BD20+BC21-BL20)))</f>
        <v>216.31769230769225</v>
      </c>
      <c r="BE21" s="13">
        <f>BD21*VLOOKUP('Données projet'!$B$11,Paramètres!$A$1:$I$89,3,0)*VLOOKUP('Données projet'!$B$11,Paramètres!$A$1:$I$89,5,0)</f>
        <v>113.38508159999999</v>
      </c>
      <c r="BF21" s="13">
        <f t="shared" si="37"/>
        <v>30.127123869305528</v>
      </c>
      <c r="BG21" s="20">
        <f t="shared" si="7"/>
        <v>249.95042452570706</v>
      </c>
      <c r="BH21" s="59">
        <f t="shared" si="8"/>
        <v>528.61709119237378</v>
      </c>
      <c r="BI21" s="59">
        <f ca="1">AVERAGE(OFFSET($BH$3,0,0,'Données projet'!$E$11+1,1))-AVERAGE(OFFSET($H$3,0,0,'Données projet'!$E$11+1,1))</f>
        <v>119.99995828001613</v>
      </c>
      <c r="BJ21" s="59">
        <f t="shared" si="38"/>
        <v>317.56542444086261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498.46122376348546</v>
      </c>
      <c r="S22" s="59">
        <f ca="1">AVERAGE(OFFSET($R$3,0,0,'Données projet'!$E$9+1,1))-AVERAGE(OFFSET($H$3,0,0,'Données projet'!$E$9+1,1))</f>
        <v>323.17232038705157</v>
      </c>
      <c r="T22" s="59">
        <f t="shared" si="34"/>
        <v>402.34685738619197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450.26316972602865</v>
      </c>
      <c r="AN22" s="59">
        <f ca="1">AVERAGE(OFFSET($AM$3,0,0,'Données projet'!$E$10+1,1))-AVERAGE(OFFSET($H$3,0,0,'Données projet'!$E$10+1,1))</f>
        <v>355.09162485318728</v>
      </c>
      <c r="AO22" s="59">
        <f t="shared" si="36"/>
        <v>320.06572891923685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235.63</v>
      </c>
      <c r="BB22" s="12">
        <f>VLOOKUP(A22,'Données projet'!$A$87:$I$107,9,0)</f>
        <v>19.312307692307741</v>
      </c>
      <c r="BC22" s="12">
        <f t="array" ref="BC22">INDEX(BB:BB,MIN(IF(ISNUMBER(BB22:BB218),ROW(BB22:BB218),"")))</f>
        <v>19.312307692307741</v>
      </c>
      <c r="BD22" s="12">
        <f>IF('Données projet'!$A$88&gt;35,BD21+BC22-BL21,IF(A22&lt;'Données projet'!$A$88,$BA$205^A22,IF(A22='Données projet'!$A$88,'Données projet'!$B$88,BD21+BC22-BL21)))</f>
        <v>235.63</v>
      </c>
      <c r="BE22" s="13">
        <f>BD22*VLOOKUP('Données projet'!$B$11,Paramètres!$A$1:$I$89,3,0)*VLOOKUP('Données projet'!$B$11,Paramètres!$A$1:$I$89,5,0)</f>
        <v>123.50782080000002</v>
      </c>
      <c r="BF22" s="13">
        <f t="shared" si="37"/>
        <v>32.49176390339327</v>
      </c>
      <c r="BG22" s="20">
        <f t="shared" si="7"/>
        <v>271.69927669174325</v>
      </c>
      <c r="BH22" s="59">
        <f t="shared" si="8"/>
        <v>551.58816558063211</v>
      </c>
      <c r="BI22" s="59">
        <f ca="1">AVERAGE(OFFSET($BH$3,0,0,'Données projet'!$E$11+1,1))-AVERAGE(OFFSET($H$3,0,0,'Données projet'!$E$11+1,1))</f>
        <v>119.99995828001613</v>
      </c>
      <c r="BJ22" s="59">
        <f t="shared" si="38"/>
        <v>317.56542444086261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523.47193012965295</v>
      </c>
      <c r="S23" s="59">
        <f ca="1">AVERAGE(OFFSET($R$3,0,0,'Données projet'!$E$9+1,1))-AVERAGE(OFFSET($H$3,0,0,'Données projet'!$E$9+1,1))</f>
        <v>323.17232038705157</v>
      </c>
      <c r="T23" s="59">
        <f t="shared" si="34"/>
        <v>402.34685738619197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411.35071247923725</v>
      </c>
      <c r="AN23" s="59">
        <f ca="1">AVERAGE(OFFSET($AM$3,0,0,'Données projet'!$E$10+1,1))-AVERAGE(OFFSET($H$3,0,0,'Données projet'!$E$10+1,1))</f>
        <v>355.09162485318728</v>
      </c>
      <c r="AO23" s="59">
        <f t="shared" si="36"/>
        <v>320.06572891923685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254.68589743589735</v>
      </c>
      <c r="BB23" s="12">
        <f>VLOOKUP(A23,'Données projet'!$A$87:$I$107,9,0)</f>
        <v>19.05589743589735</v>
      </c>
      <c r="BC23" s="12">
        <f t="array" ref="BC23">INDEX(BB:BB,MIN(IF(ISNUMBER(BB23:BB219),ROW(BB23:BB219),"")))</f>
        <v>19.05589743589735</v>
      </c>
      <c r="BD23" s="12">
        <f>IF('Données projet'!$A$88&gt;35,BD22+BC23-BL22,IF(A23&lt;'Données projet'!$A$88,$BA$205^A23,IF(A23='Données projet'!$A$88,'Données projet'!$B$88,BD22+BC23-BL22)))</f>
        <v>254.68589743589735</v>
      </c>
      <c r="BE23" s="13">
        <f>BD23*VLOOKUP('Données projet'!$B$11,Paramètres!$A$1:$I$89,3,0)*VLOOKUP('Données projet'!$B$11,Paramètres!$A$1:$I$89,5,0)</f>
        <v>133.49615999999997</v>
      </c>
      <c r="BF23" s="13">
        <f t="shared" si="37"/>
        <v>34.802967270670749</v>
      </c>
      <c r="BG23" s="20">
        <f t="shared" si="7"/>
        <v>293.12097999641816</v>
      </c>
      <c r="BH23" s="59">
        <f t="shared" si="8"/>
        <v>574.2320911075293</v>
      </c>
      <c r="BI23" s="59">
        <f ca="1">AVERAGE(OFFSET($BH$3,0,0,'Données projet'!$E$11+1,1))-AVERAGE(OFFSET($H$3,0,0,'Données projet'!$E$11+1,1))</f>
        <v>119.99995828001613</v>
      </c>
      <c r="BJ23" s="59">
        <f t="shared" si="38"/>
        <v>317.56542444086261</v>
      </c>
      <c r="BK23" s="15" t="str">
        <f>IF(ISNA(VLOOKUP(A23,'Données projet'!$A$87:$I$107,3,0)),0,VLOOKUP(A23,'Données projet'!$A$87:$I$107,3,0))</f>
        <v>CR</v>
      </c>
      <c r="BL23" s="15">
        <f>IF(ISNA(VLOOKUP(A23,'Données projet'!$A$87:$I$107,4,0)),0,VLOOKUP(A23,'Données projet'!$A$87:$I$107,4,0))</f>
        <v>254.68589743589735</v>
      </c>
      <c r="BM23" s="16">
        <f>IF(ISNA(VLOOKUP(A23,'Données projet'!$A$87:$I$107,5,0)),0%,VLOOKUP(A23,'Données projet'!$A$87:$I$107,5,0)*VLOOKUP('Données projet'!$B$11,Paramètres!$A$1:$I$89,7,0))</f>
        <v>0.42</v>
      </c>
      <c r="BN23" s="16">
        <f>IF(ISNA(VLOOKUP(A23,'Données projet'!$A$87:$I$107,6,0)),0%,VLOOKUP(A23,'Données projet'!$A$87:$I$107,6,0)*VLOOKUP('Données projet'!$B$11,Paramètres!$A$1:$I$89,7,0))</f>
        <v>0.09</v>
      </c>
      <c r="BO23" s="16">
        <f>IF(ISNA(VLOOKUP(A23,'Données projet'!$A$87:$I$107,7,0)),0%,VLOOKUP(A23,'Données projet'!$A$87:$I$107,7,0))</f>
        <v>0.15</v>
      </c>
      <c r="BP23" s="21">
        <f>EXP(-LN(2)/35)*BP22+(1-EXP(-LN(2)/35))/(LN(2)/35)*BL23*BM23*VLOOKUP('Données projet'!$B$11,Paramètres!$A$1:$I$89,3,0)*0.475*44/12</f>
        <v>61.981941277784379</v>
      </c>
      <c r="BQ23" s="21">
        <f>EXP(-LN(2)/25)*BQ22+(1-EXP(-LN(2)/25))/(LN(2)/25)*Calculateur!BL23*Calculateur!BN23*VLOOKUP('Données projet'!$B$11,Paramètres!$A$1:$I$89,3,0)*0.475*44/12</f>
        <v>13.229548876714839</v>
      </c>
      <c r="BR23" s="21">
        <f>EXP(-LN(2)/2)*BR22+(1-EXP(-LN(2)/2))/(LN(2)/2)*BL23*BO23*VLOOKUP('Données projet'!$B$11,Paramètres!$A$1:$I$89,3,0)*0.475*44/12</f>
        <v>18.89358299347008</v>
      </c>
      <c r="BS23" s="22">
        <f t="shared" si="9"/>
        <v>94.105073147969293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486.46177914245987</v>
      </c>
      <c r="S24" s="59">
        <f ca="1">AVERAGE(OFFSET($R$3,0,0,'Données projet'!$E$9+1,1))-AVERAGE(OFFSET($H$3,0,0,'Données projet'!$E$9+1,1))</f>
        <v>323.17232038705157</v>
      </c>
      <c r="T24" s="59">
        <f t="shared" si="34"/>
        <v>402.34685738619197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433.03769910908363</v>
      </c>
      <c r="AN24" s="59">
        <f ca="1">AVERAGE(OFFSET($AM$3,0,0,'Données projet'!$E$10+1,1))-AVERAGE(OFFSET($H$3,0,0,'Données projet'!$E$10+1,1))</f>
        <v>355.09162485318728</v>
      </c>
      <c r="AO24" s="59">
        <f t="shared" si="36"/>
        <v>320.06572891923685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119.99995828001613</v>
      </c>
      <c r="BJ24" s="59">
        <f t="shared" si="38"/>
        <v>317.56542444086261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60.766513214578247</v>
      </c>
      <c r="BQ24" s="21">
        <f>EXP(-LN(2)/25)*BQ23+(1-EXP(-LN(2)/25))/(LN(2)/25)*Calculateur!BL24*Calculateur!BN24*VLOOKUP('Données projet'!$B$11,Paramètres!$A$1:$I$89,3,0)*0.475*44/12</f>
        <v>12.867786166969333</v>
      </c>
      <c r="BR24" s="21">
        <f>EXP(-LN(2)/2)*BR23+(1-EXP(-LN(2)/2))/(LN(2)/2)*BL24*BO24*VLOOKUP('Données projet'!$B$11,Paramètres!$A$1:$I$89,3,0)*0.475*44/12</f>
        <v>13.359780655593525</v>
      </c>
      <c r="BS24" s="22">
        <f t="shared" si="9"/>
        <v>86.994080037141103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512.29228028871466</v>
      </c>
      <c r="S25" s="59">
        <f ca="1">AVERAGE(OFFSET($R$3,0,0,'Données projet'!$E$9+1,1))-AVERAGE(OFFSET($H$3,0,0,'Données projet'!$E$9+1,1))</f>
        <v>323.17232038705157</v>
      </c>
      <c r="T25" s="59">
        <f t="shared" si="34"/>
        <v>402.34685738619197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454.65838965455248</v>
      </c>
      <c r="AN25" s="59">
        <f ca="1">AVERAGE(OFFSET($AM$3,0,0,'Données projet'!$E$10+1,1))-AVERAGE(OFFSET($H$3,0,0,'Données projet'!$E$10+1,1))</f>
        <v>355.09162485318728</v>
      </c>
      <c r="AO25" s="59">
        <f t="shared" si="36"/>
        <v>320.06572891923685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119.99995828001613</v>
      </c>
      <c r="BJ25" s="59">
        <f t="shared" si="38"/>
        <v>317.56542444086261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59.57491895435367</v>
      </c>
      <c r="BQ25" s="21">
        <f>EXP(-LN(2)/25)*BQ24+(1-EXP(-LN(2)/25))/(LN(2)/25)*Calculateur!BL25*Calculateur!BN25*VLOOKUP('Données projet'!$B$11,Paramètres!$A$1:$I$89,3,0)*0.475*44/12</f>
        <v>12.515915877546092</v>
      </c>
      <c r="BR25" s="21">
        <f>EXP(-LN(2)/2)*BR24+(1-EXP(-LN(2)/2))/(LN(2)/2)*BL25*BO25*VLOOKUP('Données projet'!$B$11,Paramètres!$A$1:$I$89,3,0)*0.475*44/12</f>
        <v>9.4467914967350417</v>
      </c>
      <c r="BS25" s="22">
        <f t="shared" si="9"/>
        <v>81.537626328634815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538.06220131723376</v>
      </c>
      <c r="S26" s="59">
        <f ca="1">AVERAGE(OFFSET($R$3,0,0,'Données projet'!$E$9+1,1))-AVERAGE(OFFSET($H$3,0,0,'Données projet'!$E$9+1,1))</f>
        <v>323.17232038705157</v>
      </c>
      <c r="T26" s="59">
        <f t="shared" si="34"/>
        <v>402.34685738619197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476.22180764308666</v>
      </c>
      <c r="AN26" s="59">
        <f ca="1">AVERAGE(OFFSET($AM$3,0,0,'Données projet'!$E$10+1,1))-AVERAGE(OFFSET($H$3,0,0,'Données projet'!$E$10+1,1))</f>
        <v>355.09162485318728</v>
      </c>
      <c r="AO26" s="59">
        <f t="shared" si="36"/>
        <v>320.06572891923685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119.99995828001613</v>
      </c>
      <c r="BJ26" s="59">
        <f t="shared" si="38"/>
        <v>317.56542444086261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58.406691130771364</v>
      </c>
      <c r="BQ26" s="21">
        <f>EXP(-LN(2)/25)*BQ25+(1-EXP(-LN(2)/25))/(LN(2)/25)*Calculateur!BL26*Calculateur!BN26*VLOOKUP('Données projet'!$B$11,Paramètres!$A$1:$I$89,3,0)*0.475*44/12</f>
        <v>12.173667499691184</v>
      </c>
      <c r="BR26" s="21">
        <f>EXP(-LN(2)/2)*BR25+(1-EXP(-LN(2)/2))/(LN(2)/2)*BL26*BO26*VLOOKUP('Données projet'!$B$11,Paramètres!$A$1:$I$89,3,0)*0.475*44/12</f>
        <v>6.6798903277967634</v>
      </c>
      <c r="BS26" s="22">
        <f t="shared" si="9"/>
        <v>77.260248958259311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563.77823776243304</v>
      </c>
      <c r="S27" s="59">
        <f ca="1">AVERAGE(OFFSET($R$3,0,0,'Données projet'!$E$9+1,1))-AVERAGE(OFFSET($H$3,0,0,'Données projet'!$E$9+1,1))</f>
        <v>323.17232038705157</v>
      </c>
      <c r="T27" s="59">
        <f t="shared" si="34"/>
        <v>402.34685738619197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497.73489744686094</v>
      </c>
      <c r="AN27" s="59">
        <f ca="1">AVERAGE(OFFSET($AM$3,0,0,'Données projet'!$E$10+1,1))-AVERAGE(OFFSET($H$3,0,0,'Données projet'!$E$10+1,1))</f>
        <v>355.09162485318728</v>
      </c>
      <c r="AO27" s="59">
        <f t="shared" si="36"/>
        <v>320.06572891923685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119.99995828001613</v>
      </c>
      <c r="BJ27" s="59">
        <f t="shared" si="38"/>
        <v>317.56542444086261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57.261371542260896</v>
      </c>
      <c r="BQ27" s="21">
        <f>EXP(-LN(2)/25)*BQ26+(1-EXP(-LN(2)/25))/(LN(2)/25)*Calculateur!BL27*Calculateur!BN27*VLOOKUP('Données projet'!$B$11,Paramètres!$A$1:$I$89,3,0)*0.475*44/12</f>
        <v>11.840777921726778</v>
      </c>
      <c r="BR27" s="21">
        <f>EXP(-LN(2)/2)*BR26+(1-EXP(-LN(2)/2))/(LN(2)/2)*BL27*BO27*VLOOKUP('Données projet'!$B$11,Paramètres!$A$1:$I$89,3,0)*0.475*44/12</f>
        <v>4.7233957483675217</v>
      </c>
      <c r="BS27" s="22">
        <f t="shared" si="9"/>
        <v>73.825545212355195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589.44580703175382</v>
      </c>
      <c r="S28" s="59">
        <f ca="1">AVERAGE(OFFSET($R$3,0,0,'Données projet'!$E$9+1,1))-AVERAGE(OFFSET($H$3,0,0,'Données projet'!$E$9+1,1))</f>
        <v>323.17232038705157</v>
      </c>
      <c r="T28" s="59">
        <f t="shared" si="34"/>
        <v>402.34685738619197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467.4076465829018</v>
      </c>
      <c r="AN28" s="59">
        <f ca="1">AVERAGE(OFFSET($AM$3,0,0,'Données projet'!$E$10+1,1))-AVERAGE(OFFSET($H$3,0,0,'Données projet'!$E$10+1,1))</f>
        <v>355.09162485318728</v>
      </c>
      <c r="AO28" s="59">
        <f t="shared" si="36"/>
        <v>320.06572891923685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119.99995828001613</v>
      </c>
      <c r="BJ28" s="59">
        <f t="shared" si="38"/>
        <v>317.56542444086261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56.138510972305149</v>
      </c>
      <c r="BQ28" s="21">
        <f>EXP(-LN(2)/25)*BQ27+(1-EXP(-LN(2)/25))/(LN(2)/25)*Calculateur!BL28*Calculateur!BN28*VLOOKUP('Données projet'!$B$11,Paramètres!$A$1:$I$89,3,0)*0.475*44/12</f>
        <v>11.51699122677771</v>
      </c>
      <c r="BR28" s="21">
        <f>EXP(-LN(2)/2)*BR27+(1-EXP(-LN(2)/2))/(LN(2)/2)*BL28*BO28*VLOOKUP('Données projet'!$B$11,Paramètres!$A$1:$I$89,3,0)*0.475*44/12</f>
        <v>3.3399451638983821</v>
      </c>
      <c r="BS28" s="22">
        <f t="shared" si="9"/>
        <v>70.995447362981238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615.06937830309812</v>
      </c>
      <c r="S29" s="59">
        <f ca="1">AVERAGE(OFFSET($R$3,0,0,'Données projet'!$E$9+1,1))-AVERAGE(OFFSET($H$3,0,0,'Données projet'!$E$9+1,1))</f>
        <v>323.17232038705157</v>
      </c>
      <c r="T29" s="59">
        <f t="shared" si="34"/>
        <v>402.34685738619197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489.36212034305777</v>
      </c>
      <c r="AN29" s="59">
        <f ca="1">AVERAGE(OFFSET($AM$3,0,0,'Données projet'!$E$10+1,1))-AVERAGE(OFFSET($H$3,0,0,'Données projet'!$E$10+1,1))</f>
        <v>355.09162485318728</v>
      </c>
      <c r="AO29" s="59">
        <f t="shared" si="36"/>
        <v>320.06572891923685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119.99995828001613</v>
      </c>
      <c r="BJ29" s="59">
        <f t="shared" si="38"/>
        <v>317.56542444086261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55.037669013248909</v>
      </c>
      <c r="BQ29" s="21">
        <f>EXP(-LN(2)/25)*BQ28+(1-EXP(-LN(2)/25))/(LN(2)/25)*Calculateur!BL29*Calculateur!BN29*VLOOKUP('Données projet'!$B$11,Paramètres!$A$1:$I$89,3,0)*0.475*44/12</f>
        <v>11.202058496029228</v>
      </c>
      <c r="BR29" s="21">
        <f>EXP(-LN(2)/2)*BR28+(1-EXP(-LN(2)/2))/(LN(2)/2)*BL29*BO29*VLOOKUP('Données projet'!$B$11,Paramètres!$A$1:$I$89,3,0)*0.475*44/12</f>
        <v>2.3616978741837609</v>
      </c>
      <c r="BS29" s="22">
        <f t="shared" si="9"/>
        <v>68.601425383461901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580.97637907989588</v>
      </c>
      <c r="S30" s="59">
        <f ca="1">AVERAGE(OFFSET($R$3,0,0,'Données projet'!$E$9+1,1))-AVERAGE(OFFSET($H$3,0,0,'Données projet'!$E$9+1,1))</f>
        <v>323.17232038705157</v>
      </c>
      <c r="T30" s="59">
        <f t="shared" si="34"/>
        <v>402.34685738619197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511.26701619054973</v>
      </c>
      <c r="AN30" s="59">
        <f ca="1">AVERAGE(OFFSET($AM$3,0,0,'Données projet'!$E$10+1,1))-AVERAGE(OFFSET($H$3,0,0,'Données projet'!$E$10+1,1))</f>
        <v>355.09162485318728</v>
      </c>
      <c r="AO30" s="59">
        <f t="shared" si="36"/>
        <v>320.06572891923685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119.99995828001613</v>
      </c>
      <c r="BJ30" s="59">
        <f t="shared" si="38"/>
        <v>317.56542444086261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53.958413893562465</v>
      </c>
      <c r="BQ30" s="21">
        <f>EXP(-LN(2)/25)*BQ29+(1-EXP(-LN(2)/25))/(LN(2)/25)*Calculateur!BL30*Calculateur!BN30*VLOOKUP('Données projet'!$B$11,Paramètres!$A$1:$I$89,3,0)*0.475*44/12</f>
        <v>10.895737617364654</v>
      </c>
      <c r="BR30" s="21">
        <f>EXP(-LN(2)/2)*BR29+(1-EXP(-LN(2)/2))/(LN(2)/2)*BL30*BO30*VLOOKUP('Données projet'!$B$11,Paramètres!$A$1:$I$89,3,0)*0.475*44/12</f>
        <v>1.6699725819491911</v>
      </c>
      <c r="BS30" s="22">
        <f t="shared" si="9"/>
        <v>66.52412409287632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607.03077537060074</v>
      </c>
      <c r="S31" s="59">
        <f ca="1">AVERAGE(OFFSET($R$3,0,0,'Données projet'!$E$9+1,1))-AVERAGE(OFFSET($H$3,0,0,'Données projet'!$E$9+1,1))</f>
        <v>323.17232038705157</v>
      </c>
      <c r="T31" s="59">
        <f t="shared" si="34"/>
        <v>402.34685738619197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533.12761259389424</v>
      </c>
      <c r="AN31" s="59">
        <f ca="1">AVERAGE(OFFSET($AM$3,0,0,'Données projet'!$E$10+1,1))-AVERAGE(OFFSET($H$3,0,0,'Données projet'!$E$10+1,1))</f>
        <v>355.09162485318728</v>
      </c>
      <c r="AO31" s="59">
        <f t="shared" si="36"/>
        <v>320.06572891923685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119.99995828001613</v>
      </c>
      <c r="BJ31" s="59">
        <f t="shared" si="38"/>
        <v>317.56542444086261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52.900322308492449</v>
      </c>
      <c r="BQ31" s="21">
        <f>EXP(-LN(2)/25)*BQ30+(1-EXP(-LN(2)/25))/(LN(2)/25)*Calculateur!BL31*Calculateur!BN31*VLOOKUP('Données projet'!$B$11,Paramètres!$A$1:$I$89,3,0)*0.475*44/12</f>
        <v>10.597793099235879</v>
      </c>
      <c r="BR31" s="21">
        <f>EXP(-LN(2)/2)*BR30+(1-EXP(-LN(2)/2))/(LN(2)/2)*BL31*BO31*VLOOKUP('Données projet'!$B$11,Paramètres!$A$1:$I$89,3,0)*0.475*44/12</f>
        <v>1.1808489370918804</v>
      </c>
      <c r="BS31" s="22">
        <f t="shared" si="9"/>
        <v>64.678964344820201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633.04196336093889</v>
      </c>
      <c r="S32" s="59">
        <f ca="1">AVERAGE(OFFSET($R$3,0,0,'Données projet'!$E$9+1,1))-AVERAGE(OFFSET($H$3,0,0,'Données projet'!$E$9+1,1))</f>
        <v>323.17232038705157</v>
      </c>
      <c r="T32" s="59">
        <f t="shared" si="34"/>
        <v>402.34685738619197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554.94821423748954</v>
      </c>
      <c r="AN32" s="59">
        <f ca="1">AVERAGE(OFFSET($AM$3,0,0,'Données projet'!$E$10+1,1))-AVERAGE(OFFSET($H$3,0,0,'Données projet'!$E$10+1,1))</f>
        <v>355.09162485318728</v>
      </c>
      <c r="AO32" s="59">
        <f t="shared" si="36"/>
        <v>320.06572891923685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119.99995828001613</v>
      </c>
      <c r="BJ32" s="59">
        <f t="shared" si="38"/>
        <v>317.56542444086261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51.862979254033519</v>
      </c>
      <c r="BQ32" s="21">
        <f>EXP(-LN(2)/25)*BQ31+(1-EXP(-LN(2)/25))/(LN(2)/25)*Calculateur!BL32*Calculateur!BN32*VLOOKUP('Données projet'!$B$11,Paramètres!$A$1:$I$89,3,0)*0.475*44/12</f>
        <v>10.307995889623557</v>
      </c>
      <c r="BR32" s="21">
        <f>EXP(-LN(2)/2)*BR31+(1-EXP(-LN(2)/2))/(LN(2)/2)*BL32*BO32*VLOOKUP('Données projet'!$B$11,Paramètres!$A$1:$I$89,3,0)*0.475*44/12</f>
        <v>0.83498629097459554</v>
      </c>
      <c r="BS32" s="22">
        <f t="shared" si="9"/>
        <v>63.005961434631672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323.17232038705157</v>
      </c>
      <c r="T33" s="59">
        <f t="shared" si="34"/>
        <v>402.34685738619197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355.09162485318728</v>
      </c>
      <c r="AO33" s="59">
        <f t="shared" si="36"/>
        <v>320.06572891923685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119.99995828001613</v>
      </c>
      <c r="BJ33" s="59">
        <f t="shared" si="38"/>
        <v>317.56542444086261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50.845977864155735</v>
      </c>
      <c r="BQ33" s="21">
        <f>EXP(-LN(2)/25)*BQ32+(1-EXP(-LN(2)/25))/(LN(2)/25)*Calculateur!BL33*Calculateur!BN33*VLOOKUP('Données projet'!$B$11,Paramètres!$A$1:$I$89,3,0)*0.475*44/12</f>
        <v>10.026123199947856</v>
      </c>
      <c r="BR33" s="21">
        <f>EXP(-LN(2)/2)*BR32+(1-EXP(-LN(2)/2))/(LN(2)/2)*BL33*BO33*VLOOKUP('Données projet'!$B$11,Paramètres!$A$1:$I$89,3,0)*0.475*44/12</f>
        <v>0.59042446854594022</v>
      </c>
      <c r="BS33" s="22">
        <f t="shared" si="9"/>
        <v>61.462525532649529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323.17232038705157</v>
      </c>
      <c r="T34" s="59">
        <f t="shared" si="34"/>
        <v>402.34685738619197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355.09162485318728</v>
      </c>
      <c r="AO34" s="59">
        <f t="shared" si="36"/>
        <v>320.06572891923685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119.99995828001613</v>
      </c>
      <c r="BJ34" s="59">
        <f t="shared" si="38"/>
        <v>317.56542444086261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49.848919251223862</v>
      </c>
      <c r="BQ34" s="21">
        <f>EXP(-LN(2)/25)*BQ33+(1-EXP(-LN(2)/25))/(LN(2)/25)*Calculateur!BL34*Calculateur!BN34*VLOOKUP('Données projet'!$B$11,Paramètres!$A$1:$I$89,3,0)*0.475*44/12</f>
        <v>9.7519583337943772</v>
      </c>
      <c r="BR34" s="21">
        <f>EXP(-LN(2)/2)*BR33+(1-EXP(-LN(2)/2))/(LN(2)/2)*BL34*BO34*VLOOKUP('Données projet'!$B$11,Paramètres!$A$1:$I$89,3,0)*0.475*44/12</f>
        <v>0.41749314548729777</v>
      </c>
      <c r="BS34" s="22">
        <f t="shared" si="9"/>
        <v>60.018370730505538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323.17232038705157</v>
      </c>
      <c r="T35" s="59">
        <f t="shared" si="34"/>
        <v>402.34685738619197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355.09162485318728</v>
      </c>
      <c r="AO35" s="59">
        <f t="shared" si="36"/>
        <v>320.06572891923685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119.99995828001613</v>
      </c>
      <c r="BJ35" s="59">
        <f t="shared" si="38"/>
        <v>317.56542444086261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48.871412349545878</v>
      </c>
      <c r="BQ35" s="21">
        <f>EXP(-LN(2)/25)*BQ34+(1-EXP(-LN(2)/25))/(LN(2)/25)*Calculateur!BL35*Calculateur!BN35*VLOOKUP('Données projet'!$B$11,Paramètres!$A$1:$I$89,3,0)*0.475*44/12</f>
        <v>9.48529052032357</v>
      </c>
      <c r="BR35" s="21">
        <f>EXP(-LN(2)/2)*BR34+(1-EXP(-LN(2)/2))/(LN(2)/2)*BL35*BO35*VLOOKUP('Données projet'!$B$11,Paramètres!$A$1:$I$89,3,0)*0.475*44/12</f>
        <v>0.29521223427297011</v>
      </c>
      <c r="BS35" s="22">
        <f t="shared" si="9"/>
        <v>58.651915104142418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323.17232038705157</v>
      </c>
      <c r="T36" s="59">
        <f t="shared" si="34"/>
        <v>402.34685738619197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355.09162485318728</v>
      </c>
      <c r="AO36" s="59">
        <f t="shared" si="36"/>
        <v>320.06572891923685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119.99995828001613</v>
      </c>
      <c r="BJ36" s="59">
        <f t="shared" si="38"/>
        <v>317.56542444086261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47.913073761989459</v>
      </c>
      <c r="BQ36" s="21">
        <f>EXP(-LN(2)/25)*BQ35+(1-EXP(-LN(2)/25))/(LN(2)/25)*Calculateur!BL36*Calculateur!BN36*VLOOKUP('Données projet'!$B$11,Paramètres!$A$1:$I$89,3,0)*0.475*44/12</f>
        <v>9.2259147522355729</v>
      </c>
      <c r="BR36" s="21">
        <f>EXP(-LN(2)/2)*BR35+(1-EXP(-LN(2)/2))/(LN(2)/2)*BL36*BO36*VLOOKUP('Données projet'!$B$11,Paramètres!$A$1:$I$89,3,0)*0.475*44/12</f>
        <v>0.20874657274364888</v>
      </c>
      <c r="BS36" s="22">
        <f t="shared" si="9"/>
        <v>57.347735086968683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323.17232038705157</v>
      </c>
      <c r="T37" s="59">
        <f t="shared" si="34"/>
        <v>402.34685738619197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355.09162485318728</v>
      </c>
      <c r="AO37" s="59">
        <f t="shared" si="36"/>
        <v>320.06572891923685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119.99995828001613</v>
      </c>
      <c r="BJ37" s="59">
        <f t="shared" si="38"/>
        <v>317.56542444086261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46.973527609606201</v>
      </c>
      <c r="BQ37" s="21">
        <f>EXP(-LN(2)/25)*BQ36+(1-EXP(-LN(2)/25))/(LN(2)/25)*Calculateur!BL37*Calculateur!BN37*VLOOKUP('Données projet'!$B$11,Paramètres!$A$1:$I$89,3,0)*0.475*44/12</f>
        <v>8.9736316281659203</v>
      </c>
      <c r="BR37" s="21">
        <f>EXP(-LN(2)/2)*BR36+(1-EXP(-LN(2)/2))/(LN(2)/2)*BL37*BO37*VLOOKUP('Données projet'!$B$11,Paramètres!$A$1:$I$89,3,0)*0.475*44/12</f>
        <v>0.14760611713648505</v>
      </c>
      <c r="BS37" s="22">
        <f t="shared" si="9"/>
        <v>56.094765354908603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323.17232038705157</v>
      </c>
      <c r="T38" s="59">
        <f t="shared" si="34"/>
        <v>402.34685738619197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355.09162485318728</v>
      </c>
      <c r="AO38" s="59">
        <f t="shared" si="36"/>
        <v>320.06572891923685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119.99995828001613</v>
      </c>
      <c r="BJ38" s="59">
        <f t="shared" si="38"/>
        <v>317.56542444086261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46.052405384204611</v>
      </c>
      <c r="BQ38" s="21">
        <f>EXP(-LN(2)/25)*BQ37+(1-EXP(-LN(2)/25))/(LN(2)/25)*Calculateur!BL38*Calculateur!BN38*VLOOKUP('Données projet'!$B$11,Paramètres!$A$1:$I$89,3,0)*0.475*44/12</f>
        <v>8.7282471993909461</v>
      </c>
      <c r="BR38" s="21">
        <f>EXP(-LN(2)/2)*BR37+(1-EXP(-LN(2)/2))/(LN(2)/2)*BL38*BO38*VLOOKUP('Données projet'!$B$11,Paramètres!$A$1:$I$89,3,0)*0.475*44/12</f>
        <v>0.10437328637182444</v>
      </c>
      <c r="BS38" s="22">
        <f t="shared" si="9"/>
        <v>54.885025869967379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323.17232038705157</v>
      </c>
      <c r="T39" s="59">
        <f t="shared" si="34"/>
        <v>402.34685738619197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355.09162485318728</v>
      </c>
      <c r="AO39" s="59">
        <f t="shared" si="36"/>
        <v>320.06572891923685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119.99995828001613</v>
      </c>
      <c r="BJ39" s="59">
        <f t="shared" si="38"/>
        <v>317.56542444086261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45.149345803814064</v>
      </c>
      <c r="BQ39" s="21">
        <f>EXP(-LN(2)/25)*BQ38+(1-EXP(-LN(2)/25))/(LN(2)/25)*Calculateur!BL39*Calculateur!BN39*VLOOKUP('Données projet'!$B$11,Paramètres!$A$1:$I$89,3,0)*0.475*44/12</f>
        <v>8.4895728207250283</v>
      </c>
      <c r="BR39" s="21">
        <f>EXP(-LN(2)/2)*BR38+(1-EXP(-LN(2)/2))/(LN(2)/2)*BL39*BO39*VLOOKUP('Données projet'!$B$11,Paramètres!$A$1:$I$89,3,0)*0.475*44/12</f>
        <v>7.3803058568242527E-2</v>
      </c>
      <c r="BS39" s="22">
        <f t="shared" si="9"/>
        <v>53.71272168310734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323.17232038705157</v>
      </c>
      <c r="T40" s="59">
        <f t="shared" si="34"/>
        <v>402.34685738619197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355.09162485318728</v>
      </c>
      <c r="AO40" s="59">
        <f t="shared" si="36"/>
        <v>320.06572891923685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119.99995828001613</v>
      </c>
      <c r="BJ40" s="59">
        <f t="shared" si="38"/>
        <v>317.56542444086261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44.263994670983024</v>
      </c>
      <c r="BQ40" s="21">
        <f>EXP(-LN(2)/25)*BQ39+(1-EXP(-LN(2)/25))/(LN(2)/25)*Calculateur!BL40*Calculateur!BN40*VLOOKUP('Données projet'!$B$11,Paramètres!$A$1:$I$89,3,0)*0.475*44/12</f>
        <v>8.2574250054950706</v>
      </c>
      <c r="BR40" s="21">
        <f>EXP(-LN(2)/2)*BR39+(1-EXP(-LN(2)/2))/(LN(2)/2)*BL40*BO40*VLOOKUP('Données projet'!$B$11,Paramètres!$A$1:$I$89,3,0)*0.475*44/12</f>
        <v>5.2186643185912221E-2</v>
      </c>
      <c r="BS40" s="22">
        <f t="shared" si="9"/>
        <v>52.573606319664009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323.17232038705157</v>
      </c>
      <c r="T41" s="59">
        <f t="shared" si="34"/>
        <v>402.34685738619197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355.09162485318728</v>
      </c>
      <c r="AO41" s="59">
        <f t="shared" si="36"/>
        <v>320.06572891923685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119.99995828001613</v>
      </c>
      <c r="BJ41" s="59">
        <f t="shared" si="38"/>
        <v>317.56542444086261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43.396004733855932</v>
      </c>
      <c r="BQ41" s="21">
        <f>EXP(-LN(2)/25)*BQ40+(1-EXP(-LN(2)/25))/(LN(2)/25)*Calculateur!BL41*Calculateur!BN41*VLOOKUP('Données projet'!$B$11,Paramètres!$A$1:$I$89,3,0)*0.475*44/12</f>
        <v>8.0316252844807003</v>
      </c>
      <c r="BR41" s="21">
        <f>EXP(-LN(2)/2)*BR40+(1-EXP(-LN(2)/2))/(LN(2)/2)*BL41*BO41*VLOOKUP('Données projet'!$B$11,Paramètres!$A$1:$I$89,3,0)*0.475*44/12</f>
        <v>3.6901529284121264E-2</v>
      </c>
      <c r="BS41" s="22">
        <f t="shared" si="9"/>
        <v>51.464531547620751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323.17232038705157</v>
      </c>
      <c r="T42" s="59">
        <f t="shared" si="34"/>
        <v>402.34685738619197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355.09162485318728</v>
      </c>
      <c r="AO42" s="59">
        <f t="shared" si="36"/>
        <v>320.06572891923685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119.99995828001613</v>
      </c>
      <c r="BJ42" s="59">
        <f t="shared" si="38"/>
        <v>317.56542444086261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42.545035549974315</v>
      </c>
      <c r="BQ42" s="21">
        <f>EXP(-LN(2)/25)*BQ41+(1-EXP(-LN(2)/25))/(LN(2)/25)*Calculateur!BL42*Calculateur!BN42*VLOOKUP('Données projet'!$B$11,Paramètres!$A$1:$I$89,3,0)*0.475*44/12</f>
        <v>7.8120000687117583</v>
      </c>
      <c r="BR42" s="21">
        <f>EXP(-LN(2)/2)*BR41+(1-EXP(-LN(2)/2))/(LN(2)/2)*BL42*BO42*VLOOKUP('Données projet'!$B$11,Paramètres!$A$1:$I$89,3,0)*0.475*44/12</f>
        <v>2.609332159295611E-2</v>
      </c>
      <c r="BS42" s="22">
        <f t="shared" si="9"/>
        <v>50.383128940279029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323.17232038705157</v>
      </c>
      <c r="T43" s="59">
        <f t="shared" si="34"/>
        <v>402.34685738619197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355.09162485318728</v>
      </c>
      <c r="AO43" s="59">
        <f t="shared" si="36"/>
        <v>320.06572891923685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119.99995828001613</v>
      </c>
      <c r="BJ43" s="59">
        <f t="shared" si="38"/>
        <v>317.56542444086261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41.710753352748661</v>
      </c>
      <c r="BQ43" s="21">
        <f>EXP(-LN(2)/25)*BQ42+(1-EXP(-LN(2)/25))/(LN(2)/25)*Calculateur!BL43*Calculateur!BN43*VLOOKUP('Données projet'!$B$11,Paramètres!$A$1:$I$89,3,0)*0.475*44/12</f>
        <v>7.5983805160176061</v>
      </c>
      <c r="BR43" s="21">
        <f>EXP(-LN(2)/2)*BR42+(1-EXP(-LN(2)/2))/(LN(2)/2)*BL43*BO43*VLOOKUP('Données projet'!$B$11,Paramètres!$A$1:$I$89,3,0)*0.475*44/12</f>
        <v>1.8450764642060632E-2</v>
      </c>
      <c r="BS43" s="22">
        <f t="shared" si="9"/>
        <v>49.327584633408328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323.17232038705157</v>
      </c>
      <c r="T44" s="59">
        <f t="shared" si="34"/>
        <v>402.34685738619197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355.09162485318728</v>
      </c>
      <c r="AO44" s="59">
        <f t="shared" si="36"/>
        <v>320.06572891923685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119.99995828001613</v>
      </c>
      <c r="BJ44" s="59">
        <f t="shared" si="38"/>
        <v>317.56542444086261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40.892830920548711</v>
      </c>
      <c r="BQ44" s="21">
        <f>EXP(-LN(2)/25)*BQ43+(1-EXP(-LN(2)/25))/(LN(2)/25)*Calculateur!BL44*Calculateur!BN44*VLOOKUP('Données projet'!$B$11,Paramètres!$A$1:$I$89,3,0)*0.475*44/12</f>
        <v>7.3906024012256397</v>
      </c>
      <c r="BR44" s="21">
        <f>EXP(-LN(2)/2)*BR43+(1-EXP(-LN(2)/2))/(LN(2)/2)*BL44*BO44*VLOOKUP('Données projet'!$B$11,Paramètres!$A$1:$I$89,3,0)*0.475*44/12</f>
        <v>1.3046660796478055E-2</v>
      </c>
      <c r="BS44" s="22">
        <f t="shared" si="9"/>
        <v>48.29647998257083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323.17232038705157</v>
      </c>
      <c r="T45" s="59">
        <f t="shared" si="34"/>
        <v>402.34685738619197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355.09162485318728</v>
      </c>
      <c r="AO45" s="59">
        <f t="shared" si="36"/>
        <v>320.06572891923685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119.99995828001613</v>
      </c>
      <c r="BJ45" s="59">
        <f t="shared" si="38"/>
        <v>317.56542444086261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40.09094744836078</v>
      </c>
      <c r="BQ45" s="21">
        <f>EXP(-LN(2)/25)*BQ44+(1-EXP(-LN(2)/25))/(LN(2)/25)*Calculateur!BL45*Calculateur!BN45*VLOOKUP('Données projet'!$B$11,Paramètres!$A$1:$I$89,3,0)*0.475*44/12</f>
        <v>7.1885059899092356</v>
      </c>
      <c r="BR45" s="21">
        <f>EXP(-LN(2)/2)*BR44+(1-EXP(-LN(2)/2))/(LN(2)/2)*BL45*BO45*VLOOKUP('Données projet'!$B$11,Paramètres!$A$1:$I$89,3,0)*0.475*44/12</f>
        <v>9.2253823210303159E-3</v>
      </c>
      <c r="BS45" s="22">
        <f t="shared" si="9"/>
        <v>47.288678820591045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323.17232038705157</v>
      </c>
      <c r="T46" s="59">
        <f t="shared" si="34"/>
        <v>402.34685738619197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355.09162485318728</v>
      </c>
      <c r="AO46" s="59">
        <f t="shared" si="36"/>
        <v>320.06572891923685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119.99995828001613</v>
      </c>
      <c r="BJ46" s="59">
        <f t="shared" si="38"/>
        <v>317.56542444086261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39.304788421961831</v>
      </c>
      <c r="BQ46" s="21">
        <f>EXP(-LN(2)/25)*BQ45+(1-EXP(-LN(2)/25))/(LN(2)/25)*Calculateur!BL46*Calculateur!BN46*VLOOKUP('Données projet'!$B$11,Paramètres!$A$1:$I$89,3,0)*0.475*44/12</f>
        <v>6.9919359155880674</v>
      </c>
      <c r="BR46" s="21">
        <f>EXP(-LN(2)/2)*BR45+(1-EXP(-LN(2)/2))/(LN(2)/2)*BL46*BO46*VLOOKUP('Données projet'!$B$11,Paramètres!$A$1:$I$89,3,0)*0.475*44/12</f>
        <v>6.5233303982390276E-3</v>
      </c>
      <c r="BS46" s="22">
        <f t="shared" si="9"/>
        <v>46.303247667948135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323.17232038705157</v>
      </c>
      <c r="T47" s="59">
        <f t="shared" si="34"/>
        <v>402.34685738619197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355.09162485318728</v>
      </c>
      <c r="AO47" s="59">
        <f t="shared" si="36"/>
        <v>320.06572891923685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119.99995828001613</v>
      </c>
      <c r="BJ47" s="59">
        <f t="shared" si="38"/>
        <v>317.56542444086261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38.534045494560907</v>
      </c>
      <c r="BQ47" s="21">
        <f>EXP(-LN(2)/25)*BQ46+(1-EXP(-LN(2)/25))/(LN(2)/25)*Calculateur!BL47*Calculateur!BN47*VLOOKUP('Données projet'!$B$11,Paramètres!$A$1:$I$89,3,0)*0.475*44/12</f>
        <v>6.8007410602863825</v>
      </c>
      <c r="BR47" s="21">
        <f>EXP(-LN(2)/2)*BR46+(1-EXP(-LN(2)/2))/(LN(2)/2)*BL47*BO47*VLOOKUP('Données projet'!$B$11,Paramètres!$A$1:$I$89,3,0)*0.475*44/12</f>
        <v>4.6126911605151579E-3</v>
      </c>
      <c r="BS47" s="22">
        <f t="shared" si="9"/>
        <v>45.339399246007808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323.17232038705157</v>
      </c>
      <c r="T48" s="59">
        <f t="shared" si="34"/>
        <v>402.34685738619197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355.09162485318728</v>
      </c>
      <c r="AO48" s="59">
        <f t="shared" si="36"/>
        <v>320.06572891923685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119.99995828001613</v>
      </c>
      <c r="BJ48" s="59">
        <f t="shared" si="38"/>
        <v>317.56542444086261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37.778416365859549</v>
      </c>
      <c r="BQ48" s="21">
        <f>EXP(-LN(2)/25)*BQ47+(1-EXP(-LN(2)/25))/(LN(2)/25)*Calculateur!BL48*Calculateur!BN48*VLOOKUP('Données projet'!$B$11,Paramètres!$A$1:$I$89,3,0)*0.475*44/12</f>
        <v>6.6147744383574221</v>
      </c>
      <c r="BR48" s="21">
        <f>EXP(-LN(2)/2)*BR47+(1-EXP(-LN(2)/2))/(LN(2)/2)*BL48*BO48*VLOOKUP('Données projet'!$B$11,Paramètres!$A$1:$I$89,3,0)*0.475*44/12</f>
        <v>3.2616651991195138E-3</v>
      </c>
      <c r="BS48" s="22">
        <f t="shared" si="9"/>
        <v>44.39645246941609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323.17232038705157</v>
      </c>
      <c r="T49" s="59">
        <f t="shared" si="34"/>
        <v>402.34685738619197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355.09162485318728</v>
      </c>
      <c r="AO49" s="59">
        <f t="shared" si="36"/>
        <v>320.06572891923685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119.99995828001613</v>
      </c>
      <c r="BJ49" s="59">
        <f t="shared" si="38"/>
        <v>317.56542444086261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37.037604663483762</v>
      </c>
      <c r="BQ49" s="21">
        <f>EXP(-LN(2)/25)*BQ48+(1-EXP(-LN(2)/25))/(LN(2)/25)*Calculateur!BL49*Calculateur!BN49*VLOOKUP('Données projet'!$B$11,Paramètres!$A$1:$I$89,3,0)*0.475*44/12</f>
        <v>6.4338930834846693</v>
      </c>
      <c r="BR49" s="21">
        <f>EXP(-LN(2)/2)*BR48+(1-EXP(-LN(2)/2))/(LN(2)/2)*BL49*BO49*VLOOKUP('Données projet'!$B$11,Paramètres!$A$1:$I$89,3,0)*0.475*44/12</f>
        <v>2.306345580257579E-3</v>
      </c>
      <c r="BS49" s="22">
        <f t="shared" si="9"/>
        <v>43.47380409254869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323.17232038705157</v>
      </c>
      <c r="T50" s="59">
        <f t="shared" si="34"/>
        <v>402.34685738619197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355.09162485318728</v>
      </c>
      <c r="AO50" s="59">
        <f t="shared" si="36"/>
        <v>320.06572891923685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119.99995828001613</v>
      </c>
      <c r="BJ50" s="59">
        <f t="shared" si="38"/>
        <v>317.56542444086261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36.311319826741041</v>
      </c>
      <c r="BQ50" s="21">
        <f>EXP(-LN(2)/25)*BQ49+(1-EXP(-LN(2)/25))/(LN(2)/25)*Calculateur!BL50*Calculateur!BN50*VLOOKUP('Données projet'!$B$11,Paramètres!$A$1:$I$89,3,0)*0.475*44/12</f>
        <v>6.2579579387730488</v>
      </c>
      <c r="BR50" s="21">
        <f>EXP(-LN(2)/2)*BR49+(1-EXP(-LN(2)/2))/(LN(2)/2)*BL50*BO50*VLOOKUP('Données projet'!$B$11,Paramètres!$A$1:$I$89,3,0)*0.475*44/12</f>
        <v>1.6308325995597569E-3</v>
      </c>
      <c r="BS50" s="22">
        <f t="shared" si="9"/>
        <v>42.570908598113647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323.17232038705157</v>
      </c>
      <c r="T51" s="59">
        <f t="shared" si="34"/>
        <v>402.34685738619197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355.09162485318728</v>
      </c>
      <c r="AO51" s="59">
        <f t="shared" si="36"/>
        <v>320.06572891923685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119.99995828001613</v>
      </c>
      <c r="BJ51" s="59">
        <f t="shared" si="38"/>
        <v>317.56542444086261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35.59927699265684</v>
      </c>
      <c r="BQ51" s="21">
        <f>EXP(-LN(2)/25)*BQ50+(1-EXP(-LN(2)/25))/(LN(2)/25)*Calculateur!BL51*Calculateur!BN51*VLOOKUP('Données projet'!$B$11,Paramètres!$A$1:$I$89,3,0)*0.475*44/12</f>
        <v>6.0868337498455949</v>
      </c>
      <c r="BR51" s="21">
        <f>EXP(-LN(2)/2)*BR50+(1-EXP(-LN(2)/2))/(LN(2)/2)*BL51*BO51*VLOOKUP('Données projet'!$B$11,Paramètres!$A$1:$I$89,3,0)*0.475*44/12</f>
        <v>1.1531727901287895E-3</v>
      </c>
      <c r="BS51" s="22">
        <f t="shared" si="9"/>
        <v>41.687263915292561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323.17232038705157</v>
      </c>
      <c r="T52" s="59">
        <f t="shared" si="34"/>
        <v>402.34685738619197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355.09162485318728</v>
      </c>
      <c r="AO52" s="59">
        <f t="shared" si="36"/>
        <v>320.06572891923685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119.99995828001613</v>
      </c>
      <c r="BJ52" s="59">
        <f t="shared" si="38"/>
        <v>317.56542444086261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34.901196884245785</v>
      </c>
      <c r="BQ52" s="21">
        <f>EXP(-LN(2)/25)*BQ51+(1-EXP(-LN(2)/25))/(LN(2)/25)*Calculateur!BL52*Calculateur!BN52*VLOOKUP('Données projet'!$B$11,Paramètres!$A$1:$I$89,3,0)*0.475*44/12</f>
        <v>5.9203889608633915</v>
      </c>
      <c r="BR52" s="21">
        <f>EXP(-LN(2)/2)*BR51+(1-EXP(-LN(2)/2))/(LN(2)/2)*BL52*BO52*VLOOKUP('Données projet'!$B$11,Paramètres!$A$1:$I$89,3,0)*0.475*44/12</f>
        <v>8.1541629977987845E-4</v>
      </c>
      <c r="BS52" s="22">
        <f t="shared" si="9"/>
        <v>40.822401261408956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323.17232038705157</v>
      </c>
      <c r="T53" s="59">
        <f t="shared" si="34"/>
        <v>402.34685738619197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355.09162485318728</v>
      </c>
      <c r="AO53" s="59">
        <f t="shared" si="36"/>
        <v>320.06572891923685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119.99995828001613</v>
      </c>
      <c r="BJ53" s="59">
        <f t="shared" si="38"/>
        <v>317.56542444086261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34.216805700973843</v>
      </c>
      <c r="BQ53" s="21">
        <f>EXP(-LN(2)/25)*BQ52+(1-EXP(-LN(2)/25))/(LN(2)/25)*Calculateur!BL53*Calculateur!BN53*VLOOKUP('Données projet'!$B$11,Paramètres!$A$1:$I$89,3,0)*0.475*44/12</f>
        <v>5.7584956133888578</v>
      </c>
      <c r="BR53" s="21">
        <f>EXP(-LN(2)/2)*BR52+(1-EXP(-LN(2)/2))/(LN(2)/2)*BL53*BO53*VLOOKUP('Données projet'!$B$11,Paramètres!$A$1:$I$89,3,0)*0.475*44/12</f>
        <v>5.7658639506439474E-4</v>
      </c>
      <c r="BS53" s="22">
        <f t="shared" si="9"/>
        <v>39.975877900757766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323.17232038705157</v>
      </c>
      <c r="T54" s="59">
        <f t="shared" si="34"/>
        <v>402.34685738619197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355.09162485318728</v>
      </c>
      <c r="AO54" s="59">
        <f t="shared" si="36"/>
        <v>320.06572891923685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119.99995828001613</v>
      </c>
      <c r="BJ54" s="59">
        <f t="shared" si="38"/>
        <v>317.56542444086261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33.54583501136846</v>
      </c>
      <c r="BQ54" s="21">
        <f>EXP(-LN(2)/25)*BQ53+(1-EXP(-LN(2)/25))/(LN(2)/25)*Calculateur!BL54*Calculateur!BN54*VLOOKUP('Données projet'!$B$11,Paramètres!$A$1:$I$89,3,0)*0.475*44/12</f>
        <v>5.6010292480146164</v>
      </c>
      <c r="BR54" s="21">
        <f>EXP(-LN(2)/2)*BR53+(1-EXP(-LN(2)/2))/(LN(2)/2)*BL54*BO54*VLOOKUP('Données projet'!$B$11,Paramètres!$A$1:$I$89,3,0)*0.475*44/12</f>
        <v>4.0770814988993923E-4</v>
      </c>
      <c r="BS54" s="22">
        <f t="shared" si="9"/>
        <v>39.147271967532973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323.17232038705157</v>
      </c>
      <c r="T55" s="59">
        <f t="shared" si="34"/>
        <v>402.34685738619197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355.09162485318728</v>
      </c>
      <c r="AO55" s="59">
        <f t="shared" si="36"/>
        <v>320.06572891923685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119.99995828001613</v>
      </c>
      <c r="BJ55" s="59">
        <f t="shared" si="38"/>
        <v>317.56542444086261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32.888021647734533</v>
      </c>
      <c r="BQ55" s="21">
        <f>EXP(-LN(2)/25)*BQ54+(1-EXP(-LN(2)/25))/(LN(2)/25)*Calculateur!BL55*Calculateur!BN55*VLOOKUP('Données projet'!$B$11,Paramètres!$A$1:$I$89,3,0)*0.475*44/12</f>
        <v>5.4478688086823297</v>
      </c>
      <c r="BR55" s="21">
        <f>EXP(-LN(2)/2)*BR54+(1-EXP(-LN(2)/2))/(LN(2)/2)*BL55*BO55*VLOOKUP('Données projet'!$B$11,Paramètres!$A$1:$I$89,3,0)*0.475*44/12</f>
        <v>2.8829319753219737E-4</v>
      </c>
      <c r="BS55" s="22">
        <f t="shared" si="9"/>
        <v>38.336178749614398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323.17232038705157</v>
      </c>
      <c r="T56" s="59">
        <f t="shared" si="34"/>
        <v>402.34685738619197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355.09162485318728</v>
      </c>
      <c r="AO56" s="59">
        <f t="shared" si="36"/>
        <v>320.06572891923685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119.99995828001613</v>
      </c>
      <c r="BJ56" s="59">
        <f t="shared" si="38"/>
        <v>317.56542444086261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32.243107602934934</v>
      </c>
      <c r="BQ56" s="21">
        <f>EXP(-LN(2)/25)*BQ55+(1-EXP(-LN(2)/25))/(LN(2)/25)*Calculateur!BL56*Calculateur!BN56*VLOOKUP('Données projet'!$B$11,Paramètres!$A$1:$I$89,3,0)*0.475*44/12</f>
        <v>5.2988965496179423</v>
      </c>
      <c r="BR56" s="21">
        <f>EXP(-LN(2)/2)*BR55+(1-EXP(-LN(2)/2))/(LN(2)/2)*BL56*BO56*VLOOKUP('Données projet'!$B$11,Paramètres!$A$1:$I$89,3,0)*0.475*44/12</f>
        <v>2.0385407494496961E-4</v>
      </c>
      <c r="BS56" s="22">
        <f t="shared" si="9"/>
        <v>37.542208006627824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323.17232038705157</v>
      </c>
      <c r="T57" s="59">
        <f t="shared" si="34"/>
        <v>402.34685738619197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355.09162485318728</v>
      </c>
      <c r="AO57" s="59">
        <f t="shared" si="36"/>
        <v>320.06572891923685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119.99995828001613</v>
      </c>
      <c r="BJ57" s="59">
        <f t="shared" si="38"/>
        <v>317.56542444086261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31.610839929195127</v>
      </c>
      <c r="BQ57" s="21">
        <f>EXP(-LN(2)/25)*BQ56+(1-EXP(-LN(2)/25))/(LN(2)/25)*Calculateur!BL57*Calculateur!BN57*VLOOKUP('Données projet'!$B$11,Paramètres!$A$1:$I$89,3,0)*0.475*44/12</f>
        <v>5.1539979448117812</v>
      </c>
      <c r="BR57" s="21">
        <f>EXP(-LN(2)/2)*BR56+(1-EXP(-LN(2)/2))/(LN(2)/2)*BL57*BO57*VLOOKUP('Données projet'!$B$11,Paramètres!$A$1:$I$89,3,0)*0.475*44/12</f>
        <v>1.4414659876609869E-4</v>
      </c>
      <c r="BS57" s="22">
        <f t="shared" si="9"/>
        <v>36.764982020605672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323.17232038705157</v>
      </c>
      <c r="T58" s="59">
        <f t="shared" si="34"/>
        <v>402.34685738619197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355.09162485318728</v>
      </c>
      <c r="AO58" s="59">
        <f t="shared" si="36"/>
        <v>320.06572891923685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119.99995828001613</v>
      </c>
      <c r="BJ58" s="59">
        <f t="shared" si="38"/>
        <v>317.56542444086261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30.990970638892154</v>
      </c>
      <c r="BQ58" s="21">
        <f>EXP(-LN(2)/25)*BQ57+(1-EXP(-LN(2)/25))/(LN(2)/25)*Calculateur!BL58*Calculateur!BN58*VLOOKUP('Données projet'!$B$11,Paramètres!$A$1:$I$89,3,0)*0.475*44/12</f>
        <v>5.0130615999739305</v>
      </c>
      <c r="BR58" s="21">
        <f>EXP(-LN(2)/2)*BR57+(1-EXP(-LN(2)/2))/(LN(2)/2)*BL58*BO58*VLOOKUP('Données projet'!$B$11,Paramètres!$A$1:$I$89,3,0)*0.475*44/12</f>
        <v>1.0192703747248481E-4</v>
      </c>
      <c r="BS58" s="22">
        <f t="shared" si="9"/>
        <v>36.004134165903558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323.17232038705157</v>
      </c>
      <c r="T59" s="59">
        <f t="shared" si="34"/>
        <v>402.34685738619197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355.09162485318728</v>
      </c>
      <c r="AO59" s="59">
        <f t="shared" si="36"/>
        <v>320.06572891923685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119.99995828001613</v>
      </c>
      <c r="BJ59" s="59">
        <f t="shared" si="38"/>
        <v>317.56542444086261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30.383256607289091</v>
      </c>
      <c r="BQ59" s="21">
        <f>EXP(-LN(2)/25)*BQ58+(1-EXP(-LN(2)/25))/(LN(2)/25)*Calculateur!BL59*Calculateur!BN59*VLOOKUP('Données projet'!$B$11,Paramètres!$A$1:$I$89,3,0)*0.475*44/12</f>
        <v>4.8759791668971912</v>
      </c>
      <c r="BR59" s="21">
        <f>EXP(-LN(2)/2)*BR58+(1-EXP(-LN(2)/2))/(LN(2)/2)*BL59*BO59*VLOOKUP('Données projet'!$B$11,Paramètres!$A$1:$I$89,3,0)*0.475*44/12</f>
        <v>7.2073299383049343E-5</v>
      </c>
      <c r="BS59" s="22">
        <f t="shared" si="9"/>
        <v>35.259307847485665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323.17232038705157</v>
      </c>
      <c r="T60" s="59">
        <f t="shared" si="34"/>
        <v>402.34685738619197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355.09162485318728</v>
      </c>
      <c r="AO60" s="59">
        <f t="shared" si="36"/>
        <v>320.06572891923685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119.99995828001613</v>
      </c>
      <c r="BJ60" s="59">
        <f t="shared" si="38"/>
        <v>317.56542444086261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29.787459477176803</v>
      </c>
      <c r="BQ60" s="21">
        <f>EXP(-LN(2)/25)*BQ59+(1-EXP(-LN(2)/25))/(LN(2)/25)*Calculateur!BL60*Calculateur!BN60*VLOOKUP('Données projet'!$B$11,Paramètres!$A$1:$I$89,3,0)*0.475*44/12</f>
        <v>4.7426452601617877</v>
      </c>
      <c r="BR60" s="21">
        <f>EXP(-LN(2)/2)*BR59+(1-EXP(-LN(2)/2))/(LN(2)/2)*BL60*BO60*VLOOKUP('Données projet'!$B$11,Paramètres!$A$1:$I$89,3,0)*0.475*44/12</f>
        <v>5.0963518736242403E-5</v>
      </c>
      <c r="BS60" s="22">
        <f t="shared" si="9"/>
        <v>34.530155700857328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323.17232038705157</v>
      </c>
      <c r="T61" s="59">
        <f t="shared" si="34"/>
        <v>402.34685738619197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355.09162485318728</v>
      </c>
      <c r="AO61" s="59">
        <f t="shared" si="36"/>
        <v>320.06572891923685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119.99995828001613</v>
      </c>
      <c r="BJ61" s="59">
        <f t="shared" si="38"/>
        <v>317.56542444086261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29.20334556538565</v>
      </c>
      <c r="BQ61" s="21">
        <f>EXP(-LN(2)/25)*BQ60+(1-EXP(-LN(2)/25))/(LN(2)/25)*Calculateur!BL61*Calculateur!BN61*VLOOKUP('Données projet'!$B$11,Paramètres!$A$1:$I$89,3,0)*0.475*44/12</f>
        <v>4.6129573761177891</v>
      </c>
      <c r="BR61" s="21">
        <f>EXP(-LN(2)/2)*BR60+(1-EXP(-LN(2)/2))/(LN(2)/2)*BL61*BO61*VLOOKUP('Données projet'!$B$11,Paramètres!$A$1:$I$89,3,0)*0.475*44/12</f>
        <v>3.6036649691524671E-5</v>
      </c>
      <c r="BS61" s="22">
        <f t="shared" si="9"/>
        <v>33.816338978153127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323.17232038705157</v>
      </c>
      <c r="T62" s="59">
        <f t="shared" si="34"/>
        <v>402.34685738619197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355.09162485318728</v>
      </c>
      <c r="AO62" s="59">
        <f t="shared" si="36"/>
        <v>320.06572891923685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119.99995828001613</v>
      </c>
      <c r="BJ62" s="59">
        <f t="shared" si="38"/>
        <v>317.56542444086261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28.630685771130416</v>
      </c>
      <c r="BQ62" s="21">
        <f>EXP(-LN(2)/25)*BQ61+(1-EXP(-LN(2)/25))/(LN(2)/25)*Calculateur!BL62*Calculateur!BN62*VLOOKUP('Données projet'!$B$11,Paramètres!$A$1:$I$89,3,0)*0.475*44/12</f>
        <v>4.4868158140829628</v>
      </c>
      <c r="BR62" s="21">
        <f>EXP(-LN(2)/2)*BR61+(1-EXP(-LN(2)/2))/(LN(2)/2)*BL62*BO62*VLOOKUP('Données projet'!$B$11,Paramètres!$A$1:$I$89,3,0)*0.475*44/12</f>
        <v>2.5481759368121202E-5</v>
      </c>
      <c r="BS62" s="22">
        <f t="shared" si="9"/>
        <v>33.117527066972741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323.17232038705157</v>
      </c>
      <c r="T63" s="59">
        <f t="shared" si="34"/>
        <v>402.34685738619197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355.09162485318728</v>
      </c>
      <c r="AO63" s="59">
        <f t="shared" si="36"/>
        <v>320.06572891923685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119.99995828001613</v>
      </c>
      <c r="BJ63" s="59">
        <f t="shared" si="38"/>
        <v>317.56542444086261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28.069255486152542</v>
      </c>
      <c r="BQ63" s="21">
        <f>EXP(-LN(2)/25)*BQ62+(1-EXP(-LN(2)/25))/(LN(2)/25)*Calculateur!BL63*Calculateur!BN63*VLOOKUP('Données projet'!$B$11,Paramètres!$A$1:$I$89,3,0)*0.475*44/12</f>
        <v>4.3641235996954757</v>
      </c>
      <c r="BR63" s="21">
        <f>EXP(-LN(2)/2)*BR62+(1-EXP(-LN(2)/2))/(LN(2)/2)*BL63*BO63*VLOOKUP('Données projet'!$B$11,Paramètres!$A$1:$I$89,3,0)*0.475*44/12</f>
        <v>1.8018324845762336E-5</v>
      </c>
      <c r="BS63" s="22">
        <f t="shared" si="9"/>
        <v>32.433397104172862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323.17232038705157</v>
      </c>
      <c r="T64" s="59">
        <f t="shared" si="34"/>
        <v>402.34685738619197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355.09162485318728</v>
      </c>
      <c r="AO64" s="59">
        <f t="shared" si="36"/>
        <v>320.06572891923685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119.99995828001613</v>
      </c>
      <c r="BJ64" s="59">
        <f t="shared" si="38"/>
        <v>317.56542444086261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27.518834506624422</v>
      </c>
      <c r="BQ64" s="21">
        <f>EXP(-LN(2)/25)*BQ63+(1-EXP(-LN(2)/25))/(LN(2)/25)*Calculateur!BL64*Calculateur!BN64*VLOOKUP('Données projet'!$B$11,Paramètres!$A$1:$I$89,3,0)*0.475*44/12</f>
        <v>4.2447864103625168</v>
      </c>
      <c r="BR64" s="21">
        <f>EXP(-LN(2)/2)*BR63+(1-EXP(-LN(2)/2))/(LN(2)/2)*BL64*BO64*VLOOKUP('Données projet'!$B$11,Paramètres!$A$1:$I$89,3,0)*0.475*44/12</f>
        <v>1.2740879684060601E-5</v>
      </c>
      <c r="BS64" s="22">
        <f t="shared" si="9"/>
        <v>31.76363365786662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323.17232038705157</v>
      </c>
      <c r="T65" s="59">
        <f t="shared" si="34"/>
        <v>402.34685738619197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355.09162485318728</v>
      </c>
      <c r="AO65" s="59">
        <f t="shared" si="36"/>
        <v>320.06572891923685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119.99995828001613</v>
      </c>
      <c r="BJ65" s="59">
        <f t="shared" si="38"/>
        <v>317.56542444086261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26.979206946781201</v>
      </c>
      <c r="BQ65" s="21">
        <f>EXP(-LN(2)/25)*BQ64+(1-EXP(-LN(2)/25))/(LN(2)/25)*Calculateur!BL65*Calculateur!BN65*VLOOKUP('Données projet'!$B$11,Paramètres!$A$1:$I$89,3,0)*0.475*44/12</f>
        <v>4.128712502747538</v>
      </c>
      <c r="BR65" s="21">
        <f>EXP(-LN(2)/2)*BR64+(1-EXP(-LN(2)/2))/(LN(2)/2)*BL65*BO65*VLOOKUP('Données projet'!$B$11,Paramètres!$A$1:$I$89,3,0)*0.475*44/12</f>
        <v>9.0091624228811679E-6</v>
      </c>
      <c r="BS65" s="22">
        <f t="shared" si="9"/>
        <v>31.107928458691159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323.17232038705157</v>
      </c>
      <c r="T66" s="59">
        <f t="shared" si="34"/>
        <v>402.34685738619197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355.09162485318728</v>
      </c>
      <c r="AO66" s="59">
        <f t="shared" si="36"/>
        <v>320.06572891923685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119.99995828001613</v>
      </c>
      <c r="BJ66" s="59">
        <f t="shared" si="38"/>
        <v>317.56542444086261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26.450161154246196</v>
      </c>
      <c r="BQ66" s="21">
        <f>EXP(-LN(2)/25)*BQ65+(1-EXP(-LN(2)/25))/(LN(2)/25)*Calculateur!BL66*Calculateur!BN66*VLOOKUP('Données projet'!$B$11,Paramètres!$A$1:$I$89,3,0)*0.475*44/12</f>
        <v>4.0158126422403519</v>
      </c>
      <c r="BR66" s="21">
        <f>EXP(-LN(2)/2)*BR65+(1-EXP(-LN(2)/2))/(LN(2)/2)*BL66*BO66*VLOOKUP('Données projet'!$B$11,Paramètres!$A$1:$I$89,3,0)*0.475*44/12</f>
        <v>6.3704398420303004E-6</v>
      </c>
      <c r="BS66" s="22">
        <f t="shared" si="9"/>
        <v>30.465980166926389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323.17232038705157</v>
      </c>
      <c r="T67" s="59">
        <f t="shared" si="34"/>
        <v>402.34685738619197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355.09162485318728</v>
      </c>
      <c r="AO67" s="59">
        <f t="shared" si="36"/>
        <v>320.06572891923685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119.99995828001613</v>
      </c>
      <c r="BJ67" s="59">
        <f t="shared" si="38"/>
        <v>317.56542444086261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25.931489627016731</v>
      </c>
      <c r="BQ67" s="21">
        <f>EXP(-LN(2)/25)*BQ66+(1-EXP(-LN(2)/25))/(LN(2)/25)*Calculateur!BL67*Calculateur!BN67*VLOOKUP('Données projet'!$B$11,Paramètres!$A$1:$I$89,3,0)*0.475*44/12</f>
        <v>3.9060000343558809</v>
      </c>
      <c r="BR67" s="21">
        <f>EXP(-LN(2)/2)*BR66+(1-EXP(-LN(2)/2))/(LN(2)/2)*BL67*BO67*VLOOKUP('Données projet'!$B$11,Paramètres!$A$1:$I$89,3,0)*0.475*44/12</f>
        <v>4.5045812114405839E-6</v>
      </c>
      <c r="BS67" s="22">
        <f t="shared" si="9"/>
        <v>29.837494165953824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323.17232038705157</v>
      </c>
      <c r="T68" s="59">
        <f t="shared" si="34"/>
        <v>402.34685738619197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355.09162485318728</v>
      </c>
      <c r="AO68" s="59">
        <f t="shared" si="36"/>
        <v>320.06572891923685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119.99995828001613</v>
      </c>
      <c r="BJ68" s="59">
        <f t="shared" si="38"/>
        <v>317.56542444086261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25.422988932077843</v>
      </c>
      <c r="BQ68" s="21">
        <f>EXP(-LN(2)/25)*BQ67+(1-EXP(-LN(2)/25))/(LN(2)/25)*Calculateur!BL68*Calculateur!BN68*VLOOKUP('Données projet'!$B$11,Paramètres!$A$1:$I$89,3,0)*0.475*44/12</f>
        <v>3.7991902580088048</v>
      </c>
      <c r="BR68" s="21">
        <f>EXP(-LN(2)/2)*BR67+(1-EXP(-LN(2)/2))/(LN(2)/2)*BL68*BO68*VLOOKUP('Données projet'!$B$11,Paramètres!$A$1:$I$89,3,0)*0.475*44/12</f>
        <v>3.1852199210151502E-6</v>
      </c>
      <c r="BS68" s="22">
        <f t="shared" ref="BS68:BS131" si="63">SUM(BP68:BR68)</f>
        <v>29.22218237530657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323.17232038705157</v>
      </c>
      <c r="T69" s="59">
        <f t="shared" ref="T69:T132" si="88">$T$3</f>
        <v>402.34685738619197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355.09162485318728</v>
      </c>
      <c r="AO69" s="59">
        <f t="shared" ref="AO69:AO132" si="90">$AO$3</f>
        <v>320.06572891923685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119.99995828001613</v>
      </c>
      <c r="BJ69" s="59">
        <f t="shared" ref="BJ69:BJ132" si="92">$BJ$3</f>
        <v>317.56542444086261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24.924459625611906</v>
      </c>
      <c r="BQ69" s="21">
        <f>EXP(-LN(2)/25)*BQ68+(1-EXP(-LN(2)/25))/(LN(2)/25)*Calculateur!BL69*Calculateur!BN69*VLOOKUP('Données projet'!$B$11,Paramètres!$A$1:$I$89,3,0)*0.475*44/12</f>
        <v>3.6953012006128216</v>
      </c>
      <c r="BR69" s="21">
        <f>EXP(-LN(2)/2)*BR68+(1-EXP(-LN(2)/2))/(LN(2)/2)*BL69*BO69*VLOOKUP('Données projet'!$B$11,Paramètres!$A$1:$I$89,3,0)*0.475*44/12</f>
        <v>2.252290605720292E-6</v>
      </c>
      <c r="BS69" s="22">
        <f t="shared" si="63"/>
        <v>28.619763078515334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323.17232038705157</v>
      </c>
      <c r="T70" s="59">
        <f t="shared" si="88"/>
        <v>402.34685738619197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355.09162485318728</v>
      </c>
      <c r="AO70" s="59">
        <f t="shared" si="90"/>
        <v>320.06572891923685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119.99995828001613</v>
      </c>
      <c r="BJ70" s="59">
        <f t="shared" si="92"/>
        <v>317.56542444086261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24.435706174772914</v>
      </c>
      <c r="BQ70" s="21">
        <f>EXP(-LN(2)/25)*BQ69+(1-EXP(-LN(2)/25))/(LN(2)/25)*Calculateur!BL70*Calculateur!BN70*VLOOKUP('Données projet'!$B$11,Paramètres!$A$1:$I$89,3,0)*0.475*44/12</f>
        <v>3.5942529949546196</v>
      </c>
      <c r="BR70" s="21">
        <f>EXP(-LN(2)/2)*BR69+(1-EXP(-LN(2)/2))/(LN(2)/2)*BL70*BO70*VLOOKUP('Données projet'!$B$11,Paramètres!$A$1:$I$89,3,0)*0.475*44/12</f>
        <v>1.5926099605075751E-6</v>
      </c>
      <c r="BS70" s="22">
        <f t="shared" si="63"/>
        <v>28.029960762337495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323.17232038705157</v>
      </c>
      <c r="T71" s="59">
        <f t="shared" si="88"/>
        <v>402.34685738619197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355.09162485318728</v>
      </c>
      <c r="AO71" s="59">
        <f t="shared" si="90"/>
        <v>320.06572891923685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119.99995828001613</v>
      </c>
      <c r="BJ71" s="59">
        <f t="shared" si="92"/>
        <v>317.56542444086261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23.956536880994705</v>
      </c>
      <c r="BQ71" s="21">
        <f>EXP(-LN(2)/25)*BQ70+(1-EXP(-LN(2)/25))/(LN(2)/25)*Calculateur!BL71*Calculateur!BN71*VLOOKUP('Données projet'!$B$11,Paramètres!$A$1:$I$89,3,0)*0.475*44/12</f>
        <v>3.4959679577940355</v>
      </c>
      <c r="BR71" s="21">
        <f>EXP(-LN(2)/2)*BR70+(1-EXP(-LN(2)/2))/(LN(2)/2)*BL71*BO71*VLOOKUP('Données projet'!$B$11,Paramètres!$A$1:$I$89,3,0)*0.475*44/12</f>
        <v>1.126145302860146E-6</v>
      </c>
      <c r="BS71" s="22">
        <f t="shared" si="63"/>
        <v>27.452505964934044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323.17232038705157</v>
      </c>
      <c r="T72" s="59">
        <f t="shared" si="88"/>
        <v>402.34685738619197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355.09162485318728</v>
      </c>
      <c r="AO72" s="59">
        <f t="shared" si="90"/>
        <v>320.06572891923685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119.99995828001613</v>
      </c>
      <c r="BJ72" s="59">
        <f t="shared" si="92"/>
        <v>317.56542444086261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23.486763804803076</v>
      </c>
      <c r="BQ72" s="21">
        <f>EXP(-LN(2)/25)*BQ71+(1-EXP(-LN(2)/25))/(LN(2)/25)*Calculateur!BL72*Calculateur!BN72*VLOOKUP('Données projet'!$B$11,Paramètres!$A$1:$I$89,3,0)*0.475*44/12</f>
        <v>3.400370530143193</v>
      </c>
      <c r="BR72" s="21">
        <f>EXP(-LN(2)/2)*BR71+(1-EXP(-LN(2)/2))/(LN(2)/2)*BL72*BO72*VLOOKUP('Données projet'!$B$11,Paramètres!$A$1:$I$89,3,0)*0.475*44/12</f>
        <v>7.9630498025378755E-7</v>
      </c>
      <c r="BS72" s="22">
        <f t="shared" si="63"/>
        <v>26.887135131251249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323.17232038705157</v>
      </c>
      <c r="T73" s="59">
        <f t="shared" si="88"/>
        <v>402.34685738619197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355.09162485318728</v>
      </c>
      <c r="AO73" s="59">
        <f t="shared" si="90"/>
        <v>320.06572891923685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119.99995828001613</v>
      </c>
      <c r="BJ73" s="59">
        <f t="shared" si="92"/>
        <v>317.56542444086261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23.026202692102281</v>
      </c>
      <c r="BQ73" s="21">
        <f>EXP(-LN(2)/25)*BQ72+(1-EXP(-LN(2)/25))/(LN(2)/25)*Calculateur!BL73*Calculateur!BN73*VLOOKUP('Données projet'!$B$11,Paramètres!$A$1:$I$89,3,0)*0.475*44/12</f>
        <v>3.3073872191787128</v>
      </c>
      <c r="BR73" s="21">
        <f>EXP(-LN(2)/2)*BR72+(1-EXP(-LN(2)/2))/(LN(2)/2)*BL73*BO73*VLOOKUP('Données projet'!$B$11,Paramètres!$A$1:$I$89,3,0)*0.475*44/12</f>
        <v>5.6307265143007299E-7</v>
      </c>
      <c r="BS73" s="22">
        <f t="shared" si="63"/>
        <v>26.333590474353645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323.17232038705157</v>
      </c>
      <c r="T74" s="59">
        <f t="shared" si="88"/>
        <v>402.34685738619197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355.09162485318728</v>
      </c>
      <c r="AO74" s="59">
        <f t="shared" si="90"/>
        <v>320.06572891923685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119.99995828001613</v>
      </c>
      <c r="BJ74" s="59">
        <f t="shared" si="92"/>
        <v>317.56542444086261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22.574672901907007</v>
      </c>
      <c r="BQ74" s="21">
        <f>EXP(-LN(2)/25)*BQ73+(1-EXP(-LN(2)/25))/(LN(2)/25)*Calculateur!BL74*Calculateur!BN74*VLOOKUP('Données projet'!$B$11,Paramètres!$A$1:$I$89,3,0)*0.475*44/12</f>
        <v>3.2169465417423364</v>
      </c>
      <c r="BR74" s="21">
        <f>EXP(-LN(2)/2)*BR73+(1-EXP(-LN(2)/2))/(LN(2)/2)*BL74*BO74*VLOOKUP('Données projet'!$B$11,Paramètres!$A$1:$I$89,3,0)*0.475*44/12</f>
        <v>3.9815249012689378E-7</v>
      </c>
      <c r="BS74" s="22">
        <f t="shared" si="63"/>
        <v>25.791619841801836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323.17232038705157</v>
      </c>
      <c r="T75" s="59">
        <f t="shared" si="88"/>
        <v>402.34685738619197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355.09162485318728</v>
      </c>
      <c r="AO75" s="59">
        <f t="shared" si="90"/>
        <v>320.06572891923685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119.99995828001613</v>
      </c>
      <c r="BJ75" s="59">
        <f t="shared" si="92"/>
        <v>317.56542444086261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22.131997335491487</v>
      </c>
      <c r="BQ75" s="21">
        <f>EXP(-LN(2)/25)*BQ74+(1-EXP(-LN(2)/25))/(LN(2)/25)*Calculateur!BL75*Calculateur!BN75*VLOOKUP('Données projet'!$B$11,Paramètres!$A$1:$I$89,3,0)*0.475*44/12</f>
        <v>3.1289789693865262</v>
      </c>
      <c r="BR75" s="21">
        <f>EXP(-LN(2)/2)*BR74+(1-EXP(-LN(2)/2))/(LN(2)/2)*BL75*BO75*VLOOKUP('Données projet'!$B$11,Paramètres!$A$1:$I$89,3,0)*0.475*44/12</f>
        <v>2.815363257150365E-7</v>
      </c>
      <c r="BS75" s="22">
        <f t="shared" si="63"/>
        <v>25.260976586414341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323.17232038705157</v>
      </c>
      <c r="T76" s="59">
        <f t="shared" si="88"/>
        <v>402.34685738619197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355.09162485318728</v>
      </c>
      <c r="AO76" s="59">
        <f t="shared" si="90"/>
        <v>320.06572891923685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119.99995828001613</v>
      </c>
      <c r="BJ76" s="59">
        <f t="shared" si="92"/>
        <v>317.56542444086261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21.698002366927941</v>
      </c>
      <c r="BQ76" s="21">
        <f>EXP(-LN(2)/25)*BQ75+(1-EXP(-LN(2)/25))/(LN(2)/25)*Calculateur!BL76*Calculateur!BN76*VLOOKUP('Données projet'!$B$11,Paramètres!$A$1:$I$89,3,0)*0.475*44/12</f>
        <v>3.0434168749227992</v>
      </c>
      <c r="BR76" s="21">
        <f>EXP(-LN(2)/2)*BR75+(1-EXP(-LN(2)/2))/(LN(2)/2)*BL76*BO76*VLOOKUP('Données projet'!$B$11,Paramètres!$A$1:$I$89,3,0)*0.475*44/12</f>
        <v>1.9907624506344689E-7</v>
      </c>
      <c r="BS76" s="22">
        <f t="shared" si="63"/>
        <v>24.741419440926983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323.17232038705157</v>
      </c>
      <c r="T77" s="59">
        <f t="shared" si="88"/>
        <v>402.34685738619197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355.09162485318728</v>
      </c>
      <c r="AO77" s="59">
        <f t="shared" si="90"/>
        <v>320.06572891923685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119.99995828001613</v>
      </c>
      <c r="BJ77" s="59">
        <f t="shared" si="92"/>
        <v>317.56542444086261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21.272517774987133</v>
      </c>
      <c r="BQ77" s="21">
        <f>EXP(-LN(2)/25)*BQ76+(1-EXP(-LN(2)/25))/(LN(2)/25)*Calculateur!BL77*Calculateur!BN77*VLOOKUP('Données projet'!$B$11,Paramètres!$A$1:$I$89,3,0)*0.475*44/12</f>
        <v>2.9601944804316975</v>
      </c>
      <c r="BR77" s="21">
        <f>EXP(-LN(2)/2)*BR76+(1-EXP(-LN(2)/2))/(LN(2)/2)*BL77*BO77*VLOOKUP('Données projet'!$B$11,Paramètres!$A$1:$I$89,3,0)*0.475*44/12</f>
        <v>1.4076816285751825E-7</v>
      </c>
      <c r="BS77" s="22">
        <f t="shared" si="63"/>
        <v>24.232712396186994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323.17232038705157</v>
      </c>
      <c r="T78" s="59">
        <f t="shared" si="88"/>
        <v>402.34685738619197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355.09162485318728</v>
      </c>
      <c r="AO78" s="59">
        <f t="shared" si="90"/>
        <v>320.06572891923685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119.99995828001613</v>
      </c>
      <c r="BJ78" s="59">
        <f t="shared" si="92"/>
        <v>317.56542444086261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20.855376676374309</v>
      </c>
      <c r="BQ78" s="21">
        <f>EXP(-LN(2)/25)*BQ77+(1-EXP(-LN(2)/25))/(LN(2)/25)*Calculateur!BL78*Calculateur!BN78*VLOOKUP('Données projet'!$B$11,Paramètres!$A$1:$I$89,3,0)*0.475*44/12</f>
        <v>2.8792478066944307</v>
      </c>
      <c r="BR78" s="21">
        <f>EXP(-LN(2)/2)*BR77+(1-EXP(-LN(2)/2))/(LN(2)/2)*BL78*BO78*VLOOKUP('Données projet'!$B$11,Paramètres!$A$1:$I$89,3,0)*0.475*44/12</f>
        <v>9.9538122531723444E-8</v>
      </c>
      <c r="BS78" s="22">
        <f t="shared" si="63"/>
        <v>23.734624582606862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323.17232038705157</v>
      </c>
      <c r="T79" s="59">
        <f t="shared" si="88"/>
        <v>402.34685738619197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355.09162485318728</v>
      </c>
      <c r="AO79" s="59">
        <f t="shared" si="90"/>
        <v>320.06572891923685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119.99995828001613</v>
      </c>
      <c r="BJ79" s="59">
        <f t="shared" si="92"/>
        <v>317.56542444086261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20.446415460274334</v>
      </c>
      <c r="BQ79" s="21">
        <f>EXP(-LN(2)/25)*BQ78+(1-EXP(-LN(2)/25))/(LN(2)/25)*Calculateur!BL79*Calculateur!BN79*VLOOKUP('Données projet'!$B$11,Paramètres!$A$1:$I$89,3,0)*0.475*44/12</f>
        <v>2.80051462400731</v>
      </c>
      <c r="BR79" s="21">
        <f>EXP(-LN(2)/2)*BR78+(1-EXP(-LN(2)/2))/(LN(2)/2)*BL79*BO79*VLOOKUP('Données projet'!$B$11,Paramètres!$A$1:$I$89,3,0)*0.475*44/12</f>
        <v>7.0384081428759124E-8</v>
      </c>
      <c r="BS79" s="22">
        <f t="shared" si="63"/>
        <v>23.246930154665726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323.17232038705157</v>
      </c>
      <c r="T80" s="59">
        <f t="shared" si="88"/>
        <v>402.34685738619197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355.09162485318728</v>
      </c>
      <c r="AO80" s="59">
        <f t="shared" si="90"/>
        <v>320.06572891923685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119.99995828001613</v>
      </c>
      <c r="BJ80" s="59">
        <f t="shared" si="92"/>
        <v>317.56542444086261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20.045473724180368</v>
      </c>
      <c r="BQ80" s="21">
        <f>EXP(-LN(2)/25)*BQ79+(1-EXP(-LN(2)/25))/(LN(2)/25)*Calculateur!BL80*Calculateur!BN80*VLOOKUP('Données projet'!$B$11,Paramètres!$A$1:$I$89,3,0)*0.475*44/12</f>
        <v>2.7239344043411666</v>
      </c>
      <c r="BR80" s="21">
        <f>EXP(-LN(2)/2)*BR79+(1-EXP(-LN(2)/2))/(LN(2)/2)*BL80*BO80*VLOOKUP('Données projet'!$B$11,Paramètres!$A$1:$I$89,3,0)*0.475*44/12</f>
        <v>4.9769061265861722E-8</v>
      </c>
      <c r="BS80" s="22">
        <f t="shared" si="63"/>
        <v>22.769408178290593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323.17232038705157</v>
      </c>
      <c r="T81" s="59">
        <f t="shared" si="88"/>
        <v>402.34685738619197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355.09162485318728</v>
      </c>
      <c r="AO81" s="59">
        <f t="shared" si="90"/>
        <v>320.06572891923685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119.99995828001613</v>
      </c>
      <c r="BJ81" s="59">
        <f t="shared" si="92"/>
        <v>317.56542444086261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19.652394210980894</v>
      </c>
      <c r="BQ81" s="21">
        <f>EXP(-LN(2)/25)*BQ80+(1-EXP(-LN(2)/25))/(LN(2)/25)*Calculateur!BL81*Calculateur!BN81*VLOOKUP('Données projet'!$B$11,Paramètres!$A$1:$I$89,3,0)*0.475*44/12</f>
        <v>2.6494482748089729</v>
      </c>
      <c r="BR81" s="21">
        <f>EXP(-LN(2)/2)*BR80+(1-EXP(-LN(2)/2))/(LN(2)/2)*BL81*BO81*VLOOKUP('Données projet'!$B$11,Paramètres!$A$1:$I$89,3,0)*0.475*44/12</f>
        <v>3.5192040714379562E-8</v>
      </c>
      <c r="BS81" s="22">
        <f t="shared" si="63"/>
        <v>22.301842520981907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323.17232038705157</v>
      </c>
      <c r="T82" s="59">
        <f t="shared" si="88"/>
        <v>402.34685738619197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355.09162485318728</v>
      </c>
      <c r="AO82" s="59">
        <f t="shared" si="90"/>
        <v>320.06572891923685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119.99995828001613</v>
      </c>
      <c r="BJ82" s="59">
        <f t="shared" si="92"/>
        <v>317.56542444086261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19.267022747280432</v>
      </c>
      <c r="BQ82" s="21">
        <f>EXP(-LN(2)/25)*BQ81+(1-EXP(-LN(2)/25))/(LN(2)/25)*Calculateur!BL82*Calculateur!BN82*VLOOKUP('Données projet'!$B$11,Paramètres!$A$1:$I$89,3,0)*0.475*44/12</f>
        <v>2.5769989724058924</v>
      </c>
      <c r="BR82" s="21">
        <f>EXP(-LN(2)/2)*BR81+(1-EXP(-LN(2)/2))/(LN(2)/2)*BL82*BO82*VLOOKUP('Données projet'!$B$11,Paramètres!$A$1:$I$89,3,0)*0.475*44/12</f>
        <v>2.4884530632930861E-8</v>
      </c>
      <c r="BS82" s="22">
        <f t="shared" si="63"/>
        <v>21.844021744570856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323.17232038705157</v>
      </c>
      <c r="T83" s="59">
        <f t="shared" si="88"/>
        <v>402.34685738619197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355.09162485318728</v>
      </c>
      <c r="AO83" s="59">
        <f t="shared" si="90"/>
        <v>320.06572891923685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119.99995828001613</v>
      </c>
      <c r="BJ83" s="59">
        <f t="shared" si="92"/>
        <v>317.56542444086261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18.889208182929753</v>
      </c>
      <c r="BQ83" s="21">
        <f>EXP(-LN(2)/25)*BQ82+(1-EXP(-LN(2)/25))/(LN(2)/25)*Calculateur!BL83*Calculateur!BN83*VLOOKUP('Données projet'!$B$11,Paramètres!$A$1:$I$89,3,0)*0.475*44/12</f>
        <v>2.506530799986967</v>
      </c>
      <c r="BR83" s="21">
        <f>EXP(-LN(2)/2)*BR82+(1-EXP(-LN(2)/2))/(LN(2)/2)*BL83*BO83*VLOOKUP('Données projet'!$B$11,Paramètres!$A$1:$I$89,3,0)*0.475*44/12</f>
        <v>1.7596020357189781E-8</v>
      </c>
      <c r="BS83" s="22">
        <f t="shared" si="63"/>
        <v>21.395739000512737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323.17232038705157</v>
      </c>
      <c r="T84" s="59">
        <f t="shared" si="88"/>
        <v>402.34685738619197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355.09162485318728</v>
      </c>
      <c r="AO84" s="59">
        <f t="shared" si="90"/>
        <v>320.06572891923685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119.99995828001613</v>
      </c>
      <c r="BJ84" s="59">
        <f t="shared" si="92"/>
        <v>317.56542444086261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18.51880233174186</v>
      </c>
      <c r="BQ84" s="21">
        <f>EXP(-LN(2)/25)*BQ83+(1-EXP(-LN(2)/25))/(LN(2)/25)*Calculateur!BL84*Calculateur!BN84*VLOOKUP('Données projet'!$B$11,Paramètres!$A$1:$I$89,3,0)*0.475*44/12</f>
        <v>2.4379895834485974</v>
      </c>
      <c r="BR84" s="21">
        <f>EXP(-LN(2)/2)*BR83+(1-EXP(-LN(2)/2))/(LN(2)/2)*BL84*BO84*VLOOKUP('Données projet'!$B$11,Paramètres!$A$1:$I$89,3,0)*0.475*44/12</f>
        <v>1.244226531646543E-8</v>
      </c>
      <c r="BS84" s="22">
        <f t="shared" si="63"/>
        <v>20.956791927632722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323.17232038705157</v>
      </c>
      <c r="T85" s="59">
        <f t="shared" si="88"/>
        <v>402.34685738619197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355.09162485318728</v>
      </c>
      <c r="AO85" s="59">
        <f t="shared" si="90"/>
        <v>320.06572891923685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119.99995828001613</v>
      </c>
      <c r="BJ85" s="59">
        <f t="shared" si="92"/>
        <v>317.56542444086261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18.155659913370499</v>
      </c>
      <c r="BQ85" s="21">
        <f>EXP(-LN(2)/25)*BQ84+(1-EXP(-LN(2)/25))/(LN(2)/25)*Calculateur!BL85*Calculateur!BN85*VLOOKUP('Données projet'!$B$11,Paramètres!$A$1:$I$89,3,0)*0.475*44/12</f>
        <v>2.3713226300808956</v>
      </c>
      <c r="BR85" s="21">
        <f>EXP(-LN(2)/2)*BR84+(1-EXP(-LN(2)/2))/(LN(2)/2)*BL85*BO85*VLOOKUP('Données projet'!$B$11,Paramètres!$A$1:$I$89,3,0)*0.475*44/12</f>
        <v>8.7980101785948905E-9</v>
      </c>
      <c r="BS85" s="22">
        <f t="shared" si="63"/>
        <v>20.526982552249407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323.17232038705157</v>
      </c>
      <c r="T86" s="59">
        <f t="shared" si="88"/>
        <v>402.34685738619197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355.09162485318728</v>
      </c>
      <c r="AO86" s="59">
        <f t="shared" si="90"/>
        <v>320.06572891923685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119.99995828001613</v>
      </c>
      <c r="BJ86" s="59">
        <f t="shared" si="92"/>
        <v>317.56542444086261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17.799638496328399</v>
      </c>
      <c r="BQ86" s="21">
        <f>EXP(-LN(2)/25)*BQ85+(1-EXP(-LN(2)/25))/(LN(2)/25)*Calculateur!BL86*Calculateur!BN86*VLOOKUP('Données projet'!$B$11,Paramètres!$A$1:$I$89,3,0)*0.475*44/12</f>
        <v>2.3064786880588963</v>
      </c>
      <c r="BR86" s="21">
        <f>EXP(-LN(2)/2)*BR85+(1-EXP(-LN(2)/2))/(LN(2)/2)*BL86*BO86*VLOOKUP('Données projet'!$B$11,Paramètres!$A$1:$I$89,3,0)*0.475*44/12</f>
        <v>6.2211326582327152E-9</v>
      </c>
      <c r="BS86" s="22">
        <f t="shared" si="63"/>
        <v>20.106117190608426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323.17232038705157</v>
      </c>
      <c r="T87" s="59">
        <f t="shared" si="88"/>
        <v>402.34685738619197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355.09162485318728</v>
      </c>
      <c r="AO87" s="59">
        <f t="shared" si="90"/>
        <v>320.06572891923685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119.99995828001613</v>
      </c>
      <c r="BJ87" s="59">
        <f t="shared" si="92"/>
        <v>317.56542444086261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17.450598442122871</v>
      </c>
      <c r="BQ87" s="21">
        <f>EXP(-LN(2)/25)*BQ86+(1-EXP(-LN(2)/25))/(LN(2)/25)*Calculateur!BL87*Calculateur!BN87*VLOOKUP('Données projet'!$B$11,Paramètres!$A$1:$I$89,3,0)*0.475*44/12</f>
        <v>2.2434079070414832</v>
      </c>
      <c r="BR87" s="21">
        <f>EXP(-LN(2)/2)*BR86+(1-EXP(-LN(2)/2))/(LN(2)/2)*BL87*BO87*VLOOKUP('Données projet'!$B$11,Paramètres!$A$1:$I$89,3,0)*0.475*44/12</f>
        <v>4.3990050892974452E-9</v>
      </c>
      <c r="BS87" s="22">
        <f t="shared" si="63"/>
        <v>19.69400635356336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323.17232038705157</v>
      </c>
      <c r="T88" s="59">
        <f t="shared" si="88"/>
        <v>402.34685738619197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355.09162485318728</v>
      </c>
      <c r="AO88" s="59">
        <f t="shared" si="90"/>
        <v>320.06572891923685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119.99995828001613</v>
      </c>
      <c r="BJ88" s="59">
        <f t="shared" si="92"/>
        <v>317.56542444086261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17.1084028504869</v>
      </c>
      <c r="BQ88" s="21">
        <f>EXP(-LN(2)/25)*BQ87+(1-EXP(-LN(2)/25))/(LN(2)/25)*Calculateur!BL88*Calculateur!BN88*VLOOKUP('Données projet'!$B$11,Paramètres!$A$1:$I$89,3,0)*0.475*44/12</f>
        <v>2.1820617998477392</v>
      </c>
      <c r="BR88" s="21">
        <f>EXP(-LN(2)/2)*BR87+(1-EXP(-LN(2)/2))/(LN(2)/2)*BL88*BO88*VLOOKUP('Données projet'!$B$11,Paramètres!$A$1:$I$89,3,0)*0.475*44/12</f>
        <v>3.1105663291163576E-9</v>
      </c>
      <c r="BS88" s="22">
        <f t="shared" si="63"/>
        <v>19.290464653445209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323.17232038705157</v>
      </c>
      <c r="T89" s="59">
        <f t="shared" si="88"/>
        <v>402.34685738619197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355.09162485318728</v>
      </c>
      <c r="AO89" s="59">
        <f t="shared" si="90"/>
        <v>320.06572891923685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119.99995828001613</v>
      </c>
      <c r="BJ89" s="59">
        <f t="shared" si="92"/>
        <v>317.56542444086261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16.772917505684212</v>
      </c>
      <c r="BQ89" s="21">
        <f>EXP(-LN(2)/25)*BQ88+(1-EXP(-LN(2)/25))/(LN(2)/25)*Calculateur!BL89*Calculateur!BN89*VLOOKUP('Données projet'!$B$11,Paramètres!$A$1:$I$89,3,0)*0.475*44/12</f>
        <v>2.1223932051812597</v>
      </c>
      <c r="BR89" s="21">
        <f>EXP(-LN(2)/2)*BR88+(1-EXP(-LN(2)/2))/(LN(2)/2)*BL89*BO89*VLOOKUP('Données projet'!$B$11,Paramètres!$A$1:$I$89,3,0)*0.475*44/12</f>
        <v>2.1995025446487226E-9</v>
      </c>
      <c r="BS89" s="22">
        <f t="shared" si="63"/>
        <v>18.895310713064976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323.17232038705157</v>
      </c>
      <c r="T90" s="59">
        <f t="shared" si="88"/>
        <v>402.34685738619197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355.09162485318728</v>
      </c>
      <c r="AO90" s="59">
        <f t="shared" si="90"/>
        <v>320.06572891923685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119.99995828001613</v>
      </c>
      <c r="BJ90" s="59">
        <f t="shared" si="92"/>
        <v>317.56542444086261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16.444010823867249</v>
      </c>
      <c r="BQ90" s="21">
        <f>EXP(-LN(2)/25)*BQ89+(1-EXP(-LN(2)/25))/(LN(2)/25)*Calculateur!BL90*Calculateur!BN90*VLOOKUP('Données projet'!$B$11,Paramètres!$A$1:$I$89,3,0)*0.475*44/12</f>
        <v>2.0643562513737703</v>
      </c>
      <c r="BR90" s="21">
        <f>EXP(-LN(2)/2)*BR89+(1-EXP(-LN(2)/2))/(LN(2)/2)*BL90*BO90*VLOOKUP('Données projet'!$B$11,Paramètres!$A$1:$I$89,3,0)*0.475*44/12</f>
        <v>1.5552831645581788E-9</v>
      </c>
      <c r="BS90" s="22">
        <f t="shared" si="63"/>
        <v>18.508367076796301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323.17232038705157</v>
      </c>
      <c r="T91" s="59">
        <f t="shared" si="88"/>
        <v>402.34685738619197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355.09162485318728</v>
      </c>
      <c r="AO91" s="59">
        <f t="shared" si="90"/>
        <v>320.06572891923685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119.99995828001613</v>
      </c>
      <c r="BJ91" s="59">
        <f t="shared" si="92"/>
        <v>317.56542444086261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16.121553801467449</v>
      </c>
      <c r="BQ91" s="21">
        <f>EXP(-LN(2)/25)*BQ90+(1-EXP(-LN(2)/25))/(LN(2)/25)*Calculateur!BL91*Calculateur!BN91*VLOOKUP('Données projet'!$B$11,Paramètres!$A$1:$I$89,3,0)*0.475*44/12</f>
        <v>2.0079063211201773</v>
      </c>
      <c r="BR91" s="21">
        <f>EXP(-LN(2)/2)*BR90+(1-EXP(-LN(2)/2))/(LN(2)/2)*BL91*BO91*VLOOKUP('Données projet'!$B$11,Paramètres!$A$1:$I$89,3,0)*0.475*44/12</f>
        <v>1.0997512723243613E-9</v>
      </c>
      <c r="BS91" s="22">
        <f t="shared" si="63"/>
        <v>18.129460123687377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323.17232038705157</v>
      </c>
      <c r="T92" s="59">
        <f t="shared" si="88"/>
        <v>402.34685738619197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355.09162485318728</v>
      </c>
      <c r="AO92" s="59">
        <f t="shared" si="90"/>
        <v>320.06572891923685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119.99995828001613</v>
      </c>
      <c r="BJ92" s="59">
        <f t="shared" si="92"/>
        <v>317.56542444086261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15.805419964597546</v>
      </c>
      <c r="BQ92" s="21">
        <f>EXP(-LN(2)/25)*BQ91+(1-EXP(-LN(2)/25))/(LN(2)/25)*Calculateur!BL92*Calculateur!BN92*VLOOKUP('Données projet'!$B$11,Paramètres!$A$1:$I$89,3,0)*0.475*44/12</f>
        <v>1.9530000171779418</v>
      </c>
      <c r="BR92" s="21">
        <f>EXP(-LN(2)/2)*BR91+(1-EXP(-LN(2)/2))/(LN(2)/2)*BL92*BO92*VLOOKUP('Données projet'!$B$11,Paramètres!$A$1:$I$89,3,0)*0.475*44/12</f>
        <v>7.7764158227908941E-10</v>
      </c>
      <c r="BS92" s="22">
        <f t="shared" si="63"/>
        <v>17.758419982553129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323.17232038705157</v>
      </c>
      <c r="T93" s="59">
        <f t="shared" si="88"/>
        <v>402.34685738619197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355.09162485318728</v>
      </c>
      <c r="AO93" s="59">
        <f t="shared" si="90"/>
        <v>320.06572891923685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119.99995828001613</v>
      </c>
      <c r="BJ93" s="59">
        <f t="shared" si="92"/>
        <v>317.56542444086261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15.495485319446059</v>
      </c>
      <c r="BQ93" s="21">
        <f>EXP(-LN(2)/25)*BQ92+(1-EXP(-LN(2)/25))/(LN(2)/25)*Calculateur!BL93*Calculateur!BN93*VLOOKUP('Données projet'!$B$11,Paramètres!$A$1:$I$89,3,0)*0.475*44/12</f>
        <v>1.8995951290044037</v>
      </c>
      <c r="BR93" s="21">
        <f>EXP(-LN(2)/2)*BR92+(1-EXP(-LN(2)/2))/(LN(2)/2)*BL93*BO93*VLOOKUP('Données projet'!$B$11,Paramètres!$A$1:$I$89,3,0)*0.475*44/12</f>
        <v>5.4987563616218066E-10</v>
      </c>
      <c r="BS93" s="22">
        <f t="shared" si="63"/>
        <v>17.395080449000339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323.17232038705157</v>
      </c>
      <c r="T94" s="59">
        <f t="shared" si="88"/>
        <v>402.34685738619197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355.09162485318728</v>
      </c>
      <c r="AO94" s="59">
        <f t="shared" si="90"/>
        <v>320.06572891923685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119.99995828001613</v>
      </c>
      <c r="BJ94" s="59">
        <f t="shared" si="92"/>
        <v>317.56542444086261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15.191628303644528</v>
      </c>
      <c r="BQ94" s="21">
        <f>EXP(-LN(2)/25)*BQ93+(1-EXP(-LN(2)/25))/(LN(2)/25)*Calculateur!BL94*Calculateur!BN94*VLOOKUP('Données projet'!$B$11,Paramètres!$A$1:$I$89,3,0)*0.475*44/12</f>
        <v>1.8476506003064121</v>
      </c>
      <c r="BR94" s="21">
        <f>EXP(-LN(2)/2)*BR93+(1-EXP(-LN(2)/2))/(LN(2)/2)*BL94*BO94*VLOOKUP('Données projet'!$B$11,Paramètres!$A$1:$I$89,3,0)*0.475*44/12</f>
        <v>3.888207911395447E-10</v>
      </c>
      <c r="BS94" s="22">
        <f t="shared" si="63"/>
        <v>17.03927890433976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323.17232038705157</v>
      </c>
      <c r="T95" s="59">
        <f t="shared" si="88"/>
        <v>402.34685738619197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355.09162485318728</v>
      </c>
      <c r="AO95" s="59">
        <f t="shared" si="90"/>
        <v>320.06572891923685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119.99995828001613</v>
      </c>
      <c r="BJ95" s="59">
        <f t="shared" si="92"/>
        <v>317.56542444086261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14.893729738588384</v>
      </c>
      <c r="BQ95" s="21">
        <f>EXP(-LN(2)/25)*BQ94+(1-EXP(-LN(2)/25))/(LN(2)/25)*Calculateur!BL95*Calculateur!BN95*VLOOKUP('Données projet'!$B$11,Paramètres!$A$1:$I$89,3,0)*0.475*44/12</f>
        <v>1.7971264974773111</v>
      </c>
      <c r="BR95" s="21">
        <f>EXP(-LN(2)/2)*BR94+(1-EXP(-LN(2)/2))/(LN(2)/2)*BL95*BO95*VLOOKUP('Données projet'!$B$11,Paramètres!$A$1:$I$89,3,0)*0.475*44/12</f>
        <v>2.7493781808109033E-10</v>
      </c>
      <c r="BS95" s="22">
        <f t="shared" si="63"/>
        <v>16.690856236340633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323.17232038705157</v>
      </c>
      <c r="T96" s="59">
        <f t="shared" si="88"/>
        <v>402.34685738619197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355.09162485318728</v>
      </c>
      <c r="AO96" s="59">
        <f t="shared" si="90"/>
        <v>320.06572891923685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119.99995828001613</v>
      </c>
      <c r="BJ96" s="59">
        <f t="shared" si="92"/>
        <v>317.56542444086261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14.601672782692809</v>
      </c>
      <c r="BQ96" s="21">
        <f>EXP(-LN(2)/25)*BQ95+(1-EXP(-LN(2)/25))/(LN(2)/25)*Calculateur!BL96*Calculateur!BN96*VLOOKUP('Données projet'!$B$11,Paramètres!$A$1:$I$89,3,0)*0.475*44/12</f>
        <v>1.7479839788970188</v>
      </c>
      <c r="BR96" s="21">
        <f>EXP(-LN(2)/2)*BR95+(1-EXP(-LN(2)/2))/(LN(2)/2)*BL96*BO96*VLOOKUP('Données projet'!$B$11,Paramètres!$A$1:$I$89,3,0)*0.475*44/12</f>
        <v>1.9441039556977235E-10</v>
      </c>
      <c r="BS96" s="22">
        <f t="shared" si="63"/>
        <v>16.349656761784239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323.17232038705157</v>
      </c>
      <c r="T97" s="59">
        <f t="shared" si="88"/>
        <v>402.34685738619197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355.09162485318728</v>
      </c>
      <c r="AO97" s="59">
        <f t="shared" si="90"/>
        <v>320.06572891923685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119.99995828001613</v>
      </c>
      <c r="BJ97" s="59">
        <f t="shared" si="92"/>
        <v>317.56542444086261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14.315342885565192</v>
      </c>
      <c r="BQ97" s="21">
        <f>EXP(-LN(2)/25)*BQ96+(1-EXP(-LN(2)/25))/(LN(2)/25)*Calculateur!BL97*Calculateur!BN97*VLOOKUP('Données projet'!$B$11,Paramètres!$A$1:$I$89,3,0)*0.475*44/12</f>
        <v>1.7001852650715974</v>
      </c>
      <c r="BR97" s="21">
        <f>EXP(-LN(2)/2)*BR96+(1-EXP(-LN(2)/2))/(LN(2)/2)*BL97*BO97*VLOOKUP('Données projet'!$B$11,Paramètres!$A$1:$I$89,3,0)*0.475*44/12</f>
        <v>1.3746890904054516E-10</v>
      </c>
      <c r="BS97" s="22">
        <f t="shared" si="63"/>
        <v>16.015528150774259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323.17232038705157</v>
      </c>
      <c r="T98" s="59">
        <f t="shared" si="88"/>
        <v>402.34685738619197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355.09162485318728</v>
      </c>
      <c r="AO98" s="59">
        <f t="shared" si="90"/>
        <v>320.06572891923685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119.99995828001613</v>
      </c>
      <c r="BJ98" s="59">
        <f t="shared" si="92"/>
        <v>317.56542444086261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14.034627743076255</v>
      </c>
      <c r="BQ98" s="21">
        <f>EXP(-LN(2)/25)*BQ97+(1-EXP(-LN(2)/25))/(LN(2)/25)*Calculateur!BL98*Calculateur!BN98*VLOOKUP('Données projet'!$B$11,Paramètres!$A$1:$I$89,3,0)*0.475*44/12</f>
        <v>1.6536936095893573</v>
      </c>
      <c r="BR98" s="21">
        <f>EXP(-LN(2)/2)*BR97+(1-EXP(-LN(2)/2))/(LN(2)/2)*BL98*BO98*VLOOKUP('Données projet'!$B$11,Paramètres!$A$1:$I$89,3,0)*0.475*44/12</f>
        <v>9.7205197784886176E-11</v>
      </c>
      <c r="BS98" s="22">
        <f t="shared" si="63"/>
        <v>15.688321352762818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323.17232038705157</v>
      </c>
      <c r="T99" s="59">
        <f t="shared" si="88"/>
        <v>402.34685738619197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355.09162485318728</v>
      </c>
      <c r="AO99" s="59">
        <f t="shared" si="90"/>
        <v>320.06572891923685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119.99995828001613</v>
      </c>
      <c r="BJ99" s="59">
        <f t="shared" si="92"/>
        <v>317.56542444086261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13.759417253312195</v>
      </c>
      <c r="BQ99" s="21">
        <f>EXP(-LN(2)/25)*BQ98+(1-EXP(-LN(2)/25))/(LN(2)/25)*Calculateur!BL99*Calculateur!BN99*VLOOKUP('Données projet'!$B$11,Paramètres!$A$1:$I$89,3,0)*0.475*44/12</f>
        <v>1.6084732708711689</v>
      </c>
      <c r="BR99" s="21">
        <f>EXP(-LN(2)/2)*BR98+(1-EXP(-LN(2)/2))/(LN(2)/2)*BL99*BO99*VLOOKUP('Données projet'!$B$11,Paramètres!$A$1:$I$89,3,0)*0.475*44/12</f>
        <v>6.8734454520272582E-11</v>
      </c>
      <c r="BS99" s="22">
        <f t="shared" si="63"/>
        <v>15.367890524252099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323.17232038705157</v>
      </c>
      <c r="T100" s="59">
        <f t="shared" si="88"/>
        <v>402.34685738619197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355.09162485318728</v>
      </c>
      <c r="AO100" s="59">
        <f t="shared" si="90"/>
        <v>320.06572891923685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119.99995828001613</v>
      </c>
      <c r="BJ100" s="59">
        <f t="shared" si="92"/>
        <v>317.56542444086261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13.489603473390586</v>
      </c>
      <c r="BQ100" s="21">
        <f>EXP(-LN(2)/25)*BQ99+(1-EXP(-LN(2)/25))/(LN(2)/25)*Calculateur!BL100*Calculateur!BN100*VLOOKUP('Données projet'!$B$11,Paramètres!$A$1:$I$89,3,0)*0.475*44/12</f>
        <v>1.5644894846932638</v>
      </c>
      <c r="BR100" s="21">
        <f>EXP(-LN(2)/2)*BR99+(1-EXP(-LN(2)/2))/(LN(2)/2)*BL100*BO100*VLOOKUP('Données projet'!$B$11,Paramètres!$A$1:$I$89,3,0)*0.475*44/12</f>
        <v>4.8602598892443088E-11</v>
      </c>
      <c r="BS100" s="22">
        <f t="shared" si="63"/>
        <v>15.054092958132452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323.17232038705157</v>
      </c>
      <c r="T101" s="59">
        <f t="shared" si="88"/>
        <v>402.34685738619197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355.09162485318728</v>
      </c>
      <c r="AO101" s="59">
        <f t="shared" si="90"/>
        <v>320.06572891923685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119.99995828001613</v>
      </c>
      <c r="BJ101" s="59">
        <f t="shared" si="92"/>
        <v>317.56542444086261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13.225080577123084</v>
      </c>
      <c r="BQ101" s="21">
        <f>EXP(-LN(2)/25)*BQ100+(1-EXP(-LN(2)/25))/(LN(2)/25)*Calculateur!BL101*Calculateur!BN101*VLOOKUP('Données projet'!$B$11,Paramètres!$A$1:$I$89,3,0)*0.475*44/12</f>
        <v>1.5217084374614001</v>
      </c>
      <c r="BR101" s="21">
        <f>EXP(-LN(2)/2)*BR100+(1-EXP(-LN(2)/2))/(LN(2)/2)*BL101*BO101*VLOOKUP('Données projet'!$B$11,Paramètres!$A$1:$I$89,3,0)*0.475*44/12</f>
        <v>3.4367227260136291E-11</v>
      </c>
      <c r="BS101" s="22">
        <f t="shared" si="63"/>
        <v>14.746789014618852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323.17232038705157</v>
      </c>
      <c r="T102" s="59">
        <f t="shared" si="88"/>
        <v>402.34685738619197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355.09162485318728</v>
      </c>
      <c r="AO102" s="59">
        <f t="shared" si="90"/>
        <v>320.06572891923685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119.99995828001613</v>
      </c>
      <c r="BJ102" s="59">
        <f t="shared" si="92"/>
        <v>317.56542444086261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12.965744813508351</v>
      </c>
      <c r="BQ102" s="21">
        <f>EXP(-LN(2)/25)*BQ101+(1-EXP(-LN(2)/25))/(LN(2)/25)*Calculateur!BL102*Calculateur!BN102*VLOOKUP('Données projet'!$B$11,Paramètres!$A$1:$I$89,3,0)*0.475*44/12</f>
        <v>1.4800972402158492</v>
      </c>
      <c r="BR102" s="21">
        <f>EXP(-LN(2)/2)*BR101+(1-EXP(-LN(2)/2))/(LN(2)/2)*BL102*BO102*VLOOKUP('Données projet'!$B$11,Paramètres!$A$1:$I$89,3,0)*0.475*44/12</f>
        <v>2.4301299446221544E-11</v>
      </c>
      <c r="BS102" s="22">
        <f t="shared" si="63"/>
        <v>14.445842053748501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323.17232038705157</v>
      </c>
      <c r="T103" s="59">
        <f t="shared" si="88"/>
        <v>402.34685738619197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355.09162485318728</v>
      </c>
      <c r="AO103" s="59">
        <f t="shared" si="90"/>
        <v>320.06572891923685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119.99995828001613</v>
      </c>
      <c r="BJ103" s="59">
        <f t="shared" si="92"/>
        <v>317.56542444086261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12.711494466038907</v>
      </c>
      <c r="BQ103" s="21">
        <f>EXP(-LN(2)/25)*BQ102+(1-EXP(-LN(2)/25))/(LN(2)/25)*Calculateur!BL103*Calculateur!BN103*VLOOKUP('Données projet'!$B$11,Paramètres!$A$1:$I$89,3,0)*0.475*44/12</f>
        <v>1.4396239033472158</v>
      </c>
      <c r="BR103" s="21">
        <f>EXP(-LN(2)/2)*BR102+(1-EXP(-LN(2)/2))/(LN(2)/2)*BL103*BO103*VLOOKUP('Données projet'!$B$11,Paramètres!$A$1:$I$89,3,0)*0.475*44/12</f>
        <v>1.7183613630068146E-11</v>
      </c>
      <c r="BS103" s="22">
        <f t="shared" si="63"/>
        <v>14.151118369403306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323.17232038705157</v>
      </c>
      <c r="T104" s="59">
        <f t="shared" si="88"/>
        <v>402.34685738619197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355.09162485318728</v>
      </c>
      <c r="AO104" s="59">
        <f t="shared" si="90"/>
        <v>320.06572891923685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119.99995828001613</v>
      </c>
      <c r="BJ104" s="59">
        <f t="shared" si="92"/>
        <v>317.56542444086261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12.462229812805939</v>
      </c>
      <c r="BQ104" s="21">
        <f>EXP(-LN(2)/25)*BQ103+(1-EXP(-LN(2)/25))/(LN(2)/25)*Calculateur!BL104*Calculateur!BN104*VLOOKUP('Données projet'!$B$11,Paramètres!$A$1:$I$89,3,0)*0.475*44/12</f>
        <v>1.4002573120036554</v>
      </c>
      <c r="BR104" s="21">
        <f>EXP(-LN(2)/2)*BR103+(1-EXP(-LN(2)/2))/(LN(2)/2)*BL104*BO104*VLOOKUP('Données projet'!$B$11,Paramètres!$A$1:$I$89,3,0)*0.475*44/12</f>
        <v>1.2150649723110772E-11</v>
      </c>
      <c r="BS104" s="22">
        <f t="shared" si="63"/>
        <v>13.862487124821744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323.17232038705157</v>
      </c>
      <c r="T105" s="59">
        <f t="shared" si="88"/>
        <v>402.34685738619197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355.09162485318728</v>
      </c>
      <c r="AO105" s="59">
        <f t="shared" si="90"/>
        <v>320.06572891923685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119.99995828001613</v>
      </c>
      <c r="BJ105" s="59">
        <f t="shared" si="92"/>
        <v>317.56542444086261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12.217853087386443</v>
      </c>
      <c r="BQ105" s="21">
        <f>EXP(-LN(2)/25)*BQ104+(1-EXP(-LN(2)/25))/(LN(2)/25)*Calculateur!BL105*Calculateur!BN105*VLOOKUP('Données projet'!$B$11,Paramètres!$A$1:$I$89,3,0)*0.475*44/12</f>
        <v>1.3619672021705838</v>
      </c>
      <c r="BR105" s="21">
        <f>EXP(-LN(2)/2)*BR104+(1-EXP(-LN(2)/2))/(LN(2)/2)*BL105*BO105*VLOOKUP('Données projet'!$B$11,Paramètres!$A$1:$I$89,3,0)*0.475*44/12</f>
        <v>8.5918068150340728E-12</v>
      </c>
      <c r="BS105" s="22">
        <f t="shared" si="63"/>
        <v>13.579820289565619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323.17232038705157</v>
      </c>
      <c r="T106" s="59">
        <f t="shared" si="88"/>
        <v>402.34685738619197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355.09162485318728</v>
      </c>
      <c r="AO106" s="59">
        <f t="shared" si="90"/>
        <v>320.06572891923685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119.99995828001613</v>
      </c>
      <c r="BJ106" s="59">
        <f t="shared" si="92"/>
        <v>317.56542444086261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11.978268440497338</v>
      </c>
      <c r="BQ106" s="21">
        <f>EXP(-LN(2)/25)*BQ105+(1-EXP(-LN(2)/25))/(LN(2)/25)*Calculateur!BL106*Calculateur!BN106*VLOOKUP('Données projet'!$B$11,Paramètres!$A$1:$I$89,3,0)*0.475*44/12</f>
        <v>1.3247241374044867</v>
      </c>
      <c r="BR106" s="21">
        <f>EXP(-LN(2)/2)*BR105+(1-EXP(-LN(2)/2))/(LN(2)/2)*BL106*BO106*VLOOKUP('Données projet'!$B$11,Paramètres!$A$1:$I$89,3,0)*0.475*44/12</f>
        <v>6.075324861555386E-12</v>
      </c>
      <c r="BS106" s="22">
        <f t="shared" si="63"/>
        <v>13.302992577907901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323.17232038705157</v>
      </c>
      <c r="T107" s="59">
        <f t="shared" si="88"/>
        <v>402.34685738619197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355.09162485318728</v>
      </c>
      <c r="AO107" s="59">
        <f t="shared" si="90"/>
        <v>320.06572891923685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119.99995828001613</v>
      </c>
      <c r="BJ107" s="59">
        <f t="shared" si="92"/>
        <v>317.56542444086261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11.743381902401524</v>
      </c>
      <c r="BQ107" s="21">
        <f>EXP(-LN(2)/25)*BQ106+(1-EXP(-LN(2)/25))/(LN(2)/25)*Calculateur!BL107*Calculateur!BN107*VLOOKUP('Données projet'!$B$11,Paramètres!$A$1:$I$89,3,0)*0.475*44/12</f>
        <v>1.2884994862029464</v>
      </c>
      <c r="BR107" s="21">
        <f>EXP(-LN(2)/2)*BR106+(1-EXP(-LN(2)/2))/(LN(2)/2)*BL107*BO107*VLOOKUP('Données projet'!$B$11,Paramètres!$A$1:$I$89,3,0)*0.475*44/12</f>
        <v>4.2959034075170364E-12</v>
      </c>
      <c r="BS107" s="22">
        <f t="shared" si="63"/>
        <v>13.031881388608765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323.17232038705157</v>
      </c>
      <c r="T108" s="59">
        <f t="shared" si="88"/>
        <v>402.34685738619197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355.09162485318728</v>
      </c>
      <c r="AO108" s="59">
        <f t="shared" si="90"/>
        <v>320.06572891923685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119.99995828001613</v>
      </c>
      <c r="BJ108" s="59">
        <f t="shared" si="92"/>
        <v>317.56542444086261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11.513101346051126</v>
      </c>
      <c r="BQ108" s="21">
        <f>EXP(-LN(2)/25)*BQ107+(1-EXP(-LN(2)/25))/(LN(2)/25)*Calculateur!BL108*Calculateur!BN108*VLOOKUP('Données projet'!$B$11,Paramètres!$A$1:$I$89,3,0)*0.475*44/12</f>
        <v>1.2532653999934837</v>
      </c>
      <c r="BR108" s="21">
        <f>EXP(-LN(2)/2)*BR107+(1-EXP(-LN(2)/2))/(LN(2)/2)*BL108*BO108*VLOOKUP('Données projet'!$B$11,Paramètres!$A$1:$I$89,3,0)*0.475*44/12</f>
        <v>3.037662430777693E-12</v>
      </c>
      <c r="BS108" s="22">
        <f t="shared" si="63"/>
        <v>12.766366746047648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323.17232038705157</v>
      </c>
      <c r="T109" s="59">
        <f t="shared" si="88"/>
        <v>402.34685738619197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355.09162485318728</v>
      </c>
      <c r="AO109" s="59">
        <f t="shared" si="90"/>
        <v>320.06572891923685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119.99995828001613</v>
      </c>
      <c r="BJ109" s="59">
        <f t="shared" si="92"/>
        <v>317.56542444086261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11.287336450953489</v>
      </c>
      <c r="BQ109" s="21">
        <f>EXP(-LN(2)/25)*BQ108+(1-EXP(-LN(2)/25))/(LN(2)/25)*Calculateur!BL109*Calculateur!BN109*VLOOKUP('Données projet'!$B$11,Paramètres!$A$1:$I$89,3,0)*0.475*44/12</f>
        <v>1.2189947917242989</v>
      </c>
      <c r="BR109" s="21">
        <f>EXP(-LN(2)/2)*BR108+(1-EXP(-LN(2)/2))/(LN(2)/2)*BL109*BO109*VLOOKUP('Données projet'!$B$11,Paramètres!$A$1:$I$89,3,0)*0.475*44/12</f>
        <v>2.1479517037585182E-12</v>
      </c>
      <c r="BS109" s="22">
        <f t="shared" si="63"/>
        <v>12.506331242679936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323.17232038705157</v>
      </c>
      <c r="T110" s="59">
        <f t="shared" si="88"/>
        <v>402.34685738619197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355.09162485318728</v>
      </c>
      <c r="AO110" s="59">
        <f t="shared" si="90"/>
        <v>320.06572891923685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119.99995828001613</v>
      </c>
      <c r="BJ110" s="59">
        <f t="shared" si="92"/>
        <v>317.56542444086261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11.065998667745729</v>
      </c>
      <c r="BQ110" s="21">
        <f>EXP(-LN(2)/25)*BQ109+(1-EXP(-LN(2)/25))/(LN(2)/25)*Calculateur!BL110*Calculateur!BN110*VLOOKUP('Données projet'!$B$11,Paramètres!$A$1:$I$89,3,0)*0.475*44/12</f>
        <v>1.185661315040448</v>
      </c>
      <c r="BR110" s="21">
        <f>EXP(-LN(2)/2)*BR109+(1-EXP(-LN(2)/2))/(LN(2)/2)*BL110*BO110*VLOOKUP('Données projet'!$B$11,Paramètres!$A$1:$I$89,3,0)*0.475*44/12</f>
        <v>1.5188312153888465E-12</v>
      </c>
      <c r="BS110" s="22">
        <f t="shared" si="63"/>
        <v>12.251659982787697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323.17232038705157</v>
      </c>
      <c r="T111" s="59">
        <f t="shared" si="88"/>
        <v>402.34685738619197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355.09162485318728</v>
      </c>
      <c r="AO111" s="59">
        <f t="shared" si="90"/>
        <v>320.06572891923685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119.99995828001613</v>
      </c>
      <c r="BJ111" s="59">
        <f t="shared" si="92"/>
        <v>317.56542444086261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10.849001183463956</v>
      </c>
      <c r="BQ111" s="21">
        <f>EXP(-LN(2)/25)*BQ110+(1-EXP(-LN(2)/25))/(LN(2)/25)*Calculateur!BL111*Calculateur!BN111*VLOOKUP('Données projet'!$B$11,Paramètres!$A$1:$I$89,3,0)*0.475*44/12</f>
        <v>1.1532393440294484</v>
      </c>
      <c r="BR111" s="21">
        <f>EXP(-LN(2)/2)*BR110+(1-EXP(-LN(2)/2))/(LN(2)/2)*BL111*BO111*VLOOKUP('Données projet'!$B$11,Paramètres!$A$1:$I$89,3,0)*0.475*44/12</f>
        <v>1.0739758518792591E-12</v>
      </c>
      <c r="BS111" s="22">
        <f t="shared" si="63"/>
        <v>12.002240527494479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323.17232038705157</v>
      </c>
      <c r="T112" s="59">
        <f t="shared" si="88"/>
        <v>402.34685738619197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355.09162485318728</v>
      </c>
      <c r="AO112" s="59">
        <f t="shared" si="90"/>
        <v>320.06572891923685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119.99995828001613</v>
      </c>
      <c r="BJ112" s="59">
        <f t="shared" si="92"/>
        <v>317.56542444086261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10.636258887493552</v>
      </c>
      <c r="BQ112" s="21">
        <f>EXP(-LN(2)/25)*BQ111+(1-EXP(-LN(2)/25))/(LN(2)/25)*Calculateur!BL112*Calculateur!BN112*VLOOKUP('Données projet'!$B$11,Paramètres!$A$1:$I$89,3,0)*0.475*44/12</f>
        <v>1.1217039535207418</v>
      </c>
      <c r="BR112" s="21">
        <f>EXP(-LN(2)/2)*BR111+(1-EXP(-LN(2)/2))/(LN(2)/2)*BL112*BO112*VLOOKUP('Données projet'!$B$11,Paramètres!$A$1:$I$89,3,0)*0.475*44/12</f>
        <v>7.5941560769442325E-13</v>
      </c>
      <c r="BS112" s="22">
        <f t="shared" si="63"/>
        <v>11.757962841015054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323.17232038705157</v>
      </c>
      <c r="T113" s="59">
        <f t="shared" si="88"/>
        <v>402.34685738619197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355.09162485318728</v>
      </c>
      <c r="AO113" s="59">
        <f t="shared" si="90"/>
        <v>320.06572891923685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119.99995828001613</v>
      </c>
      <c r="BJ113" s="59">
        <f t="shared" si="92"/>
        <v>317.56542444086261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10.42768833818714</v>
      </c>
      <c r="BQ113" s="21">
        <f>EXP(-LN(2)/25)*BQ112+(1-EXP(-LN(2)/25))/(LN(2)/25)*Calculateur!BL113*Calculateur!BN113*VLOOKUP('Données projet'!$B$11,Paramètres!$A$1:$I$89,3,0)*0.475*44/12</f>
        <v>1.0910308999238698</v>
      </c>
      <c r="BR113" s="21">
        <f>EXP(-LN(2)/2)*BR112+(1-EXP(-LN(2)/2))/(LN(2)/2)*BL113*BO113*VLOOKUP('Données projet'!$B$11,Paramètres!$A$1:$I$89,3,0)*0.475*44/12</f>
        <v>5.3698792593962955E-13</v>
      </c>
      <c r="BS113" s="22">
        <f t="shared" si="63"/>
        <v>11.518719238111547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323.17232038705157</v>
      </c>
      <c r="T114" s="59">
        <f t="shared" si="88"/>
        <v>402.34685738619197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355.09162485318728</v>
      </c>
      <c r="AO114" s="59">
        <f t="shared" si="90"/>
        <v>320.06572891923685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119.99995828001613</v>
      </c>
      <c r="BJ114" s="59">
        <f t="shared" si="92"/>
        <v>317.56542444086261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10.223207730137153</v>
      </c>
      <c r="BQ114" s="21">
        <f>EXP(-LN(2)/25)*BQ113+(1-EXP(-LN(2)/25))/(LN(2)/25)*Calculateur!BL114*Calculateur!BN114*VLOOKUP('Données projet'!$B$11,Paramètres!$A$1:$I$89,3,0)*0.475*44/12</f>
        <v>1.0611966025906301</v>
      </c>
      <c r="BR114" s="21">
        <f>EXP(-LN(2)/2)*BR113+(1-EXP(-LN(2)/2))/(LN(2)/2)*BL114*BO114*VLOOKUP('Données projet'!$B$11,Paramètres!$A$1:$I$89,3,0)*0.475*44/12</f>
        <v>3.7970780384721162E-13</v>
      </c>
      <c r="BS114" s="22">
        <f t="shared" si="63"/>
        <v>11.284404332728164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323.17232038705157</v>
      </c>
      <c r="T115" s="59">
        <f t="shared" si="88"/>
        <v>402.34685738619197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355.09162485318728</v>
      </c>
      <c r="AO115" s="59">
        <f t="shared" si="90"/>
        <v>320.06572891923685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119.99995828001613</v>
      </c>
      <c r="BJ115" s="59">
        <f t="shared" si="92"/>
        <v>317.56542444086261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10.02273686209017</v>
      </c>
      <c r="BQ115" s="21">
        <f>EXP(-LN(2)/25)*BQ114+(1-EXP(-LN(2)/25))/(LN(2)/25)*Calculateur!BL115*Calculateur!BN115*VLOOKUP('Données projet'!$B$11,Paramètres!$A$1:$I$89,3,0)*0.475*44/12</f>
        <v>1.0321781256868854</v>
      </c>
      <c r="BR115" s="21">
        <f>EXP(-LN(2)/2)*BR114+(1-EXP(-LN(2)/2))/(LN(2)/2)*BL115*BO115*VLOOKUP('Données projet'!$B$11,Paramètres!$A$1:$I$89,3,0)*0.475*44/12</f>
        <v>2.6849396296981477E-13</v>
      </c>
      <c r="BS115" s="22">
        <f t="shared" si="63"/>
        <v>11.054914987777323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323.17232038705157</v>
      </c>
      <c r="T116" s="59">
        <f t="shared" si="88"/>
        <v>402.34685738619197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355.09162485318728</v>
      </c>
      <c r="AO116" s="59">
        <f t="shared" si="90"/>
        <v>320.06572891923685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119.99995828001613</v>
      </c>
      <c r="BJ116" s="59">
        <f t="shared" si="92"/>
        <v>317.56542444086261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9.8261971054904329</v>
      </c>
      <c r="BQ116" s="21">
        <f>EXP(-LN(2)/25)*BQ115+(1-EXP(-LN(2)/25))/(LN(2)/25)*Calculateur!BL116*Calculateur!BN116*VLOOKUP('Données projet'!$B$11,Paramètres!$A$1:$I$89,3,0)*0.475*44/12</f>
        <v>1.0039531605600889</v>
      </c>
      <c r="BR116" s="21">
        <f>EXP(-LN(2)/2)*BR115+(1-EXP(-LN(2)/2))/(LN(2)/2)*BL116*BO116*VLOOKUP('Données projet'!$B$11,Paramètres!$A$1:$I$89,3,0)*0.475*44/12</f>
        <v>1.8985390192360581E-13</v>
      </c>
      <c r="BS116" s="22">
        <f t="shared" si="63"/>
        <v>10.830150266050712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323.17232038705157</v>
      </c>
      <c r="T117" s="59">
        <f t="shared" si="88"/>
        <v>402.34685738619197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355.09162485318728</v>
      </c>
      <c r="AO117" s="59">
        <f t="shared" si="90"/>
        <v>320.06572891923685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119.99995828001613</v>
      </c>
      <c r="BJ117" s="59">
        <f t="shared" si="92"/>
        <v>317.56542444086261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9.6335113736402018</v>
      </c>
      <c r="BQ117" s="21">
        <f>EXP(-LN(2)/25)*BQ116+(1-EXP(-LN(2)/25))/(LN(2)/25)*Calculateur!BL117*Calculateur!BN117*VLOOKUP('Données projet'!$B$11,Paramètres!$A$1:$I$89,3,0)*0.475*44/12</f>
        <v>0.97650000858897112</v>
      </c>
      <c r="BR117" s="21">
        <f>EXP(-LN(2)/2)*BR116+(1-EXP(-LN(2)/2))/(LN(2)/2)*BL117*BO117*VLOOKUP('Données projet'!$B$11,Paramètres!$A$1:$I$89,3,0)*0.475*44/12</f>
        <v>1.3424698148490739E-13</v>
      </c>
      <c r="BS117" s="22">
        <f t="shared" si="63"/>
        <v>10.610011382229308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323.17232038705157</v>
      </c>
      <c r="T118" s="59">
        <f t="shared" si="88"/>
        <v>402.34685738619197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355.09162485318728</v>
      </c>
      <c r="AO118" s="59">
        <f t="shared" si="90"/>
        <v>320.06572891923685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119.99995828001613</v>
      </c>
      <c r="BJ118" s="59">
        <f t="shared" si="92"/>
        <v>317.56542444086261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9.4446040914648623</v>
      </c>
      <c r="BQ118" s="21">
        <f>EXP(-LN(2)/25)*BQ117+(1-EXP(-LN(2)/25))/(LN(2)/25)*Calculateur!BL118*Calculateur!BN118*VLOOKUP('Données projet'!$B$11,Paramètres!$A$1:$I$89,3,0)*0.475*44/12</f>
        <v>0.9497975645022021</v>
      </c>
      <c r="BR118" s="21">
        <f>EXP(-LN(2)/2)*BR117+(1-EXP(-LN(2)/2))/(LN(2)/2)*BL118*BO118*VLOOKUP('Données projet'!$B$11,Paramètres!$A$1:$I$89,3,0)*0.475*44/12</f>
        <v>9.4926950961802906E-14</v>
      </c>
      <c r="BS118" s="22">
        <f t="shared" si="63"/>
        <v>10.394401655967158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323.17232038705157</v>
      </c>
      <c r="T119" s="59">
        <f t="shared" si="88"/>
        <v>402.34685738619197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355.09162485318728</v>
      </c>
      <c r="AO119" s="59">
        <f t="shared" si="90"/>
        <v>320.06572891923685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119.99995828001613</v>
      </c>
      <c r="BJ119" s="59">
        <f t="shared" si="92"/>
        <v>317.56542444086261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9.2594011658709157</v>
      </c>
      <c r="BQ119" s="21">
        <f>EXP(-LN(2)/25)*BQ118+(1-EXP(-LN(2)/25))/(LN(2)/25)*Calculateur!BL119*Calculateur!BN119*VLOOKUP('Données projet'!$B$11,Paramètres!$A$1:$I$89,3,0)*0.475*44/12</f>
        <v>0.9238253001532063</v>
      </c>
      <c r="BR119" s="21">
        <f>EXP(-LN(2)/2)*BR118+(1-EXP(-LN(2)/2))/(LN(2)/2)*BL119*BO119*VLOOKUP('Données projet'!$B$11,Paramètres!$A$1:$I$89,3,0)*0.475*44/12</f>
        <v>6.7123490742453693E-14</v>
      </c>
      <c r="BS119" s="22">
        <f t="shared" si="63"/>
        <v>10.183226466024189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323.17232038705157</v>
      </c>
      <c r="T120" s="59">
        <f t="shared" si="88"/>
        <v>402.34685738619197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355.09162485318728</v>
      </c>
      <c r="AO120" s="59">
        <f t="shared" si="90"/>
        <v>320.06572891923685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119.99995828001613</v>
      </c>
      <c r="BJ120" s="59">
        <f t="shared" si="92"/>
        <v>317.56542444086261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9.0778299566852372</v>
      </c>
      <c r="BQ120" s="21">
        <f>EXP(-LN(2)/25)*BQ119+(1-EXP(-LN(2)/25))/(LN(2)/25)*Calculateur!BL120*Calculateur!BN120*VLOOKUP('Données projet'!$B$11,Paramètres!$A$1:$I$89,3,0)*0.475*44/12</f>
        <v>0.89856324873865578</v>
      </c>
      <c r="BR120" s="21">
        <f>EXP(-LN(2)/2)*BR119+(1-EXP(-LN(2)/2))/(LN(2)/2)*BL120*BO120*VLOOKUP('Données projet'!$B$11,Paramètres!$A$1:$I$89,3,0)*0.475*44/12</f>
        <v>4.7463475480901453E-14</v>
      </c>
      <c r="BS120" s="22">
        <f t="shared" si="63"/>
        <v>9.9763932054239408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323.17232038705157</v>
      </c>
      <c r="T121" s="59">
        <f t="shared" si="88"/>
        <v>402.34685738619197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355.09162485318728</v>
      </c>
      <c r="AO121" s="59">
        <f t="shared" si="90"/>
        <v>320.06572891923685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119.99995828001613</v>
      </c>
      <c r="BJ121" s="59">
        <f t="shared" si="92"/>
        <v>317.56542444086261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8.8998192481641869</v>
      </c>
      <c r="BQ121" s="21">
        <f>EXP(-LN(2)/25)*BQ120+(1-EXP(-LN(2)/25))/(LN(2)/25)*Calculateur!BL121*Calculateur!BN121*VLOOKUP('Données projet'!$B$11,Paramètres!$A$1:$I$89,3,0)*0.475*44/12</f>
        <v>0.87399198944850964</v>
      </c>
      <c r="BR121" s="21">
        <f>EXP(-LN(2)/2)*BR120+(1-EXP(-LN(2)/2))/(LN(2)/2)*BL121*BO121*VLOOKUP('Données projet'!$B$11,Paramètres!$A$1:$I$89,3,0)*0.475*44/12</f>
        <v>3.3561745371226847E-14</v>
      </c>
      <c r="BS121" s="22">
        <f t="shared" si="63"/>
        <v>9.7738112376127297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323.17232038705157</v>
      </c>
      <c r="T122" s="59">
        <f t="shared" si="88"/>
        <v>402.34685738619197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355.09162485318728</v>
      </c>
      <c r="AO122" s="59">
        <f t="shared" si="90"/>
        <v>320.06572891923685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119.99995828001613</v>
      </c>
      <c r="BJ122" s="59">
        <f t="shared" si="92"/>
        <v>317.56542444086261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8.7252992210614231</v>
      </c>
      <c r="BQ122" s="21">
        <f>EXP(-LN(2)/25)*BQ121+(1-EXP(-LN(2)/25))/(LN(2)/25)*Calculateur!BL122*Calculateur!BN122*VLOOKUP('Données projet'!$B$11,Paramètres!$A$1:$I$89,3,0)*0.475*44/12</f>
        <v>0.85009263253579892</v>
      </c>
      <c r="BR122" s="21">
        <f>EXP(-LN(2)/2)*BR121+(1-EXP(-LN(2)/2))/(LN(2)/2)*BL122*BO122*VLOOKUP('Données projet'!$B$11,Paramètres!$A$1:$I$89,3,0)*0.475*44/12</f>
        <v>2.3731737740450726E-14</v>
      </c>
      <c r="BS122" s="22">
        <f t="shared" si="63"/>
        <v>9.5753918535972442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323.17232038705157</v>
      </c>
      <c r="T123" s="59">
        <f t="shared" si="88"/>
        <v>402.34685738619197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355.09162485318728</v>
      </c>
      <c r="AO123" s="59">
        <f t="shared" si="90"/>
        <v>320.06572891923685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119.99995828001613</v>
      </c>
      <c r="BJ123" s="59">
        <f t="shared" si="92"/>
        <v>317.56542444086261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8.5542014252434395</v>
      </c>
      <c r="BQ123" s="21">
        <f>EXP(-LN(2)/25)*BQ122+(1-EXP(-LN(2)/25))/(LN(2)/25)*Calculateur!BL123*Calculateur!BN123*VLOOKUP('Données projet'!$B$11,Paramètres!$A$1:$I$89,3,0)*0.475*44/12</f>
        <v>0.82684680479467887</v>
      </c>
      <c r="BR123" s="21">
        <f>EXP(-LN(2)/2)*BR122+(1-EXP(-LN(2)/2))/(LN(2)/2)*BL123*BO123*VLOOKUP('Données projet'!$B$11,Paramètres!$A$1:$I$89,3,0)*0.475*44/12</f>
        <v>1.6780872685613423E-14</v>
      </c>
      <c r="BS123" s="22">
        <f t="shared" si="63"/>
        <v>9.3810482300381342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323.17232038705157</v>
      </c>
      <c r="T124" s="59">
        <f t="shared" si="88"/>
        <v>402.34685738619197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355.09162485318728</v>
      </c>
      <c r="AO124" s="59">
        <f t="shared" si="90"/>
        <v>320.06572891923685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119.99995828001613</v>
      </c>
      <c r="BJ124" s="59">
        <f t="shared" si="92"/>
        <v>317.56542444086261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8.3864587528420955</v>
      </c>
      <c r="BQ124" s="21">
        <f>EXP(-LN(2)/25)*BQ123+(1-EXP(-LN(2)/25))/(LN(2)/25)*Calculateur!BL124*Calculateur!BN124*VLOOKUP('Données projet'!$B$11,Paramètres!$A$1:$I$89,3,0)*0.475*44/12</f>
        <v>0.80423663543558466</v>
      </c>
      <c r="BR124" s="21">
        <f>EXP(-LN(2)/2)*BR123+(1-EXP(-LN(2)/2))/(LN(2)/2)*BL124*BO124*VLOOKUP('Données projet'!$B$11,Paramètres!$A$1:$I$89,3,0)*0.475*44/12</f>
        <v>1.1865868870225363E-14</v>
      </c>
      <c r="BS124" s="22">
        <f t="shared" si="63"/>
        <v>9.1906953882776925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323.17232038705157</v>
      </c>
      <c r="T125" s="59">
        <f t="shared" si="88"/>
        <v>402.34685738619197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355.09162485318728</v>
      </c>
      <c r="AO125" s="59">
        <f t="shared" si="90"/>
        <v>320.06572891923685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119.99995828001613</v>
      </c>
      <c r="BJ125" s="59">
        <f t="shared" si="92"/>
        <v>317.56542444086261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8.2220054119336137</v>
      </c>
      <c r="BQ125" s="21">
        <f>EXP(-LN(2)/25)*BQ124+(1-EXP(-LN(2)/25))/(LN(2)/25)*Calculateur!BL125*Calculateur!BN125*VLOOKUP('Données projet'!$B$11,Paramètres!$A$1:$I$89,3,0)*0.475*44/12</f>
        <v>0.78224474234663199</v>
      </c>
      <c r="BR125" s="21">
        <f>EXP(-LN(2)/2)*BR124+(1-EXP(-LN(2)/2))/(LN(2)/2)*BL125*BO125*VLOOKUP('Données projet'!$B$11,Paramètres!$A$1:$I$89,3,0)*0.475*44/12</f>
        <v>8.3904363428067117E-15</v>
      </c>
      <c r="BS125" s="22">
        <f t="shared" si="63"/>
        <v>9.0042501542802551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323.17232038705157</v>
      </c>
      <c r="T126" s="59">
        <f t="shared" si="88"/>
        <v>402.34685738619197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355.09162485318728</v>
      </c>
      <c r="AO126" s="59">
        <f t="shared" si="90"/>
        <v>320.06572891923685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119.99995828001613</v>
      </c>
      <c r="BJ126" s="59">
        <f t="shared" si="92"/>
        <v>317.56542444086261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8.060776900733714</v>
      </c>
      <c r="BQ126" s="21">
        <f>EXP(-LN(2)/25)*BQ125+(1-EXP(-LN(2)/25))/(LN(2)/25)*Calculateur!BL126*Calculateur!BN126*VLOOKUP('Données projet'!$B$11,Paramètres!$A$1:$I$89,3,0)*0.475*44/12</f>
        <v>0.76085421873070014</v>
      </c>
      <c r="BR126" s="21">
        <f>EXP(-LN(2)/2)*BR125+(1-EXP(-LN(2)/2))/(LN(2)/2)*BL126*BO126*VLOOKUP('Données projet'!$B$11,Paramètres!$A$1:$I$89,3,0)*0.475*44/12</f>
        <v>5.9329344351126816E-15</v>
      </c>
      <c r="BS126" s="22">
        <f t="shared" si="63"/>
        <v>8.8216311194644188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323.17232038705157</v>
      </c>
      <c r="T127" s="59">
        <f t="shared" si="88"/>
        <v>402.34685738619197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355.09162485318728</v>
      </c>
      <c r="AO127" s="59">
        <f t="shared" si="90"/>
        <v>320.06572891923685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119.99995828001613</v>
      </c>
      <c r="BJ127" s="59">
        <f t="shared" si="92"/>
        <v>317.56542444086261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7.9027099822987621</v>
      </c>
      <c r="BQ127" s="21">
        <f>EXP(-LN(2)/25)*BQ126+(1-EXP(-LN(2)/25))/(LN(2)/25)*Calculateur!BL127*Calculateur!BN127*VLOOKUP('Données projet'!$B$11,Paramètres!$A$1:$I$89,3,0)*0.475*44/12</f>
        <v>0.74004862010792472</v>
      </c>
      <c r="BR127" s="21">
        <f>EXP(-LN(2)/2)*BR126+(1-EXP(-LN(2)/2))/(LN(2)/2)*BL127*BO127*VLOOKUP('Données projet'!$B$11,Paramètres!$A$1:$I$89,3,0)*0.475*44/12</f>
        <v>4.1952181714033558E-15</v>
      </c>
      <c r="BS127" s="22">
        <f t="shared" si="63"/>
        <v>8.6427586024066905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323.17232038705157</v>
      </c>
      <c r="T128" s="59">
        <f t="shared" si="88"/>
        <v>402.34685738619197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355.09162485318728</v>
      </c>
      <c r="AO128" s="59">
        <f t="shared" si="90"/>
        <v>320.06572891923685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119.99995828001613</v>
      </c>
      <c r="BJ128" s="59">
        <f t="shared" si="92"/>
        <v>317.56542444086261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7.7477426597230199</v>
      </c>
      <c r="BQ128" s="21">
        <f>EXP(-LN(2)/25)*BQ127+(1-EXP(-LN(2)/25))/(LN(2)/25)*Calculateur!BL128*Calculateur!BN128*VLOOKUP('Données projet'!$B$11,Paramètres!$A$1:$I$89,3,0)*0.475*44/12</f>
        <v>0.71981195167360801</v>
      </c>
      <c r="BR128" s="21">
        <f>EXP(-LN(2)/2)*BR127+(1-EXP(-LN(2)/2))/(LN(2)/2)*BL128*BO128*VLOOKUP('Données projet'!$B$11,Paramètres!$A$1:$I$89,3,0)*0.475*44/12</f>
        <v>2.9664672175563408E-15</v>
      </c>
      <c r="BS128" s="22">
        <f t="shared" si="63"/>
        <v>8.4675546113966309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323.17232038705157</v>
      </c>
      <c r="T129" s="59">
        <f t="shared" si="88"/>
        <v>402.34685738619197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355.09162485318728</v>
      </c>
      <c r="AO129" s="59">
        <f t="shared" si="90"/>
        <v>320.06572891923685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119.99995828001613</v>
      </c>
      <c r="BJ129" s="59">
        <f t="shared" si="92"/>
        <v>317.56542444086261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7.5958141518222542</v>
      </c>
      <c r="BQ129" s="21">
        <f>EXP(-LN(2)/25)*BQ128+(1-EXP(-LN(2)/25))/(LN(2)/25)*Calculateur!BL129*Calculateur!BN129*VLOOKUP('Données projet'!$B$11,Paramètres!$A$1:$I$89,3,0)*0.475*44/12</f>
        <v>0.70012865600182783</v>
      </c>
      <c r="BR129" s="21">
        <f>EXP(-LN(2)/2)*BR128+(1-EXP(-LN(2)/2))/(LN(2)/2)*BL129*BO129*VLOOKUP('Données projet'!$B$11,Paramètres!$A$1:$I$89,3,0)*0.475*44/12</f>
        <v>2.0976090857016779E-15</v>
      </c>
      <c r="BS129" s="22">
        <f t="shared" si="63"/>
        <v>8.2959428078240833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323.17232038705157</v>
      </c>
      <c r="T130" s="59">
        <f t="shared" si="88"/>
        <v>402.34685738619197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355.09162485318728</v>
      </c>
      <c r="AO130" s="59">
        <f t="shared" si="90"/>
        <v>320.06572891923685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119.99995828001613</v>
      </c>
      <c r="BJ130" s="59">
        <f t="shared" si="92"/>
        <v>317.56542444086261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7.446864869294183</v>
      </c>
      <c r="BQ130" s="21">
        <f>EXP(-LN(2)/25)*BQ129+(1-EXP(-LN(2)/25))/(LN(2)/25)*Calculateur!BL130*Calculateur!BN130*VLOOKUP('Données projet'!$B$11,Paramètres!$A$1:$I$89,3,0)*0.475*44/12</f>
        <v>0.68098360108529199</v>
      </c>
      <c r="BR130" s="21">
        <f>EXP(-LN(2)/2)*BR129+(1-EXP(-LN(2)/2))/(LN(2)/2)*BL130*BO130*VLOOKUP('Données projet'!$B$11,Paramètres!$A$1:$I$89,3,0)*0.475*44/12</f>
        <v>1.4832336087781704E-15</v>
      </c>
      <c r="BS130" s="22">
        <f t="shared" si="63"/>
        <v>8.127848470379476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323.17232038705157</v>
      </c>
      <c r="T131" s="59">
        <f t="shared" si="88"/>
        <v>402.34685738619197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355.09162485318728</v>
      </c>
      <c r="AO131" s="59">
        <f t="shared" si="90"/>
        <v>320.06572891923685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119.99995828001613</v>
      </c>
      <c r="BJ131" s="59">
        <f t="shared" si="92"/>
        <v>317.56542444086261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7.3008363913463956</v>
      </c>
      <c r="BQ131" s="21">
        <f>EXP(-LN(2)/25)*BQ130+(1-EXP(-LN(2)/25))/(LN(2)/25)*Calculateur!BL131*Calculateur!BN131*VLOOKUP('Données projet'!$B$11,Paramètres!$A$1:$I$89,3,0)*0.475*44/12</f>
        <v>0.66236206870224346</v>
      </c>
      <c r="BR131" s="21">
        <f>EXP(-LN(2)/2)*BR130+(1-EXP(-LN(2)/2))/(LN(2)/2)*BL131*BO131*VLOOKUP('Données projet'!$B$11,Paramètres!$A$1:$I$89,3,0)*0.475*44/12</f>
        <v>1.048804542850839E-15</v>
      </c>
      <c r="BS131" s="22">
        <f t="shared" si="63"/>
        <v>7.9631984600486403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323.17232038705157</v>
      </c>
      <c r="T132" s="59">
        <f t="shared" si="88"/>
        <v>402.34685738619197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355.09162485318728</v>
      </c>
      <c r="AO132" s="59">
        <f t="shared" si="90"/>
        <v>320.06572891923685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119.99995828001613</v>
      </c>
      <c r="BJ132" s="59">
        <f t="shared" si="92"/>
        <v>317.56542444086261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7.1576714427825872</v>
      </c>
      <c r="BQ132" s="21">
        <f>EXP(-LN(2)/25)*BQ131+(1-EXP(-LN(2)/25))/(LN(2)/25)*Calculateur!BL132*Calculateur!BN132*VLOOKUP('Données projet'!$B$11,Paramètres!$A$1:$I$89,3,0)*0.475*44/12</f>
        <v>0.64424974310147332</v>
      </c>
      <c r="BR132" s="21">
        <f>EXP(-LN(2)/2)*BR131+(1-EXP(-LN(2)/2))/(LN(2)/2)*BL132*BO132*VLOOKUP('Données projet'!$B$11,Paramètres!$A$1:$I$89,3,0)*0.475*44/12</f>
        <v>7.416168043890852E-16</v>
      </c>
      <c r="BS132" s="22">
        <f t="shared" ref="BS132:BS153" si="117">SUM(BP132:BR132)</f>
        <v>7.8019211858840611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323.17232038705157</v>
      </c>
      <c r="T133" s="59">
        <f t="shared" ref="T133:T196" si="142">$T$3</f>
        <v>402.34685738619197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355.09162485318728</v>
      </c>
      <c r="AO133" s="59">
        <f t="shared" ref="AO133:AO196" si="144">$AO$3</f>
        <v>320.06572891923685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119.99995828001613</v>
      </c>
      <c r="BJ133" s="59">
        <f t="shared" ref="BJ133:BJ196" si="146">$BJ$3</f>
        <v>317.56542444086261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7.0173138715381187</v>
      </c>
      <c r="BQ133" s="21">
        <f>EXP(-LN(2)/25)*BQ132+(1-EXP(-LN(2)/25))/(LN(2)/25)*Calculateur!BL133*Calculateur!BN133*VLOOKUP('Données projet'!$B$11,Paramètres!$A$1:$I$89,3,0)*0.475*44/12</f>
        <v>0.62663269999674198</v>
      </c>
      <c r="BR133" s="21">
        <f>EXP(-LN(2)/2)*BR132+(1-EXP(-LN(2)/2))/(LN(2)/2)*BL133*BO133*VLOOKUP('Données projet'!$B$11,Paramètres!$A$1:$I$89,3,0)*0.475*44/12</f>
        <v>5.2440227142541948E-16</v>
      </c>
      <c r="BS133" s="22">
        <f t="shared" si="117"/>
        <v>7.6439465715348618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323.17232038705157</v>
      </c>
      <c r="T134" s="59">
        <f t="shared" si="142"/>
        <v>402.34685738619197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355.09162485318728</v>
      </c>
      <c r="AO134" s="59">
        <f t="shared" si="144"/>
        <v>320.06572891923685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119.99995828001613</v>
      </c>
      <c r="BJ134" s="59">
        <f t="shared" si="146"/>
        <v>317.56542444086261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6.8797086266560896</v>
      </c>
      <c r="BQ134" s="21">
        <f>EXP(-LN(2)/25)*BQ133+(1-EXP(-LN(2)/25))/(LN(2)/25)*Calculateur!BL134*Calculateur!BN134*VLOOKUP('Données projet'!$B$11,Paramètres!$A$1:$I$89,3,0)*0.475*44/12</f>
        <v>0.60949739586214957</v>
      </c>
      <c r="BR134" s="21">
        <f>EXP(-LN(2)/2)*BR133+(1-EXP(-LN(2)/2))/(LN(2)/2)*BL134*BO134*VLOOKUP('Données projet'!$B$11,Paramètres!$A$1:$I$89,3,0)*0.475*44/12</f>
        <v>3.708084021945426E-16</v>
      </c>
      <c r="BS134" s="22">
        <f t="shared" si="117"/>
        <v>7.4892060225182391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323.17232038705157</v>
      </c>
      <c r="T135" s="59">
        <f t="shared" si="142"/>
        <v>402.34685738619197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355.09162485318728</v>
      </c>
      <c r="AO135" s="59">
        <f t="shared" si="144"/>
        <v>320.06572891923685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119.99995828001613</v>
      </c>
      <c r="BJ135" s="59">
        <f t="shared" si="146"/>
        <v>317.56542444086261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6.744801736695285</v>
      </c>
      <c r="BQ135" s="21">
        <f>EXP(-LN(2)/25)*BQ134+(1-EXP(-LN(2)/25))/(LN(2)/25)*Calculateur!BL135*Calculateur!BN135*VLOOKUP('Données projet'!$B$11,Paramètres!$A$1:$I$89,3,0)*0.475*44/12</f>
        <v>0.59283065752022401</v>
      </c>
      <c r="BR135" s="21">
        <f>EXP(-LN(2)/2)*BR134+(1-EXP(-LN(2)/2))/(LN(2)/2)*BL135*BO135*VLOOKUP('Données projet'!$B$11,Paramètres!$A$1:$I$89,3,0)*0.475*44/12</f>
        <v>2.6220113571270974E-16</v>
      </c>
      <c r="BS135" s="22">
        <f t="shared" si="117"/>
        <v>7.3376323942155093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323.17232038705157</v>
      </c>
      <c r="T136" s="59">
        <f t="shared" si="142"/>
        <v>402.34685738619197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355.09162485318728</v>
      </c>
      <c r="AO136" s="59">
        <f t="shared" si="144"/>
        <v>320.06572891923685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119.99995828001613</v>
      </c>
      <c r="BJ136" s="59">
        <f t="shared" si="146"/>
        <v>317.56542444086261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6.6125402885615339</v>
      </c>
      <c r="BQ136" s="21">
        <f>EXP(-LN(2)/25)*BQ135+(1-EXP(-LN(2)/25))/(LN(2)/25)*Calculateur!BL136*Calculateur!BN136*VLOOKUP('Données projet'!$B$11,Paramètres!$A$1:$I$89,3,0)*0.475*44/12</f>
        <v>0.57661967201472419</v>
      </c>
      <c r="BR136" s="21">
        <f>EXP(-LN(2)/2)*BR135+(1-EXP(-LN(2)/2))/(LN(2)/2)*BL136*BO136*VLOOKUP('Données projet'!$B$11,Paramètres!$A$1:$I$89,3,0)*0.475*44/12</f>
        <v>1.854042010972713E-16</v>
      </c>
      <c r="BS136" s="22">
        <f t="shared" si="117"/>
        <v>7.1891599605762577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323.17232038705157</v>
      </c>
      <c r="T137" s="59">
        <f t="shared" si="142"/>
        <v>402.34685738619197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355.09162485318728</v>
      </c>
      <c r="AO137" s="59">
        <f t="shared" si="144"/>
        <v>320.06572891923685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119.99995828001613</v>
      </c>
      <c r="BJ137" s="59">
        <f t="shared" si="146"/>
        <v>317.56542444086261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6.4828724067541676</v>
      </c>
      <c r="BQ137" s="21">
        <f>EXP(-LN(2)/25)*BQ136+(1-EXP(-LN(2)/25))/(LN(2)/25)*Calculateur!BL137*Calculateur!BN137*VLOOKUP('Données projet'!$B$11,Paramètres!$A$1:$I$89,3,0)*0.475*44/12</f>
        <v>0.56085197676037091</v>
      </c>
      <c r="BR137" s="21">
        <f>EXP(-LN(2)/2)*BR136+(1-EXP(-LN(2)/2))/(LN(2)/2)*BL137*BO137*VLOOKUP('Données projet'!$B$11,Paramètres!$A$1:$I$89,3,0)*0.475*44/12</f>
        <v>1.3110056785635487E-16</v>
      </c>
      <c r="BS137" s="22">
        <f t="shared" si="117"/>
        <v>7.0437243835145384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323.17232038705157</v>
      </c>
      <c r="T138" s="59">
        <f t="shared" si="142"/>
        <v>402.34685738619197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355.09162485318728</v>
      </c>
      <c r="AO138" s="59">
        <f t="shared" si="144"/>
        <v>320.06572891923685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119.99995828001613</v>
      </c>
      <c r="BJ138" s="59">
        <f t="shared" si="146"/>
        <v>317.56542444086261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6.3557472330194456</v>
      </c>
      <c r="BQ138" s="21">
        <f>EXP(-LN(2)/25)*BQ137+(1-EXP(-LN(2)/25))/(LN(2)/25)*Calculateur!BL138*Calculateur!BN138*VLOOKUP('Données projet'!$B$11,Paramètres!$A$1:$I$89,3,0)*0.475*44/12</f>
        <v>0.54551544996193491</v>
      </c>
      <c r="BR138" s="21">
        <f>EXP(-LN(2)/2)*BR137+(1-EXP(-LN(2)/2))/(LN(2)/2)*BL138*BO138*VLOOKUP('Données projet'!$B$11,Paramètres!$A$1:$I$89,3,0)*0.475*44/12</f>
        <v>9.270210054863565E-17</v>
      </c>
      <c r="BS138" s="22">
        <f t="shared" si="117"/>
        <v>6.9012626829813808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323.17232038705157</v>
      </c>
      <c r="T139" s="59">
        <f t="shared" si="142"/>
        <v>402.34685738619197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355.09162485318728</v>
      </c>
      <c r="AO139" s="59">
        <f t="shared" si="144"/>
        <v>320.06572891923685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119.99995828001613</v>
      </c>
      <c r="BJ139" s="59">
        <f t="shared" si="146"/>
        <v>317.56542444086261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6.2311149064029614</v>
      </c>
      <c r="BQ139" s="21">
        <f>EXP(-LN(2)/25)*BQ138+(1-EXP(-LN(2)/25))/(LN(2)/25)*Calculateur!BL139*Calculateur!BN139*VLOOKUP('Données projet'!$B$11,Paramètres!$A$1:$I$89,3,0)*0.475*44/12</f>
        <v>0.53059830129531504</v>
      </c>
      <c r="BR139" s="21">
        <f>EXP(-LN(2)/2)*BR138+(1-EXP(-LN(2)/2))/(LN(2)/2)*BL139*BO139*VLOOKUP('Données projet'!$B$11,Paramètres!$A$1:$I$89,3,0)*0.475*44/12</f>
        <v>6.5550283928177435E-17</v>
      </c>
      <c r="BS139" s="22">
        <f t="shared" si="117"/>
        <v>6.7617132076982767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323.17232038705157</v>
      </c>
      <c r="T140" s="59">
        <f t="shared" si="142"/>
        <v>402.34685738619197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355.09162485318728</v>
      </c>
      <c r="AO140" s="59">
        <f t="shared" si="144"/>
        <v>320.06572891923685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119.99995828001613</v>
      </c>
      <c r="BJ140" s="59">
        <f t="shared" si="146"/>
        <v>317.56542444086261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6.1089265436932134</v>
      </c>
      <c r="BQ140" s="21">
        <f>EXP(-LN(2)/25)*BQ139+(1-EXP(-LN(2)/25))/(LN(2)/25)*Calculateur!BL140*Calculateur!BN140*VLOOKUP('Données projet'!$B$11,Paramètres!$A$1:$I$89,3,0)*0.475*44/12</f>
        <v>0.51608906284344269</v>
      </c>
      <c r="BR140" s="21">
        <f>EXP(-LN(2)/2)*BR139+(1-EXP(-LN(2)/2))/(LN(2)/2)*BL140*BO140*VLOOKUP('Données projet'!$B$11,Paramètres!$A$1:$I$89,3,0)*0.475*44/12</f>
        <v>4.6351050274317825E-17</v>
      </c>
      <c r="BS140" s="22">
        <f t="shared" si="117"/>
        <v>6.6250156065366559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323.17232038705157</v>
      </c>
      <c r="T141" s="59">
        <f t="shared" si="142"/>
        <v>402.34685738619197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355.09162485318728</v>
      </c>
      <c r="AO141" s="59">
        <f t="shared" si="144"/>
        <v>320.06572891923685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119.99995828001613</v>
      </c>
      <c r="BJ141" s="59">
        <f t="shared" si="146"/>
        <v>317.56542444086261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5.9891342202486619</v>
      </c>
      <c r="BQ141" s="21">
        <f>EXP(-LN(2)/25)*BQ140+(1-EXP(-LN(2)/25))/(LN(2)/25)*Calculateur!BL141*Calculateur!BN141*VLOOKUP('Données projet'!$B$11,Paramètres!$A$1:$I$89,3,0)*0.475*44/12</f>
        <v>0.50197658028004444</v>
      </c>
      <c r="BR141" s="21">
        <f>EXP(-LN(2)/2)*BR140+(1-EXP(-LN(2)/2))/(LN(2)/2)*BL141*BO141*VLOOKUP('Données projet'!$B$11,Paramètres!$A$1:$I$89,3,0)*0.475*44/12</f>
        <v>3.2775141964088717E-17</v>
      </c>
      <c r="BS141" s="22">
        <f t="shared" si="117"/>
        <v>6.4911108005287064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323.17232038705157</v>
      </c>
      <c r="T142" s="59">
        <f t="shared" si="142"/>
        <v>402.34685738619197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355.09162485318728</v>
      </c>
      <c r="AO142" s="59">
        <f t="shared" si="144"/>
        <v>320.06572891923685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119.99995828001613</v>
      </c>
      <c r="BJ142" s="59">
        <f t="shared" si="146"/>
        <v>317.56542444086261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5.8716909512007556</v>
      </c>
      <c r="BQ142" s="21">
        <f>EXP(-LN(2)/25)*BQ141+(1-EXP(-LN(2)/25))/(LN(2)/25)*Calculateur!BL142*Calculateur!BN142*VLOOKUP('Données projet'!$B$11,Paramètres!$A$1:$I$89,3,0)*0.475*44/12</f>
        <v>0.48825000429448556</v>
      </c>
      <c r="BR142" s="21">
        <f>EXP(-LN(2)/2)*BR141+(1-EXP(-LN(2)/2))/(LN(2)/2)*BL142*BO142*VLOOKUP('Données projet'!$B$11,Paramètres!$A$1:$I$89,3,0)*0.475*44/12</f>
        <v>2.3175525137158913E-17</v>
      </c>
      <c r="BS142" s="22">
        <f t="shared" si="117"/>
        <v>6.3599409554952411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323.17232038705157</v>
      </c>
      <c r="T143" s="59">
        <f t="shared" si="142"/>
        <v>402.34685738619197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355.09162485318728</v>
      </c>
      <c r="AO143" s="59">
        <f t="shared" si="144"/>
        <v>320.06572891923685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119.99995828001613</v>
      </c>
      <c r="BJ143" s="59">
        <f t="shared" si="146"/>
        <v>317.56542444086261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5.7565506730255569</v>
      </c>
      <c r="BQ143" s="21">
        <f>EXP(-LN(2)/25)*BQ142+(1-EXP(-LN(2)/25))/(LN(2)/25)*Calculateur!BL143*Calculateur!BN143*VLOOKUP('Données projet'!$B$11,Paramètres!$A$1:$I$89,3,0)*0.475*44/12</f>
        <v>0.47489878225110105</v>
      </c>
      <c r="BR143" s="21">
        <f>EXP(-LN(2)/2)*BR142+(1-EXP(-LN(2)/2))/(LN(2)/2)*BL143*BO143*VLOOKUP('Données projet'!$B$11,Paramètres!$A$1:$I$89,3,0)*0.475*44/12</f>
        <v>1.6387570982044359E-17</v>
      </c>
      <c r="BS143" s="22">
        <f t="shared" si="117"/>
        <v>6.2314494552766577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323.17232038705157</v>
      </c>
      <c r="T144" s="59">
        <f t="shared" si="142"/>
        <v>402.34685738619197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355.09162485318728</v>
      </c>
      <c r="AO144" s="59">
        <f t="shared" si="144"/>
        <v>320.06572891923685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119.99995828001613</v>
      </c>
      <c r="BJ144" s="59">
        <f t="shared" si="146"/>
        <v>317.56542444086261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5.6436682254767394</v>
      </c>
      <c r="BQ144" s="21">
        <f>EXP(-LN(2)/25)*BQ143+(1-EXP(-LN(2)/25))/(LN(2)/25)*Calculateur!BL144*Calculateur!BN144*VLOOKUP('Données projet'!$B$11,Paramètres!$A$1:$I$89,3,0)*0.475*44/12</f>
        <v>0.46191265007660315</v>
      </c>
      <c r="BR144" s="21">
        <f>EXP(-LN(2)/2)*BR143+(1-EXP(-LN(2)/2))/(LN(2)/2)*BL144*BO144*VLOOKUP('Données projet'!$B$11,Paramètres!$A$1:$I$89,3,0)*0.475*44/12</f>
        <v>1.1587762568579456E-17</v>
      </c>
      <c r="BS144" s="22">
        <f t="shared" si="117"/>
        <v>6.1055808755533425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323.17232038705157</v>
      </c>
      <c r="T145" s="59">
        <f t="shared" si="142"/>
        <v>402.34685738619197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355.09162485318728</v>
      </c>
      <c r="AO145" s="59">
        <f t="shared" si="144"/>
        <v>320.06572891923685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119.99995828001613</v>
      </c>
      <c r="BJ145" s="59">
        <f t="shared" si="146"/>
        <v>317.56542444086261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5.5329993338728594</v>
      </c>
      <c r="BQ145" s="21">
        <f>EXP(-LN(2)/25)*BQ144+(1-EXP(-LN(2)/25))/(LN(2)/25)*Calculateur!BL145*Calculateur!BN145*VLOOKUP('Données projet'!$B$11,Paramètres!$A$1:$I$89,3,0)*0.475*44/12</f>
        <v>0.44928162436932789</v>
      </c>
      <c r="BR145" s="21">
        <f>EXP(-LN(2)/2)*BR144+(1-EXP(-LN(2)/2))/(LN(2)/2)*BL145*BO145*VLOOKUP('Données projet'!$B$11,Paramètres!$A$1:$I$89,3,0)*0.475*44/12</f>
        <v>8.1937854910221794E-18</v>
      </c>
      <c r="BS145" s="22">
        <f t="shared" si="117"/>
        <v>5.9822809582421872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323.17232038705157</v>
      </c>
      <c r="T146" s="59">
        <f t="shared" si="142"/>
        <v>402.34685738619197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355.09162485318728</v>
      </c>
      <c r="AO146" s="59">
        <f t="shared" si="144"/>
        <v>320.06572891923685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119.99995828001613</v>
      </c>
      <c r="BJ146" s="59">
        <f t="shared" si="146"/>
        <v>317.56542444086261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5.4245005917319729</v>
      </c>
      <c r="BQ146" s="21">
        <f>EXP(-LN(2)/25)*BQ145+(1-EXP(-LN(2)/25))/(LN(2)/25)*Calculateur!BL146*Calculateur!BN146*VLOOKUP('Données projet'!$B$11,Paramètres!$A$1:$I$89,3,0)*0.475*44/12</f>
        <v>0.43699599472425482</v>
      </c>
      <c r="BR146" s="21">
        <f>EXP(-LN(2)/2)*BR145+(1-EXP(-LN(2)/2))/(LN(2)/2)*BL146*BO146*VLOOKUP('Données projet'!$B$11,Paramètres!$A$1:$I$89,3,0)*0.475*44/12</f>
        <v>5.7938812842897281E-18</v>
      </c>
      <c r="BS146" s="22">
        <f t="shared" si="117"/>
        <v>5.8614965864562274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323.17232038705157</v>
      </c>
      <c r="T147" s="59">
        <f t="shared" si="142"/>
        <v>402.34685738619197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355.09162485318728</v>
      </c>
      <c r="AO147" s="59">
        <f t="shared" si="144"/>
        <v>320.06572891923685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119.99995828001613</v>
      </c>
      <c r="BJ147" s="59">
        <f t="shared" si="146"/>
        <v>317.56542444086261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5.3181294437467708</v>
      </c>
      <c r="BQ147" s="21">
        <f>EXP(-LN(2)/25)*BQ146+(1-EXP(-LN(2)/25))/(LN(2)/25)*Calculateur!BL147*Calculateur!BN147*VLOOKUP('Données projet'!$B$11,Paramètres!$A$1:$I$89,3,0)*0.475*44/12</f>
        <v>0.42504631626789946</v>
      </c>
      <c r="BR147" s="21">
        <f>EXP(-LN(2)/2)*BR146+(1-EXP(-LN(2)/2))/(LN(2)/2)*BL147*BO147*VLOOKUP('Données projet'!$B$11,Paramètres!$A$1:$I$89,3,0)*0.475*44/12</f>
        <v>4.0968927455110897E-18</v>
      </c>
      <c r="BS147" s="22">
        <f t="shared" si="117"/>
        <v>5.7431757600146707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323.17232038705157</v>
      </c>
      <c r="T148" s="59">
        <f t="shared" si="142"/>
        <v>402.34685738619197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355.09162485318728</v>
      </c>
      <c r="AO148" s="59">
        <f t="shared" si="144"/>
        <v>320.06572891923685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119.99995828001613</v>
      </c>
      <c r="BJ148" s="59">
        <f t="shared" si="146"/>
        <v>317.56542444086261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5.2138441690935649</v>
      </c>
      <c r="BQ148" s="21">
        <f>EXP(-LN(2)/25)*BQ147+(1-EXP(-LN(2)/25))/(LN(2)/25)*Calculateur!BL148*Calculateur!BN148*VLOOKUP('Données projet'!$B$11,Paramètres!$A$1:$I$89,3,0)*0.475*44/12</f>
        <v>0.41342340239733943</v>
      </c>
      <c r="BR148" s="21">
        <f>EXP(-LN(2)/2)*BR147+(1-EXP(-LN(2)/2))/(LN(2)/2)*BL148*BO148*VLOOKUP('Données projet'!$B$11,Paramètres!$A$1:$I$89,3,0)*0.475*44/12</f>
        <v>2.8969406421448641E-18</v>
      </c>
      <c r="BS148" s="22">
        <f t="shared" si="117"/>
        <v>5.6272675714909042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323.17232038705157</v>
      </c>
      <c r="T149" s="59">
        <f t="shared" si="142"/>
        <v>402.34685738619197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355.09162485318728</v>
      </c>
      <c r="AO149" s="59">
        <f t="shared" si="144"/>
        <v>320.06572891923685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119.99995828001613</v>
      </c>
      <c r="BJ149" s="59">
        <f t="shared" si="146"/>
        <v>317.56542444086261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5.1116038650685711</v>
      </c>
      <c r="BQ149" s="21">
        <f>EXP(-LN(2)/25)*BQ148+(1-EXP(-LN(2)/25))/(LN(2)/25)*Calculateur!BL149*Calculateur!BN149*VLOOKUP('Données projet'!$B$11,Paramètres!$A$1:$I$89,3,0)*0.475*44/12</f>
        <v>0.40211831771779233</v>
      </c>
      <c r="BR149" s="21">
        <f>EXP(-LN(2)/2)*BR148+(1-EXP(-LN(2)/2))/(LN(2)/2)*BL149*BO149*VLOOKUP('Données projet'!$B$11,Paramètres!$A$1:$I$89,3,0)*0.475*44/12</f>
        <v>2.0484463727555448E-18</v>
      </c>
      <c r="BS149" s="22">
        <f t="shared" si="117"/>
        <v>5.5137221827863634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323.17232038705157</v>
      </c>
      <c r="T150" s="59">
        <f t="shared" si="142"/>
        <v>402.34685738619197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355.09162485318728</v>
      </c>
      <c r="AO150" s="59">
        <f t="shared" si="144"/>
        <v>320.06572891923685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119.99995828001613</v>
      </c>
      <c r="BJ150" s="59">
        <f t="shared" si="146"/>
        <v>317.56542444086261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5.0113684310450797</v>
      </c>
      <c r="BQ150" s="21">
        <f>EXP(-LN(2)/25)*BQ149+(1-EXP(-LN(2)/25))/(LN(2)/25)*Calculateur!BL150*Calculateur!BN150*VLOOKUP('Données projet'!$B$11,Paramètres!$A$1:$I$89,3,0)*0.475*44/12</f>
        <v>0.391122371173316</v>
      </c>
      <c r="BR150" s="21">
        <f>EXP(-LN(2)/2)*BR149+(1-EXP(-LN(2)/2))/(LN(2)/2)*BL150*BO150*VLOOKUP('Données projet'!$B$11,Paramètres!$A$1:$I$89,3,0)*0.475*44/12</f>
        <v>1.448470321072432E-18</v>
      </c>
      <c r="BS150" s="22">
        <f t="shared" si="117"/>
        <v>5.4024908022183959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323.17232038705157</v>
      </c>
      <c r="T151" s="59">
        <f t="shared" si="142"/>
        <v>402.34685738619197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355.09162485318728</v>
      </c>
      <c r="AO151" s="59">
        <f t="shared" si="144"/>
        <v>320.06572891923685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119.99995828001613</v>
      </c>
      <c r="BJ151" s="59">
        <f t="shared" si="146"/>
        <v>317.56542444086261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4.9130985527452111</v>
      </c>
      <c r="BQ151" s="21">
        <f>EXP(-LN(2)/25)*BQ150+(1-EXP(-LN(2)/25))/(LN(2)/25)*Calculateur!BL151*Calculateur!BN151*VLOOKUP('Données projet'!$B$11,Paramètres!$A$1:$I$89,3,0)*0.475*44/12</f>
        <v>0.38042710936535007</v>
      </c>
      <c r="BR151" s="21">
        <f>EXP(-LN(2)/2)*BR150+(1-EXP(-LN(2)/2))/(LN(2)/2)*BL151*BO151*VLOOKUP('Données projet'!$B$11,Paramètres!$A$1:$I$89,3,0)*0.475*44/12</f>
        <v>1.0242231863777724E-18</v>
      </c>
      <c r="BS151" s="22">
        <f t="shared" si="117"/>
        <v>5.2935256621105609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323.17232038705157</v>
      </c>
      <c r="T152" s="59">
        <f t="shared" si="142"/>
        <v>402.34685738619197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355.09162485318728</v>
      </c>
      <c r="AO152" s="59">
        <f t="shared" si="144"/>
        <v>320.06572891923685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119.99995828001613</v>
      </c>
      <c r="BJ152" s="59">
        <f t="shared" si="146"/>
        <v>317.56542444086261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4.8167556868200956</v>
      </c>
      <c r="BQ152" s="21">
        <f>EXP(-LN(2)/25)*BQ151+(1-EXP(-LN(2)/25))/(LN(2)/25)*Calculateur!BL152*Calculateur!BN152*VLOOKUP('Données projet'!$B$11,Paramètres!$A$1:$I$89,3,0)*0.475*44/12</f>
        <v>0.37002431005396236</v>
      </c>
      <c r="BR152" s="21">
        <f>EXP(-LN(2)/2)*BR151+(1-EXP(-LN(2)/2))/(LN(2)/2)*BL152*BO152*VLOOKUP('Données projet'!$B$11,Paramètres!$A$1:$I$89,3,0)*0.475*44/12</f>
        <v>7.2423516053621602E-19</v>
      </c>
      <c r="BS152" s="22">
        <f t="shared" si="117"/>
        <v>5.1867799968740576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323.17232038705157</v>
      </c>
      <c r="T153" s="59">
        <f t="shared" si="142"/>
        <v>402.34685738619197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355.09162485318728</v>
      </c>
      <c r="AO153" s="59">
        <f t="shared" si="144"/>
        <v>320.06572891923685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119.99995828001613</v>
      </c>
      <c r="BJ153" s="59">
        <f t="shared" si="146"/>
        <v>317.56542444086261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4.7223020457324258</v>
      </c>
      <c r="BQ153" s="21">
        <f>EXP(-LN(2)/25)*BQ152+(1-EXP(-LN(2)/25))/(LN(2)/25)*Calculateur!BL153*Calculateur!BN153*VLOOKUP('Données projet'!$B$11,Paramètres!$A$1:$I$89,3,0)*0.475*44/12</f>
        <v>0.359905975836804</v>
      </c>
      <c r="BR153" s="21">
        <f>EXP(-LN(2)/2)*BR152+(1-EXP(-LN(2)/2))/(LN(2)/2)*BL153*BO153*VLOOKUP('Données projet'!$B$11,Paramètres!$A$1:$I$89,3,0)*0.475*44/12</f>
        <v>5.1211159318888621E-19</v>
      </c>
      <c r="BS153" s="22">
        <f t="shared" si="117"/>
        <v>5.0822080215692296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323.17232038705157</v>
      </c>
      <c r="T154" s="59">
        <f t="shared" si="142"/>
        <v>402.34685738619197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355.09162485318728</v>
      </c>
      <c r="AO154" s="59">
        <f t="shared" si="144"/>
        <v>320.06572891923685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119.99995828001613</v>
      </c>
      <c r="BJ154" s="59">
        <f t="shared" si="146"/>
        <v>317.56542444086261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4.6297005829354525</v>
      </c>
      <c r="BQ154" s="21">
        <f>EXP(-LN(2)/25)*BQ153+(1-EXP(-LN(2)/25))/(LN(2)/25)*Calculateur!BL154*Calculateur!BN154*VLOOKUP('Données projet'!$B$11,Paramètres!$A$1:$I$89,3,0)*0.475*44/12</f>
        <v>0.35006432800091392</v>
      </c>
      <c r="BR154" s="21">
        <f>EXP(-LN(2)/2)*BR153+(1-EXP(-LN(2)/2))/(LN(2)/2)*BL154*BO154*VLOOKUP('Données projet'!$B$11,Paramètres!$A$1:$I$89,3,0)*0.475*44/12</f>
        <v>3.6211758026810801E-19</v>
      </c>
      <c r="BS154" s="22">
        <f t="shared" ref="BS154:BS203" si="169">SUM(BP154:BR154)</f>
        <v>4.9797649109363666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323.17232038705157</v>
      </c>
      <c r="T155" s="59">
        <f t="shared" si="142"/>
        <v>402.34685738619197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355.09162485318728</v>
      </c>
      <c r="AO155" s="59">
        <f t="shared" si="144"/>
        <v>320.06572891923685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119.99995828001613</v>
      </c>
      <c r="BJ155" s="59">
        <f t="shared" si="146"/>
        <v>317.56542444086261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4.5389149783426133</v>
      </c>
      <c r="BQ155" s="21">
        <f>EXP(-LN(2)/25)*BQ154+(1-EXP(-LN(2)/25))/(LN(2)/25)*Calculateur!BL155*Calculateur!BN155*VLOOKUP('Données projet'!$B$11,Paramètres!$A$1:$I$89,3,0)*0.475*44/12</f>
        <v>0.34049180054264599</v>
      </c>
      <c r="BR155" s="21">
        <f>EXP(-LN(2)/2)*BR154+(1-EXP(-LN(2)/2))/(LN(2)/2)*BL155*BO155*VLOOKUP('Données projet'!$B$11,Paramètres!$A$1:$I$89,3,0)*0.475*44/12</f>
        <v>2.5605579659444311E-19</v>
      </c>
      <c r="BS155" s="22">
        <f t="shared" si="169"/>
        <v>4.8794067788852589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323.17232038705157</v>
      </c>
      <c r="T156" s="59">
        <f t="shared" si="142"/>
        <v>402.34685738619197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355.09162485318728</v>
      </c>
      <c r="AO156" s="59">
        <f t="shared" si="144"/>
        <v>320.06572891923685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119.99995828001613</v>
      </c>
      <c r="BJ156" s="59">
        <f t="shared" si="146"/>
        <v>317.56542444086261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4.4499096240820881</v>
      </c>
      <c r="BQ156" s="21">
        <f>EXP(-LN(2)/25)*BQ155+(1-EXP(-LN(2)/25))/(LN(2)/25)*Calculateur!BL156*Calculateur!BN156*VLOOKUP('Données projet'!$B$11,Paramètres!$A$1:$I$89,3,0)*0.475*44/12</f>
        <v>0.33118103435112173</v>
      </c>
      <c r="BR156" s="21">
        <f>EXP(-LN(2)/2)*BR155+(1-EXP(-LN(2)/2))/(LN(2)/2)*BL156*BO156*VLOOKUP('Données projet'!$B$11,Paramètres!$A$1:$I$89,3,0)*0.475*44/12</f>
        <v>1.81058790134054E-19</v>
      </c>
      <c r="BS156" s="22">
        <f t="shared" si="169"/>
        <v>4.78109065843321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323.17232038705157</v>
      </c>
      <c r="T157" s="59">
        <f t="shared" si="142"/>
        <v>402.34685738619197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355.09162485318728</v>
      </c>
      <c r="AO157" s="59">
        <f t="shared" si="144"/>
        <v>320.06572891923685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119.99995828001613</v>
      </c>
      <c r="BJ157" s="59">
        <f t="shared" si="146"/>
        <v>317.56542444086261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4.3626496105307062</v>
      </c>
      <c r="BQ157" s="21">
        <f>EXP(-LN(2)/25)*BQ156+(1-EXP(-LN(2)/25))/(LN(2)/25)*Calculateur!BL157*Calculateur!BN157*VLOOKUP('Données projet'!$B$11,Paramètres!$A$1:$I$89,3,0)*0.475*44/12</f>
        <v>0.32212487155073666</v>
      </c>
      <c r="BR157" s="21">
        <f>EXP(-LN(2)/2)*BR156+(1-EXP(-LN(2)/2))/(LN(2)/2)*BL157*BO157*VLOOKUP('Données projet'!$B$11,Paramètres!$A$1:$I$89,3,0)*0.475*44/12</f>
        <v>1.2802789829722155E-19</v>
      </c>
      <c r="BS157" s="22">
        <f t="shared" si="169"/>
        <v>4.6847744820814432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323.17232038705157</v>
      </c>
      <c r="T158" s="59">
        <f t="shared" si="142"/>
        <v>402.34685738619197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355.09162485318728</v>
      </c>
      <c r="AO158" s="59">
        <f t="shared" si="144"/>
        <v>320.06572891923685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119.99995828001613</v>
      </c>
      <c r="BJ158" s="59">
        <f t="shared" si="146"/>
        <v>317.56542444086261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4.2771007126217144</v>
      </c>
      <c r="BQ158" s="21">
        <f>EXP(-LN(2)/25)*BQ157+(1-EXP(-LN(2)/25))/(LN(2)/25)*Calculateur!BL158*Calculateur!BN158*VLOOKUP('Données projet'!$B$11,Paramètres!$A$1:$I$89,3,0)*0.475*44/12</f>
        <v>0.31331634999837099</v>
      </c>
      <c r="BR158" s="21">
        <f>EXP(-LN(2)/2)*BR157+(1-EXP(-LN(2)/2))/(LN(2)/2)*BL158*BO158*VLOOKUP('Données projet'!$B$11,Paramètres!$A$1:$I$89,3,0)*0.475*44/12</f>
        <v>9.0529395067027002E-20</v>
      </c>
      <c r="BS158" s="22">
        <f t="shared" si="169"/>
        <v>4.5904170626200855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323.17232038705157</v>
      </c>
      <c r="T159" s="59">
        <f t="shared" si="142"/>
        <v>402.34685738619197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355.09162485318728</v>
      </c>
      <c r="AO159" s="59">
        <f t="shared" si="144"/>
        <v>320.06572891923685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119.99995828001613</v>
      </c>
      <c r="BJ159" s="59">
        <f t="shared" si="146"/>
        <v>317.56542444086261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4.1932293764210424</v>
      </c>
      <c r="BQ159" s="21">
        <f>EXP(-LN(2)/25)*BQ158+(1-EXP(-LN(2)/25))/(LN(2)/25)*Calculateur!BL159*Calculateur!BN159*VLOOKUP('Données projet'!$B$11,Paramètres!$A$1:$I$89,3,0)*0.475*44/12</f>
        <v>0.30474869793107479</v>
      </c>
      <c r="BR159" s="21">
        <f>EXP(-LN(2)/2)*BR158+(1-EXP(-LN(2)/2))/(LN(2)/2)*BL159*BO159*VLOOKUP('Données projet'!$B$11,Paramètres!$A$1:$I$89,3,0)*0.475*44/12</f>
        <v>6.4013949148610776E-20</v>
      </c>
      <c r="BS159" s="22">
        <f t="shared" si="169"/>
        <v>4.4979780743521172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323.17232038705157</v>
      </c>
      <c r="T160" s="59">
        <f t="shared" si="142"/>
        <v>402.34685738619197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355.09162485318728</v>
      </c>
      <c r="AO160" s="59">
        <f t="shared" si="144"/>
        <v>320.06572891923685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119.99995828001613</v>
      </c>
      <c r="BJ160" s="59">
        <f t="shared" si="146"/>
        <v>317.56542444086261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4.1110027059668015</v>
      </c>
      <c r="BQ160" s="21">
        <f>EXP(-LN(2)/25)*BQ159+(1-EXP(-LN(2)/25))/(LN(2)/25)*Calculateur!BL160*Calculateur!BN160*VLOOKUP('Données projet'!$B$11,Paramètres!$A$1:$I$89,3,0)*0.475*44/12</f>
        <v>0.29641532876011201</v>
      </c>
      <c r="BR160" s="21">
        <f>EXP(-LN(2)/2)*BR159+(1-EXP(-LN(2)/2))/(LN(2)/2)*BL160*BO160*VLOOKUP('Données projet'!$B$11,Paramètres!$A$1:$I$89,3,0)*0.475*44/12</f>
        <v>4.5264697533513501E-20</v>
      </c>
      <c r="BS160" s="22">
        <f t="shared" si="169"/>
        <v>4.4074180347269136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323.17232038705157</v>
      </c>
      <c r="T161" s="59">
        <f t="shared" si="142"/>
        <v>402.34685738619197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355.09162485318728</v>
      </c>
      <c r="AO161" s="59">
        <f t="shared" si="144"/>
        <v>320.06572891923685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119.99995828001613</v>
      </c>
      <c r="BJ161" s="59">
        <f t="shared" si="146"/>
        <v>317.56542444086261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4.0303884503668517</v>
      </c>
      <c r="BQ161" s="21">
        <f>EXP(-LN(2)/25)*BQ160+(1-EXP(-LN(2)/25))/(LN(2)/25)*Calculateur!BL161*Calculateur!BN161*VLOOKUP('Données projet'!$B$11,Paramètres!$A$1:$I$89,3,0)*0.475*44/12</f>
        <v>0.2883098360073621</v>
      </c>
      <c r="BR161" s="21">
        <f>EXP(-LN(2)/2)*BR160+(1-EXP(-LN(2)/2))/(LN(2)/2)*BL161*BO161*VLOOKUP('Données projet'!$B$11,Paramètres!$A$1:$I$89,3,0)*0.475*44/12</f>
        <v>3.2006974574305388E-20</v>
      </c>
      <c r="BS161" s="22">
        <f t="shared" si="169"/>
        <v>4.3186982863742136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323.17232038705157</v>
      </c>
      <c r="T162" s="59">
        <f t="shared" si="142"/>
        <v>402.34685738619197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355.09162485318728</v>
      </c>
      <c r="AO162" s="59">
        <f t="shared" si="144"/>
        <v>320.06572891923685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119.99995828001613</v>
      </c>
      <c r="BJ162" s="59">
        <f t="shared" si="146"/>
        <v>317.56542444086261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3.9513549911493762</v>
      </c>
      <c r="BQ162" s="21">
        <f>EXP(-LN(2)/25)*BQ161+(1-EXP(-LN(2)/25))/(LN(2)/25)*Calculateur!BL162*Calculateur!BN162*VLOOKUP('Données projet'!$B$11,Paramètres!$A$1:$I$89,3,0)*0.475*44/12</f>
        <v>0.28042598838018545</v>
      </c>
      <c r="BR162" s="21">
        <f>EXP(-LN(2)/2)*BR161+(1-EXP(-LN(2)/2))/(LN(2)/2)*BL162*BO162*VLOOKUP('Données projet'!$B$11,Paramètres!$A$1:$I$89,3,0)*0.475*44/12</f>
        <v>2.2632348766756751E-20</v>
      </c>
      <c r="BS162" s="22">
        <f t="shared" si="169"/>
        <v>4.231780979529562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323.17232038705157</v>
      </c>
      <c r="T163" s="59">
        <f t="shared" si="142"/>
        <v>402.34685738619197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355.09162485318728</v>
      </c>
      <c r="AO163" s="59">
        <f t="shared" si="144"/>
        <v>320.06572891923685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119.99995828001613</v>
      </c>
      <c r="BJ163" s="59">
        <f t="shared" si="146"/>
        <v>317.56542444086261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3.8738713298615051</v>
      </c>
      <c r="BQ163" s="21">
        <f>EXP(-LN(2)/25)*BQ162+(1-EXP(-LN(2)/25))/(LN(2)/25)*Calculateur!BL163*Calculateur!BN163*VLOOKUP('Données projet'!$B$11,Paramètres!$A$1:$I$89,3,0)*0.475*44/12</f>
        <v>0.27275772498096745</v>
      </c>
      <c r="BR163" s="21">
        <f>EXP(-LN(2)/2)*BR162+(1-EXP(-LN(2)/2))/(LN(2)/2)*BL163*BO163*VLOOKUP('Données projet'!$B$11,Paramètres!$A$1:$I$89,3,0)*0.475*44/12</f>
        <v>1.6003487287152694E-20</v>
      </c>
      <c r="BS163" s="22">
        <f t="shared" si="169"/>
        <v>4.1466290548424727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323.17232038705157</v>
      </c>
      <c r="T164" s="59">
        <f t="shared" si="142"/>
        <v>402.34685738619197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355.09162485318728</v>
      </c>
      <c r="AO164" s="59">
        <f t="shared" si="144"/>
        <v>320.06572891923685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119.99995828001613</v>
      </c>
      <c r="BJ164" s="59">
        <f t="shared" si="146"/>
        <v>317.56542444086261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3.7979070759111222</v>
      </c>
      <c r="BQ164" s="21">
        <f>EXP(-LN(2)/25)*BQ163+(1-EXP(-LN(2)/25))/(LN(2)/25)*Calculateur!BL164*Calculateur!BN164*VLOOKUP('Données projet'!$B$11,Paramètres!$A$1:$I$89,3,0)*0.475*44/12</f>
        <v>0.26529915064765752</v>
      </c>
      <c r="BR164" s="21">
        <f>EXP(-LN(2)/2)*BR163+(1-EXP(-LN(2)/2))/(LN(2)/2)*BL164*BO164*VLOOKUP('Données projet'!$B$11,Paramètres!$A$1:$I$89,3,0)*0.475*44/12</f>
        <v>1.1316174383378375E-20</v>
      </c>
      <c r="BS164" s="22">
        <f t="shared" si="169"/>
        <v>4.0632062265587798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323.17232038705157</v>
      </c>
      <c r="T165" s="59">
        <f t="shared" si="142"/>
        <v>402.34685738619197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355.09162485318728</v>
      </c>
      <c r="AO165" s="59">
        <f t="shared" si="144"/>
        <v>320.06572891923685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119.99995828001613</v>
      </c>
      <c r="BJ165" s="59">
        <f t="shared" si="146"/>
        <v>317.56542444086261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3.7234324346470866</v>
      </c>
      <c r="BQ165" s="21">
        <f>EXP(-LN(2)/25)*BQ164+(1-EXP(-LN(2)/25))/(LN(2)/25)*Calculateur!BL165*Calculateur!BN165*VLOOKUP('Données projet'!$B$11,Paramètres!$A$1:$I$89,3,0)*0.475*44/12</f>
        <v>0.25804453142172135</v>
      </c>
      <c r="BR165" s="21">
        <f>EXP(-LN(2)/2)*BR164+(1-EXP(-LN(2)/2))/(LN(2)/2)*BL165*BO165*VLOOKUP('Données projet'!$B$11,Paramètres!$A$1:$I$89,3,0)*0.475*44/12</f>
        <v>8.001743643576347E-21</v>
      </c>
      <c r="BS165" s="22">
        <f t="shared" si="169"/>
        <v>3.9814769660688079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323.17232038705157</v>
      </c>
      <c r="T166" s="59">
        <f t="shared" si="142"/>
        <v>402.34685738619197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355.09162485318728</v>
      </c>
      <c r="AO166" s="59">
        <f t="shared" si="144"/>
        <v>320.06572891923685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119.99995828001613</v>
      </c>
      <c r="BJ166" s="59">
        <f t="shared" si="146"/>
        <v>317.56542444086261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3.6504181956731929</v>
      </c>
      <c r="BQ166" s="21">
        <f>EXP(-LN(2)/25)*BQ165+(1-EXP(-LN(2)/25))/(LN(2)/25)*Calculateur!BL166*Calculateur!BN166*VLOOKUP('Données projet'!$B$11,Paramètres!$A$1:$I$89,3,0)*0.475*44/12</f>
        <v>0.25098829014002222</v>
      </c>
      <c r="BR166" s="21">
        <f>EXP(-LN(2)/2)*BR165+(1-EXP(-LN(2)/2))/(LN(2)/2)*BL166*BO166*VLOOKUP('Données projet'!$B$11,Paramètres!$A$1:$I$89,3,0)*0.475*44/12</f>
        <v>5.6580871916891876E-21</v>
      </c>
      <c r="BS166" s="22">
        <f t="shared" si="169"/>
        <v>3.9014064858132151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323.17232038705157</v>
      </c>
      <c r="T167" s="59">
        <f t="shared" si="142"/>
        <v>402.34685738619197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355.09162485318728</v>
      </c>
      <c r="AO167" s="59">
        <f t="shared" si="144"/>
        <v>320.06572891923685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119.99995828001613</v>
      </c>
      <c r="BJ167" s="59">
        <f t="shared" si="146"/>
        <v>317.56542444086261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3.5788357213912887</v>
      </c>
      <c r="BQ167" s="21">
        <f>EXP(-LN(2)/25)*BQ166+(1-EXP(-LN(2)/25))/(LN(2)/25)*Calculateur!BL167*Calculateur!BN167*VLOOKUP('Données projet'!$B$11,Paramètres!$A$1:$I$89,3,0)*0.475*44/12</f>
        <v>0.24412500214724278</v>
      </c>
      <c r="BR167" s="21">
        <f>EXP(-LN(2)/2)*BR166+(1-EXP(-LN(2)/2))/(LN(2)/2)*BL167*BO167*VLOOKUP('Données projet'!$B$11,Paramètres!$A$1:$I$89,3,0)*0.475*44/12</f>
        <v>4.0008718217881735E-21</v>
      </c>
      <c r="BS167" s="22">
        <f t="shared" si="169"/>
        <v>3.8229607235385314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323.17232038705157</v>
      </c>
      <c r="T168" s="59">
        <f t="shared" si="142"/>
        <v>402.34685738619197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355.09162485318728</v>
      </c>
      <c r="AO168" s="59">
        <f t="shared" si="144"/>
        <v>320.06572891923685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119.99995828001613</v>
      </c>
      <c r="BJ168" s="59">
        <f t="shared" si="146"/>
        <v>317.56542444086261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3.5086569357690545</v>
      </c>
      <c r="BQ168" s="21">
        <f>EXP(-LN(2)/25)*BQ167+(1-EXP(-LN(2)/25))/(LN(2)/25)*Calculateur!BL168*Calculateur!BN168*VLOOKUP('Données projet'!$B$11,Paramètres!$A$1:$I$89,3,0)*0.475*44/12</f>
        <v>0.23744939112555052</v>
      </c>
      <c r="BR168" s="21">
        <f>EXP(-LN(2)/2)*BR167+(1-EXP(-LN(2)/2))/(LN(2)/2)*BL168*BO168*VLOOKUP('Données projet'!$B$11,Paramètres!$A$1:$I$89,3,0)*0.475*44/12</f>
        <v>2.8290435958445938E-21</v>
      </c>
      <c r="BS168" s="22">
        <f t="shared" si="169"/>
        <v>3.7461063268946049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323.17232038705157</v>
      </c>
      <c r="T169" s="59">
        <f t="shared" si="142"/>
        <v>402.34685738619197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355.09162485318728</v>
      </c>
      <c r="AO169" s="59">
        <f t="shared" si="144"/>
        <v>320.06572891923685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119.99995828001613</v>
      </c>
      <c r="BJ169" s="59">
        <f t="shared" si="146"/>
        <v>317.56542444086261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3.4398543133280399</v>
      </c>
      <c r="BQ169" s="21">
        <f>EXP(-LN(2)/25)*BQ168+(1-EXP(-LN(2)/25))/(LN(2)/25)*Calculateur!BL169*Calculateur!BN169*VLOOKUP('Données projet'!$B$11,Paramètres!$A$1:$I$89,3,0)*0.475*44/12</f>
        <v>0.23095632503830157</v>
      </c>
      <c r="BR169" s="21">
        <f>EXP(-LN(2)/2)*BR168+(1-EXP(-LN(2)/2))/(LN(2)/2)*BL169*BO169*VLOOKUP('Données projet'!$B$11,Paramètres!$A$1:$I$89,3,0)*0.475*44/12</f>
        <v>2.0004359108940868E-21</v>
      </c>
      <c r="BS169" s="22">
        <f t="shared" si="169"/>
        <v>3.6708106383663415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323.17232038705157</v>
      </c>
      <c r="T170" s="59">
        <f t="shared" si="142"/>
        <v>402.34685738619197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355.09162485318728</v>
      </c>
      <c r="AO170" s="59">
        <f t="shared" si="144"/>
        <v>320.06572891923685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119.99995828001613</v>
      </c>
      <c r="BJ170" s="59">
        <f t="shared" si="146"/>
        <v>317.56542444086261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3.3724008683476376</v>
      </c>
      <c r="BQ170" s="21">
        <f>EXP(-LN(2)/25)*BQ169+(1-EXP(-LN(2)/25))/(LN(2)/25)*Calculateur!BL170*Calculateur!BN170*VLOOKUP('Données projet'!$B$11,Paramètres!$A$1:$I$89,3,0)*0.475*44/12</f>
        <v>0.22464081218466395</v>
      </c>
      <c r="BR170" s="21">
        <f>EXP(-LN(2)/2)*BR169+(1-EXP(-LN(2)/2))/(LN(2)/2)*BL170*BO170*VLOOKUP('Données projet'!$B$11,Paramètres!$A$1:$I$89,3,0)*0.475*44/12</f>
        <v>1.4145217979222969E-21</v>
      </c>
      <c r="BS170" s="22">
        <f t="shared" si="169"/>
        <v>3.5970416805323016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323.17232038705157</v>
      </c>
      <c r="T171" s="59">
        <f t="shared" si="142"/>
        <v>402.34685738619197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355.09162485318728</v>
      </c>
      <c r="AO171" s="59">
        <f t="shared" si="144"/>
        <v>320.06572891923685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119.99995828001613</v>
      </c>
      <c r="BJ171" s="59">
        <f t="shared" si="146"/>
        <v>317.56542444086261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3.306270144280762</v>
      </c>
      <c r="BQ171" s="21">
        <f>EXP(-LN(2)/25)*BQ170+(1-EXP(-LN(2)/25))/(LN(2)/25)*Calculateur!BL171*Calculateur!BN171*VLOOKUP('Données projet'!$B$11,Paramètres!$A$1:$I$89,3,0)*0.475*44/12</f>
        <v>0.21849799736212741</v>
      </c>
      <c r="BR171" s="21">
        <f>EXP(-LN(2)/2)*BR170+(1-EXP(-LN(2)/2))/(LN(2)/2)*BL171*BO171*VLOOKUP('Données projet'!$B$11,Paramètres!$A$1:$I$89,3,0)*0.475*44/12</f>
        <v>1.0002179554470434E-21</v>
      </c>
      <c r="BS171" s="22">
        <f t="shared" si="169"/>
        <v>3.5247681416428893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323.17232038705157</v>
      </c>
      <c r="T172" s="59">
        <f t="shared" si="142"/>
        <v>402.34685738619197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355.09162485318728</v>
      </c>
      <c r="AO172" s="59">
        <f t="shared" si="144"/>
        <v>320.06572891923685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119.99995828001613</v>
      </c>
      <c r="BJ172" s="59">
        <f t="shared" si="146"/>
        <v>317.56542444086261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3.2414362033770789</v>
      </c>
      <c r="BQ172" s="21">
        <f>EXP(-LN(2)/25)*BQ171+(1-EXP(-LN(2)/25))/(LN(2)/25)*Calculateur!BL172*Calculateur!BN172*VLOOKUP('Données projet'!$B$11,Paramètres!$A$1:$I$89,3,0)*0.475*44/12</f>
        <v>0.21252315813394973</v>
      </c>
      <c r="BR172" s="21">
        <f>EXP(-LN(2)/2)*BR171+(1-EXP(-LN(2)/2))/(LN(2)/2)*BL172*BO172*VLOOKUP('Données projet'!$B$11,Paramètres!$A$1:$I$89,3,0)*0.475*44/12</f>
        <v>7.0726089896114846E-22</v>
      </c>
      <c r="BS172" s="22">
        <f t="shared" si="169"/>
        <v>3.4539593615110284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323.17232038705157</v>
      </c>
      <c r="T173" s="59">
        <f t="shared" si="142"/>
        <v>402.34685738619197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355.09162485318728</v>
      </c>
      <c r="AO173" s="59">
        <f t="shared" si="144"/>
        <v>320.06572891923685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119.99995828001613</v>
      </c>
      <c r="BJ173" s="59">
        <f t="shared" si="146"/>
        <v>317.56542444086261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3.1778736165097179</v>
      </c>
      <c r="BQ173" s="21">
        <f>EXP(-LN(2)/25)*BQ172+(1-EXP(-LN(2)/25))/(LN(2)/25)*Calculateur!BL173*Calculateur!BN173*VLOOKUP('Données projet'!$B$11,Paramètres!$A$1:$I$89,3,0)*0.475*44/12</f>
        <v>0.20671170119866972</v>
      </c>
      <c r="BR173" s="21">
        <f>EXP(-LN(2)/2)*BR172+(1-EXP(-LN(2)/2))/(LN(2)/2)*BL173*BO173*VLOOKUP('Données projet'!$B$11,Paramètres!$A$1:$I$89,3,0)*0.475*44/12</f>
        <v>5.0010897772352169E-22</v>
      </c>
      <c r="BS173" s="22">
        <f t="shared" si="169"/>
        <v>3.3845853177083876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323.17232038705157</v>
      </c>
      <c r="T174" s="59">
        <f t="shared" si="142"/>
        <v>402.34685738619197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355.09162485318728</v>
      </c>
      <c r="AO174" s="59">
        <f t="shared" si="144"/>
        <v>320.06572891923685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119.99995828001613</v>
      </c>
      <c r="BJ174" s="59">
        <f t="shared" si="146"/>
        <v>317.56542444086261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3.1155574532014758</v>
      </c>
      <c r="BQ174" s="21">
        <f>EXP(-LN(2)/25)*BQ173+(1-EXP(-LN(2)/25))/(LN(2)/25)*Calculateur!BL174*Calculateur!BN174*VLOOKUP('Données projet'!$B$11,Paramètres!$A$1:$I$89,3,0)*0.475*44/12</f>
        <v>0.20105915885889616</v>
      </c>
      <c r="BR174" s="21">
        <f>EXP(-LN(2)/2)*BR173+(1-EXP(-LN(2)/2))/(LN(2)/2)*BL174*BO174*VLOOKUP('Données projet'!$B$11,Paramètres!$A$1:$I$89,3,0)*0.475*44/12</f>
        <v>3.5363044948057423E-22</v>
      </c>
      <c r="BS174" s="22">
        <f t="shared" si="169"/>
        <v>3.3166166120603719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323.17232038705157</v>
      </c>
      <c r="T175" s="59">
        <f t="shared" si="142"/>
        <v>402.34685738619197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355.09162485318728</v>
      </c>
      <c r="AO175" s="59">
        <f t="shared" si="144"/>
        <v>320.06572891923685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119.99995828001613</v>
      </c>
      <c r="BJ175" s="59">
        <f t="shared" si="146"/>
        <v>317.56542444086261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3.0544632718466023</v>
      </c>
      <c r="BQ175" s="21">
        <f>EXP(-LN(2)/25)*BQ174+(1-EXP(-LN(2)/25))/(LN(2)/25)*Calculateur!BL175*Calculateur!BN175*VLOOKUP('Données projet'!$B$11,Paramètres!$A$1:$I$89,3,0)*0.475*44/12</f>
        <v>0.195561185586658</v>
      </c>
      <c r="BR175" s="21">
        <f>EXP(-LN(2)/2)*BR174+(1-EXP(-LN(2)/2))/(LN(2)/2)*BL175*BO175*VLOOKUP('Données projet'!$B$11,Paramètres!$A$1:$I$89,3,0)*0.475*44/12</f>
        <v>2.5005448886176084E-22</v>
      </c>
      <c r="BS175" s="22">
        <f t="shared" si="169"/>
        <v>3.2500244574332604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323.17232038705157</v>
      </c>
      <c r="T176" s="59">
        <f t="shared" si="142"/>
        <v>402.34685738619197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355.09162485318728</v>
      </c>
      <c r="AO176" s="59">
        <f t="shared" si="144"/>
        <v>320.06572891923685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119.99995828001613</v>
      </c>
      <c r="BJ176" s="59">
        <f t="shared" si="146"/>
        <v>317.56542444086261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2.9945671101243265</v>
      </c>
      <c r="BQ176" s="21">
        <f>EXP(-LN(2)/25)*BQ175+(1-EXP(-LN(2)/25))/(LN(2)/25)*Calculateur!BL176*Calculateur!BN176*VLOOKUP('Données projet'!$B$11,Paramètres!$A$1:$I$89,3,0)*0.475*44/12</f>
        <v>0.19021355468267503</v>
      </c>
      <c r="BR176" s="21">
        <f>EXP(-LN(2)/2)*BR175+(1-EXP(-LN(2)/2))/(LN(2)/2)*BL176*BO176*VLOOKUP('Données projet'!$B$11,Paramètres!$A$1:$I$89,3,0)*0.475*44/12</f>
        <v>1.7681522474028711E-22</v>
      </c>
      <c r="BS176" s="22">
        <f t="shared" si="169"/>
        <v>3.1847806648070014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323.17232038705157</v>
      </c>
      <c r="T177" s="59">
        <f t="shared" si="142"/>
        <v>402.34685738619197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355.09162485318728</v>
      </c>
      <c r="AO177" s="59">
        <f t="shared" si="144"/>
        <v>320.06572891923685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119.99995828001613</v>
      </c>
      <c r="BJ177" s="59">
        <f t="shared" si="146"/>
        <v>317.56542444086261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2.9358454756003733</v>
      </c>
      <c r="BQ177" s="21">
        <f>EXP(-LN(2)/25)*BQ176+(1-EXP(-LN(2)/25))/(LN(2)/25)*Calculateur!BL177*Calculateur!BN177*VLOOKUP('Données projet'!$B$11,Paramètres!$A$1:$I$89,3,0)*0.475*44/12</f>
        <v>0.18501215502698118</v>
      </c>
      <c r="BR177" s="21">
        <f>EXP(-LN(2)/2)*BR176+(1-EXP(-LN(2)/2))/(LN(2)/2)*BL177*BO177*VLOOKUP('Données projet'!$B$11,Paramètres!$A$1:$I$89,3,0)*0.475*44/12</f>
        <v>1.2502724443088042E-22</v>
      </c>
      <c r="BS177" s="22">
        <f t="shared" si="169"/>
        <v>3.1208576306273543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323.17232038705157</v>
      </c>
      <c r="T178" s="59">
        <f t="shared" si="142"/>
        <v>402.34685738619197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355.09162485318728</v>
      </c>
      <c r="AO178" s="59">
        <f t="shared" si="144"/>
        <v>320.06572891923685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119.99995828001613</v>
      </c>
      <c r="BJ178" s="59">
        <f t="shared" si="146"/>
        <v>317.56542444086261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2.8782753365127745</v>
      </c>
      <c r="BQ178" s="21">
        <f>EXP(-LN(2)/25)*BQ177+(1-EXP(-LN(2)/25))/(LN(2)/25)*Calculateur!BL178*Calculateur!BN178*VLOOKUP('Données projet'!$B$11,Paramètres!$A$1:$I$89,3,0)*0.475*44/12</f>
        <v>0.179952987918402</v>
      </c>
      <c r="BR178" s="21">
        <f>EXP(-LN(2)/2)*BR177+(1-EXP(-LN(2)/2))/(LN(2)/2)*BL178*BO178*VLOOKUP('Données projet'!$B$11,Paramètres!$A$1:$I$89,3,0)*0.475*44/12</f>
        <v>8.8407612370143557E-23</v>
      </c>
      <c r="BS178" s="22">
        <f t="shared" si="169"/>
        <v>3.0582283244311763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323.17232038705157</v>
      </c>
      <c r="T179" s="59">
        <f t="shared" si="142"/>
        <v>402.34685738619197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355.09162485318728</v>
      </c>
      <c r="AO179" s="59">
        <f t="shared" si="144"/>
        <v>320.06572891923685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119.99995828001613</v>
      </c>
      <c r="BJ179" s="59">
        <f t="shared" si="146"/>
        <v>317.56542444086261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2.8218341127383657</v>
      </c>
      <c r="BQ179" s="21">
        <f>EXP(-LN(2)/25)*BQ178+(1-EXP(-LN(2)/25))/(LN(2)/25)*Calculateur!BL179*Calculateur!BN179*VLOOKUP('Données projet'!$B$11,Paramètres!$A$1:$I$89,3,0)*0.475*44/12</f>
        <v>0.17503216400045696</v>
      </c>
      <c r="BR179" s="21">
        <f>EXP(-LN(2)/2)*BR178+(1-EXP(-LN(2)/2))/(LN(2)/2)*BL179*BO179*VLOOKUP('Données projet'!$B$11,Paramètres!$A$1:$I$89,3,0)*0.475*44/12</f>
        <v>6.2513622215440211E-23</v>
      </c>
      <c r="BS179" s="22">
        <f t="shared" si="169"/>
        <v>2.9968662767388228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323.17232038705157</v>
      </c>
      <c r="T180" s="59">
        <f t="shared" si="142"/>
        <v>402.34685738619197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355.09162485318728</v>
      </c>
      <c r="AO180" s="59">
        <f t="shared" si="144"/>
        <v>320.06572891923685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119.99995828001613</v>
      </c>
      <c r="BJ180" s="59">
        <f t="shared" si="146"/>
        <v>317.56542444086261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2.7664996669364257</v>
      </c>
      <c r="BQ180" s="21">
        <f>EXP(-LN(2)/25)*BQ179+(1-EXP(-LN(2)/25))/(LN(2)/25)*Calculateur!BL180*Calculateur!BN180*VLOOKUP('Données projet'!$B$11,Paramètres!$A$1:$I$89,3,0)*0.475*44/12</f>
        <v>0.170245900271323</v>
      </c>
      <c r="BR180" s="21">
        <f>EXP(-LN(2)/2)*BR179+(1-EXP(-LN(2)/2))/(LN(2)/2)*BL180*BO180*VLOOKUP('Données projet'!$B$11,Paramètres!$A$1:$I$89,3,0)*0.475*44/12</f>
        <v>4.4203806185071778E-23</v>
      </c>
      <c r="BS180" s="22">
        <f t="shared" si="169"/>
        <v>2.9367455672077485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323.17232038705157</v>
      </c>
      <c r="T181" s="59">
        <f t="shared" si="142"/>
        <v>402.34685738619197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355.09162485318728</v>
      </c>
      <c r="AO181" s="59">
        <f t="shared" si="144"/>
        <v>320.06572891923685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119.99995828001613</v>
      </c>
      <c r="BJ181" s="59">
        <f t="shared" si="146"/>
        <v>317.56542444086261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2.7122502958659824</v>
      </c>
      <c r="BQ181" s="21">
        <f>EXP(-LN(2)/25)*BQ180+(1-EXP(-LN(2)/25))/(LN(2)/25)*Calculateur!BL181*Calculateur!BN181*VLOOKUP('Données projet'!$B$11,Paramètres!$A$1:$I$89,3,0)*0.475*44/12</f>
        <v>0.16559051717556086</v>
      </c>
      <c r="BR181" s="21">
        <f>EXP(-LN(2)/2)*BR180+(1-EXP(-LN(2)/2))/(LN(2)/2)*BL181*BO181*VLOOKUP('Données projet'!$B$11,Paramètres!$A$1:$I$89,3,0)*0.475*44/12</f>
        <v>3.1256811107720106E-23</v>
      </c>
      <c r="BS181" s="22">
        <f t="shared" si="169"/>
        <v>2.8778408130415434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323.17232038705157</v>
      </c>
      <c r="T182" s="59">
        <f t="shared" si="142"/>
        <v>402.34685738619197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355.09162485318728</v>
      </c>
      <c r="AO182" s="59">
        <f t="shared" si="144"/>
        <v>320.06572891923685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119.99995828001613</v>
      </c>
      <c r="BJ182" s="59">
        <f t="shared" si="146"/>
        <v>317.56542444086261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2.6590647218733814</v>
      </c>
      <c r="BQ182" s="21">
        <f>EXP(-LN(2)/25)*BQ181+(1-EXP(-LN(2)/25))/(LN(2)/25)*Calculateur!BL182*Calculateur!BN182*VLOOKUP('Données projet'!$B$11,Paramètres!$A$1:$I$89,3,0)*0.475*44/12</f>
        <v>0.16106243577536833</v>
      </c>
      <c r="BR182" s="21">
        <f>EXP(-LN(2)/2)*BR181+(1-EXP(-LN(2)/2))/(LN(2)/2)*BL182*BO182*VLOOKUP('Données projet'!$B$11,Paramètres!$A$1:$I$89,3,0)*0.475*44/12</f>
        <v>2.2101903092535889E-23</v>
      </c>
      <c r="BS182" s="22">
        <f t="shared" si="169"/>
        <v>2.8201271576487499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323.17232038705157</v>
      </c>
      <c r="T183" s="59">
        <f t="shared" si="142"/>
        <v>402.34685738619197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355.09162485318728</v>
      </c>
      <c r="AO183" s="59">
        <f t="shared" si="144"/>
        <v>320.06572891923685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119.99995828001613</v>
      </c>
      <c r="BJ183" s="59">
        <f t="shared" si="146"/>
        <v>317.56542444086261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2.6069220845467784</v>
      </c>
      <c r="BQ183" s="21">
        <f>EXP(-LN(2)/25)*BQ182+(1-EXP(-LN(2)/25))/(LN(2)/25)*Calculateur!BL183*Calculateur!BN183*VLOOKUP('Données projet'!$B$11,Paramètres!$A$1:$I$89,3,0)*0.475*44/12</f>
        <v>0.1566581749991855</v>
      </c>
      <c r="BR183" s="21">
        <f>EXP(-LN(2)/2)*BR182+(1-EXP(-LN(2)/2))/(LN(2)/2)*BL183*BO183*VLOOKUP('Données projet'!$B$11,Paramètres!$A$1:$I$89,3,0)*0.475*44/12</f>
        <v>1.5628405553860053E-23</v>
      </c>
      <c r="BS183" s="22">
        <f t="shared" si="169"/>
        <v>2.763580259545964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323.17232038705157</v>
      </c>
      <c r="T184" s="59">
        <f t="shared" si="142"/>
        <v>402.34685738619197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355.09162485318728</v>
      </c>
      <c r="AO184" s="59">
        <f t="shared" si="144"/>
        <v>320.06572891923685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119.99995828001613</v>
      </c>
      <c r="BJ184" s="59">
        <f t="shared" si="146"/>
        <v>317.56542444086261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2.5558019325342816</v>
      </c>
      <c r="BQ184" s="21">
        <f>EXP(-LN(2)/25)*BQ183+(1-EXP(-LN(2)/25))/(LN(2)/25)*Calculateur!BL184*Calculateur!BN184*VLOOKUP('Données projet'!$B$11,Paramètres!$A$1:$I$89,3,0)*0.475*44/12</f>
        <v>0.15237434896553739</v>
      </c>
      <c r="BR184" s="21">
        <f>EXP(-LN(2)/2)*BR183+(1-EXP(-LN(2)/2))/(LN(2)/2)*BL184*BO184*VLOOKUP('Données projet'!$B$11,Paramètres!$A$1:$I$89,3,0)*0.475*44/12</f>
        <v>1.1050951546267945E-23</v>
      </c>
      <c r="BS184" s="22">
        <f t="shared" si="169"/>
        <v>2.7081762814998189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323.17232038705157</v>
      </c>
      <c r="T185" s="59">
        <f t="shared" si="142"/>
        <v>402.34685738619197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355.09162485318728</v>
      </c>
      <c r="AO185" s="59">
        <f t="shared" si="144"/>
        <v>320.06572891923685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119.99995828001613</v>
      </c>
      <c r="BJ185" s="59">
        <f t="shared" si="146"/>
        <v>317.56542444086261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2.5056842155225358</v>
      </c>
      <c r="BQ185" s="21">
        <f>EXP(-LN(2)/25)*BQ184+(1-EXP(-LN(2)/25))/(LN(2)/25)*Calculateur!BL185*Calculateur!BN185*VLOOKUP('Données projet'!$B$11,Paramètres!$A$1:$I$89,3,0)*0.475*44/12</f>
        <v>0.148207664380056</v>
      </c>
      <c r="BR185" s="21">
        <f>EXP(-LN(2)/2)*BR184+(1-EXP(-LN(2)/2))/(LN(2)/2)*BL185*BO185*VLOOKUP('Données projet'!$B$11,Paramètres!$A$1:$I$89,3,0)*0.475*44/12</f>
        <v>7.8142027769300264E-24</v>
      </c>
      <c r="BS185" s="22">
        <f t="shared" si="169"/>
        <v>2.6538918799025919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323.17232038705157</v>
      </c>
      <c r="T186" s="59">
        <f t="shared" si="142"/>
        <v>402.34685738619197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355.09162485318728</v>
      </c>
      <c r="AO186" s="59">
        <f t="shared" si="144"/>
        <v>320.06572891923685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119.99995828001613</v>
      </c>
      <c r="BJ186" s="59">
        <f t="shared" si="146"/>
        <v>317.56542444086261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2.4565492763726016</v>
      </c>
      <c r="BQ186" s="21">
        <f>EXP(-LN(2)/25)*BQ185+(1-EXP(-LN(2)/25))/(LN(2)/25)*Calculateur!BL186*Calculateur!BN186*VLOOKUP('Données projet'!$B$11,Paramètres!$A$1:$I$89,3,0)*0.475*44/12</f>
        <v>0.14415491800368105</v>
      </c>
      <c r="BR186" s="21">
        <f>EXP(-LN(2)/2)*BR185+(1-EXP(-LN(2)/2))/(LN(2)/2)*BL186*BO186*VLOOKUP('Données projet'!$B$11,Paramètres!$A$1:$I$89,3,0)*0.475*44/12</f>
        <v>5.5254757731339723E-24</v>
      </c>
      <c r="BS186" s="22">
        <f t="shared" si="169"/>
        <v>2.6007041943762825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323.17232038705157</v>
      </c>
      <c r="T187" s="59">
        <f t="shared" si="142"/>
        <v>402.34685738619197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355.09162485318728</v>
      </c>
      <c r="AO187" s="59">
        <f t="shared" si="144"/>
        <v>320.06572891923685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119.99995828001613</v>
      </c>
      <c r="BJ187" s="59">
        <f t="shared" si="146"/>
        <v>317.56542444086261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2.4083778434100438</v>
      </c>
      <c r="BQ187" s="21">
        <f>EXP(-LN(2)/25)*BQ186+(1-EXP(-LN(2)/25))/(LN(2)/25)*Calculateur!BL187*Calculateur!BN187*VLOOKUP('Données projet'!$B$11,Paramètres!$A$1:$I$89,3,0)*0.475*44/12</f>
        <v>0.14021299419009273</v>
      </c>
      <c r="BR187" s="21">
        <f>EXP(-LN(2)/2)*BR186+(1-EXP(-LN(2)/2))/(LN(2)/2)*BL187*BO187*VLOOKUP('Données projet'!$B$11,Paramètres!$A$1:$I$89,3,0)*0.475*44/12</f>
        <v>3.9071013884650132E-24</v>
      </c>
      <c r="BS187" s="22">
        <f t="shared" si="169"/>
        <v>2.5485908376001367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323.17232038705157</v>
      </c>
      <c r="T188" s="59">
        <f t="shared" si="142"/>
        <v>402.34685738619197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355.09162485318728</v>
      </c>
      <c r="AO188" s="59">
        <f t="shared" si="144"/>
        <v>320.06572891923685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119.99995828001613</v>
      </c>
      <c r="BJ188" s="59">
        <f t="shared" si="146"/>
        <v>317.56542444086261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2.3611510228662089</v>
      </c>
      <c r="BQ188" s="21">
        <f>EXP(-LN(2)/25)*BQ187+(1-EXP(-LN(2)/25))/(LN(2)/25)*Calculateur!BL188*Calculateur!BN188*VLOOKUP('Données projet'!$B$11,Paramètres!$A$1:$I$89,3,0)*0.475*44/12</f>
        <v>0.13637886249048373</v>
      </c>
      <c r="BR188" s="21">
        <f>EXP(-LN(2)/2)*BR187+(1-EXP(-LN(2)/2))/(LN(2)/2)*BL188*BO188*VLOOKUP('Données projet'!$B$11,Paramètres!$A$1:$I$89,3,0)*0.475*44/12</f>
        <v>2.7627378865669862E-24</v>
      </c>
      <c r="BS188" s="22">
        <f t="shared" si="169"/>
        <v>2.4975298853566925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323.17232038705157</v>
      </c>
      <c r="T189" s="59">
        <f t="shared" si="142"/>
        <v>402.34685738619197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355.09162485318728</v>
      </c>
      <c r="AO189" s="59">
        <f t="shared" si="144"/>
        <v>320.06572891923685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119.99995828001613</v>
      </c>
      <c r="BJ189" s="59">
        <f t="shared" si="146"/>
        <v>317.56542444086261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2.3148502914677227</v>
      </c>
      <c r="BQ189" s="21">
        <f>EXP(-LN(2)/25)*BQ188+(1-EXP(-LN(2)/25))/(LN(2)/25)*Calculateur!BL189*Calculateur!BN189*VLOOKUP('Données projet'!$B$11,Paramètres!$A$1:$I$89,3,0)*0.475*44/12</f>
        <v>0.13264957532382876</v>
      </c>
      <c r="BR189" s="21">
        <f>EXP(-LN(2)/2)*BR188+(1-EXP(-LN(2)/2))/(LN(2)/2)*BL189*BO189*VLOOKUP('Données projet'!$B$11,Paramètres!$A$1:$I$89,3,0)*0.475*44/12</f>
        <v>1.9535506942325066E-24</v>
      </c>
      <c r="BS189" s="22">
        <f t="shared" si="169"/>
        <v>2.4474998667915515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323.17232038705157</v>
      </c>
      <c r="T190" s="59">
        <f t="shared" si="142"/>
        <v>402.34685738619197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355.09162485318728</v>
      </c>
      <c r="AO190" s="59">
        <f t="shared" si="144"/>
        <v>320.06572891923685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119.99995828001613</v>
      </c>
      <c r="BJ190" s="59">
        <f t="shared" si="146"/>
        <v>317.56542444086261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2.2694574891713031</v>
      </c>
      <c r="BQ190" s="21">
        <f>EXP(-LN(2)/25)*BQ189+(1-EXP(-LN(2)/25))/(LN(2)/25)*Calculateur!BL190*Calculateur!BN190*VLOOKUP('Données projet'!$B$11,Paramètres!$A$1:$I$89,3,0)*0.475*44/12</f>
        <v>0.12902226571086067</v>
      </c>
      <c r="BR190" s="21">
        <f>EXP(-LN(2)/2)*BR189+(1-EXP(-LN(2)/2))/(LN(2)/2)*BL190*BO190*VLOOKUP('Données projet'!$B$11,Paramètres!$A$1:$I$89,3,0)*0.475*44/12</f>
        <v>1.3813689432834931E-24</v>
      </c>
      <c r="BS190" s="22">
        <f t="shared" si="169"/>
        <v>2.3984797548821639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323.17232038705157</v>
      </c>
      <c r="T191" s="59">
        <f t="shared" si="142"/>
        <v>402.34685738619197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355.09162485318728</v>
      </c>
      <c r="AO191" s="59">
        <f t="shared" si="144"/>
        <v>320.06572891923685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119.99995828001613</v>
      </c>
      <c r="BJ191" s="59">
        <f t="shared" si="146"/>
        <v>317.56542444086261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2.2249548120410405</v>
      </c>
      <c r="BQ191" s="21">
        <f>EXP(-LN(2)/25)*BQ190+(1-EXP(-LN(2)/25))/(LN(2)/25)*Calculateur!BL191*Calculateur!BN191*VLOOKUP('Données projet'!$B$11,Paramètres!$A$1:$I$89,3,0)*0.475*44/12</f>
        <v>0.12549414507001111</v>
      </c>
      <c r="BR191" s="21">
        <f>EXP(-LN(2)/2)*BR190+(1-EXP(-LN(2)/2))/(LN(2)/2)*BL191*BO191*VLOOKUP('Données projet'!$B$11,Paramètres!$A$1:$I$89,3,0)*0.475*44/12</f>
        <v>9.767753471162533E-25</v>
      </c>
      <c r="BS191" s="22">
        <f t="shared" si="169"/>
        <v>2.3504489571110518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323.17232038705157</v>
      </c>
      <c r="T192" s="59">
        <f t="shared" si="142"/>
        <v>402.34685738619197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355.09162485318728</v>
      </c>
      <c r="AO192" s="59">
        <f t="shared" si="144"/>
        <v>320.06572891923685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119.99995828001613</v>
      </c>
      <c r="BJ192" s="59">
        <f t="shared" si="146"/>
        <v>317.56542444086261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2.1813248052653496</v>
      </c>
      <c r="BQ192" s="21">
        <f>EXP(-LN(2)/25)*BQ191+(1-EXP(-LN(2)/25))/(LN(2)/25)*Calculateur!BL192*Calculateur!BN192*VLOOKUP('Données projet'!$B$11,Paramètres!$A$1:$I$89,3,0)*0.475*44/12</f>
        <v>0.12206250107362139</v>
      </c>
      <c r="BR192" s="21">
        <f>EXP(-LN(2)/2)*BR191+(1-EXP(-LN(2)/2))/(LN(2)/2)*BL192*BO192*VLOOKUP('Données projet'!$B$11,Paramètres!$A$1:$I$89,3,0)*0.475*44/12</f>
        <v>6.9068447164174654E-25</v>
      </c>
      <c r="BS192" s="22">
        <f t="shared" si="169"/>
        <v>2.3033873063389709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323.17232038705157</v>
      </c>
      <c r="T193" s="59">
        <f t="shared" si="142"/>
        <v>402.34685738619197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355.09162485318728</v>
      </c>
      <c r="AO193" s="59">
        <f t="shared" si="144"/>
        <v>320.06572891923685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119.99995828001613</v>
      </c>
      <c r="BJ193" s="59">
        <f t="shared" si="146"/>
        <v>317.56542444086261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2.1385503563108537</v>
      </c>
      <c r="BQ193" s="21">
        <f>EXP(-LN(2)/25)*BQ192+(1-EXP(-LN(2)/25))/(LN(2)/25)*Calculateur!BL193*Calculateur!BN193*VLOOKUP('Données projet'!$B$11,Paramètres!$A$1:$I$89,3,0)*0.475*44/12</f>
        <v>0.11872469556277526</v>
      </c>
      <c r="BR193" s="21">
        <f>EXP(-LN(2)/2)*BR192+(1-EXP(-LN(2)/2))/(LN(2)/2)*BL193*BO193*VLOOKUP('Données projet'!$B$11,Paramètres!$A$1:$I$89,3,0)*0.475*44/12</f>
        <v>4.8838767355812665E-25</v>
      </c>
      <c r="BS193" s="22">
        <f t="shared" si="169"/>
        <v>2.2572750518736289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323.17232038705157</v>
      </c>
      <c r="T194" s="59">
        <f t="shared" si="142"/>
        <v>402.34685738619197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355.09162485318728</v>
      </c>
      <c r="AO194" s="59">
        <f t="shared" si="144"/>
        <v>320.06572891923685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119.99995828001613</v>
      </c>
      <c r="BJ194" s="59">
        <f t="shared" si="146"/>
        <v>317.56542444086261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2.0966146882105177</v>
      </c>
      <c r="BQ194" s="21">
        <f>EXP(-LN(2)/25)*BQ193+(1-EXP(-LN(2)/25))/(LN(2)/25)*Calculateur!BL194*Calculateur!BN194*VLOOKUP('Données projet'!$B$11,Paramètres!$A$1:$I$89,3,0)*0.475*44/12</f>
        <v>0.11547816251915079</v>
      </c>
      <c r="BR194" s="21">
        <f>EXP(-LN(2)/2)*BR193+(1-EXP(-LN(2)/2))/(LN(2)/2)*BL194*BO194*VLOOKUP('Données projet'!$B$11,Paramètres!$A$1:$I$89,3,0)*0.475*44/12</f>
        <v>3.4534223582087327E-25</v>
      </c>
      <c r="BS194" s="22">
        <f t="shared" si="169"/>
        <v>2.2120928507296687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323.17232038705157</v>
      </c>
      <c r="T195" s="59">
        <f t="shared" si="142"/>
        <v>402.34685738619197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355.09162485318728</v>
      </c>
      <c r="AO195" s="59">
        <f t="shared" si="144"/>
        <v>320.06572891923685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119.99995828001613</v>
      </c>
      <c r="BJ195" s="59">
        <f t="shared" si="146"/>
        <v>317.56542444086261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2.0555013529833972</v>
      </c>
      <c r="BQ195" s="21">
        <f>EXP(-LN(2)/25)*BQ194+(1-EXP(-LN(2)/25))/(LN(2)/25)*Calculateur!BL195*Calculateur!BN195*VLOOKUP('Données projet'!$B$11,Paramètres!$A$1:$I$89,3,0)*0.475*44/12</f>
        <v>0.11232040609233197</v>
      </c>
      <c r="BR195" s="21">
        <f>EXP(-LN(2)/2)*BR194+(1-EXP(-LN(2)/2))/(LN(2)/2)*BL195*BO195*VLOOKUP('Données projet'!$B$11,Paramètres!$A$1:$I$89,3,0)*0.475*44/12</f>
        <v>2.4419383677906333E-25</v>
      </c>
      <c r="BS195" s="22">
        <f t="shared" si="169"/>
        <v>2.1678217590757294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323.17232038705157</v>
      </c>
      <c r="T196" s="59">
        <f t="shared" si="142"/>
        <v>402.34685738619197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355.09162485318728</v>
      </c>
      <c r="AO196" s="59">
        <f t="shared" si="144"/>
        <v>320.06572891923685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119.99995828001613</v>
      </c>
      <c r="BJ196" s="59">
        <f t="shared" si="146"/>
        <v>317.56542444086261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2.0151942251834223</v>
      </c>
      <c r="BQ196" s="21">
        <f>EXP(-LN(2)/25)*BQ195+(1-EXP(-LN(2)/25))/(LN(2)/25)*Calculateur!BL196*Calculateur!BN196*VLOOKUP('Données projet'!$B$11,Paramètres!$A$1:$I$89,3,0)*0.475*44/12</f>
        <v>0.10924899868106371</v>
      </c>
      <c r="BR196" s="21">
        <f>EXP(-LN(2)/2)*BR195+(1-EXP(-LN(2)/2))/(LN(2)/2)*BL196*BO196*VLOOKUP('Données projet'!$B$11,Paramètres!$A$1:$I$89,3,0)*0.475*44/12</f>
        <v>1.7267111791043663E-25</v>
      </c>
      <c r="BS196" s="22">
        <f t="shared" si="169"/>
        <v>2.1244432238644859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323.17232038705157</v>
      </c>
      <c r="T197" s="59">
        <f t="shared" ref="T197:T203" si="204">$T$3</f>
        <v>402.34685738619197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355.09162485318728</v>
      </c>
      <c r="AO197" s="59">
        <f t="shared" ref="AO197:AO203" si="205">$AO$3</f>
        <v>320.06572891923685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119.99995828001613</v>
      </c>
      <c r="BJ197" s="59">
        <f t="shared" ref="BJ197:BJ203" si="206">$BJ$3</f>
        <v>317.56542444086261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1.9756774955746845</v>
      </c>
      <c r="BQ197" s="21">
        <f>EXP(-LN(2)/25)*BQ196+(1-EXP(-LN(2)/25))/(LN(2)/25)*Calculateur!BL197*Calculateur!BN197*VLOOKUP('Données projet'!$B$11,Paramètres!$A$1:$I$89,3,0)*0.475*44/12</f>
        <v>0.10626157906697486</v>
      </c>
      <c r="BR197" s="21">
        <f>EXP(-LN(2)/2)*BR196+(1-EXP(-LN(2)/2))/(LN(2)/2)*BL197*BO197*VLOOKUP('Données projet'!$B$11,Paramètres!$A$1:$I$89,3,0)*0.475*44/12</f>
        <v>1.2209691838953166E-25</v>
      </c>
      <c r="BS197" s="22">
        <f t="shared" si="169"/>
        <v>2.0819390746416593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323.17232038705157</v>
      </c>
      <c r="T198" s="59">
        <f t="shared" si="204"/>
        <v>402.34685738619197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355.09162485318728</v>
      </c>
      <c r="AO198" s="59">
        <f t="shared" si="205"/>
        <v>320.06572891923685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119.99995828001613</v>
      </c>
      <c r="BJ198" s="59">
        <f t="shared" si="206"/>
        <v>317.56542444086261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1.936935664930749</v>
      </c>
      <c r="BQ198" s="21">
        <f>EXP(-LN(2)/25)*BQ197+(1-EXP(-LN(2)/25))/(LN(2)/25)*Calculateur!BL198*Calculateur!BN198*VLOOKUP('Données projet'!$B$11,Paramètres!$A$1:$I$89,3,0)*0.475*44/12</f>
        <v>0.10335585059933486</v>
      </c>
      <c r="BR198" s="21">
        <f>EXP(-LN(2)/2)*BR197+(1-EXP(-LN(2)/2))/(LN(2)/2)*BL198*BO198*VLOOKUP('Données projet'!$B$11,Paramètres!$A$1:$I$89,3,0)*0.475*44/12</f>
        <v>8.6335558955218317E-26</v>
      </c>
      <c r="BS198" s="22">
        <f t="shared" si="169"/>
        <v>2.0402915155300838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323.17232038705157</v>
      </c>
      <c r="T199" s="59">
        <f t="shared" si="204"/>
        <v>402.34685738619197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355.09162485318728</v>
      </c>
      <c r="AO199" s="59">
        <f t="shared" si="205"/>
        <v>320.06572891923685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119.99995828001613</v>
      </c>
      <c r="BJ199" s="59">
        <f t="shared" si="206"/>
        <v>317.56542444086261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1.8989535379555575</v>
      </c>
      <c r="BQ199" s="21">
        <f>EXP(-LN(2)/25)*BQ198+(1-EXP(-LN(2)/25))/(LN(2)/25)*Calculateur!BL199*Calculateur!BN199*VLOOKUP('Données projet'!$B$11,Paramètres!$A$1:$I$89,3,0)*0.475*44/12</f>
        <v>0.10052957942944808</v>
      </c>
      <c r="BR199" s="21">
        <f>EXP(-LN(2)/2)*BR198+(1-EXP(-LN(2)/2))/(LN(2)/2)*BL199*BO199*VLOOKUP('Données projet'!$B$11,Paramètres!$A$1:$I$89,3,0)*0.475*44/12</f>
        <v>6.1048459194765831E-26</v>
      </c>
      <c r="BS199" s="22">
        <f t="shared" si="169"/>
        <v>1.9994831173850056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323.17232038705157</v>
      </c>
      <c r="T200" s="59">
        <f t="shared" si="204"/>
        <v>402.34685738619197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355.09162485318728</v>
      </c>
      <c r="AO200" s="59">
        <f t="shared" si="205"/>
        <v>320.06572891923685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119.99995828001613</v>
      </c>
      <c r="BJ200" s="59">
        <f t="shared" si="206"/>
        <v>317.56542444086261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1.8617162173235398</v>
      </c>
      <c r="BQ200" s="21">
        <f>EXP(-LN(2)/25)*BQ199+(1-EXP(-LN(2)/25))/(LN(2)/25)*Calculateur!BL200*Calculateur!BN200*VLOOKUP('Données projet'!$B$11,Paramètres!$A$1:$I$89,3,0)*0.475*44/12</f>
        <v>9.7780592793328999E-2</v>
      </c>
      <c r="BR200" s="21">
        <f>EXP(-LN(2)/2)*BR199+(1-EXP(-LN(2)/2))/(LN(2)/2)*BL200*BO200*VLOOKUP('Données projet'!$B$11,Paramètres!$A$1:$I$89,3,0)*0.475*44/12</f>
        <v>4.3167779477609159E-26</v>
      </c>
      <c r="BS200" s="22">
        <f t="shared" si="169"/>
        <v>1.9594968101168688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323.17232038705157</v>
      </c>
      <c r="T201" s="59">
        <f t="shared" si="204"/>
        <v>402.34685738619197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355.09162485318728</v>
      </c>
      <c r="AO201" s="59">
        <f t="shared" si="205"/>
        <v>320.06572891923685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119.99995828001613</v>
      </c>
      <c r="BJ201" s="59">
        <f t="shared" si="206"/>
        <v>317.56542444086261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1.8252090978365929</v>
      </c>
      <c r="BQ201" s="21">
        <f>EXP(-LN(2)/25)*BQ200+(1-EXP(-LN(2)/25))/(LN(2)/25)*Calculateur!BL201*Calculateur!BN201*VLOOKUP('Données projet'!$B$11,Paramètres!$A$1:$I$89,3,0)*0.475*44/12</f>
        <v>9.5106777341337517E-2</v>
      </c>
      <c r="BR201" s="21">
        <f>EXP(-LN(2)/2)*BR200+(1-EXP(-LN(2)/2))/(LN(2)/2)*BL201*BO201*VLOOKUP('Données projet'!$B$11,Paramètres!$A$1:$I$89,3,0)*0.475*44/12</f>
        <v>3.0524229597382916E-26</v>
      </c>
      <c r="BS201" s="22">
        <f t="shared" si="169"/>
        <v>1.9203158751779303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323.17232038705157</v>
      </c>
      <c r="T202" s="59">
        <f t="shared" si="204"/>
        <v>402.34685738619197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355.09162485318728</v>
      </c>
      <c r="AO202" s="59">
        <f t="shared" si="205"/>
        <v>320.06572891923685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119.99995828001613</v>
      </c>
      <c r="BJ202" s="59">
        <f t="shared" si="206"/>
        <v>317.56542444086261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1.789417860695641</v>
      </c>
      <c r="BQ202" s="21">
        <f>EXP(-LN(2)/25)*BQ201+(1-EXP(-LN(2)/25))/(LN(2)/25)*Calculateur!BL202*Calculateur!BN202*VLOOKUP('Données projet'!$B$11,Paramètres!$A$1:$I$89,3,0)*0.475*44/12</f>
        <v>9.2506077513490589E-2</v>
      </c>
      <c r="BR202" s="21">
        <f>EXP(-LN(2)/2)*BR201+(1-EXP(-LN(2)/2))/(LN(2)/2)*BL202*BO202*VLOOKUP('Données projet'!$B$11,Paramètres!$A$1:$I$89,3,0)*0.475*44/12</f>
        <v>2.1583889738804579E-26</v>
      </c>
      <c r="BS202" s="22">
        <f t="shared" si="169"/>
        <v>1.8819239382091315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323.17232038705157</v>
      </c>
      <c r="T203" s="59">
        <f t="shared" si="204"/>
        <v>402.34685738619197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355.09162485318728</v>
      </c>
      <c r="AO203" s="59">
        <f t="shared" si="205"/>
        <v>320.06572891923685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119.99995828001613</v>
      </c>
      <c r="BJ203" s="59">
        <f t="shared" si="206"/>
        <v>317.56542444086261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1.7543284678845241</v>
      </c>
      <c r="BQ203" s="21">
        <f>EXP(-LN(2)/25)*BQ202+(1-EXP(-LN(2)/25))/(LN(2)/25)*Calculateur!BL203*Calculateur!BN203*VLOOKUP('Données projet'!$B$11,Paramètres!$A$1:$I$89,3,0)*0.475*44/12</f>
        <v>8.9976493959201001E-2</v>
      </c>
      <c r="BR203" s="21">
        <f>EXP(-LN(2)/2)*BR202+(1-EXP(-LN(2)/2))/(LN(2)/2)*BL203*BO203*VLOOKUP('Données projet'!$B$11,Paramètres!$A$1:$I$89,3,0)*0.475*44/12</f>
        <v>1.5262114798691458E-26</v>
      </c>
      <c r="BS203" s="22">
        <f t="shared" si="169"/>
        <v>1.8443049618437251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0.42937043954955023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10.8</v>
      </c>
      <c r="C6" s="147">
        <f ca="1">IF(OR('Données projet'!B9="",'Données projet'!C9="",'Données projet'!C9=0%),0,Calculateur!S3)</f>
        <v>323.17232038705157</v>
      </c>
      <c r="D6" s="147">
        <f>IF(OR('Données projet'!B9="",'Données projet'!C9="",'Données projet'!C9=0%),0,Calculateur!T3)</f>
        <v>402.34685738619197</v>
      </c>
      <c r="E6" s="147">
        <f ca="1">MIN(C6,D6)</f>
        <v>323.17232038705157</v>
      </c>
      <c r="F6" s="147">
        <f ca="1">E6*B6</f>
        <v>3490.2610601801571</v>
      </c>
      <c r="G6" s="147">
        <f ca="1">F6*(100%-'Données projet'!$C$24)*(100%-'Données projet'!$C$25)*(100%-'Données projet'!$C$26)*(100%-'Données projet'!$C$27)</f>
        <v>3141.2349541621415</v>
      </c>
      <c r="H6" s="148">
        <f>IF(OR('Données projet'!B9="",'Données projet'!C9="",'Données projet'!C9=0%),0,AVERAGE(Calculateur!$AC$3:$AC$33)*B6)</f>
        <v>140.60458555286496</v>
      </c>
      <c r="I6" s="149">
        <f>H6*(100%-'Données projet'!$C$24)*(100%-'Données projet'!$C$25)*(100%-'Données projet'!$C$26)*(100%-'Données projet'!$C$27)</f>
        <v>126.54412699757847</v>
      </c>
      <c r="J6" s="150">
        <f>IF(OR('Données projet'!B9="",'Données projet'!C9="",'Données projet'!C9=0%),0,SUM(Calculateur!$V$3:$V$33)*VLOOKUP('Données projet'!$B$9,Paramètres!$A$1:$I$89,9,0)*B6)</f>
        <v>927.07698461538473</v>
      </c>
      <c r="K6" s="151">
        <f>J6*(100%-'Données projet'!$C$24)*(100%-'Données projet'!$C$25)*(100%-'Données projet'!$C$26)*(100%-'Données projet'!$C$27)</f>
        <v>834.36928615384625</v>
      </c>
      <c r="L6" s="152">
        <f ca="1">G6+I6+K6</f>
        <v>4102.1483673135663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10.8</v>
      </c>
      <c r="C7" s="147">
        <f ca="1">IF(OR('Données projet'!B10="",'Données projet'!C10="",'Données projet'!C10=0%),0,Calculateur!AN3)</f>
        <v>355.09162485318728</v>
      </c>
      <c r="D7" s="147">
        <f>IF(OR('Données projet'!B10="",'Données projet'!C10="",'Données projet'!C10=0%),0,Calculateur!AO3)</f>
        <v>320.06572891923685</v>
      </c>
      <c r="E7" s="147">
        <f t="shared" ref="E7:E15" ca="1" si="0">MIN(C7,D7)</f>
        <v>320.06572891923685</v>
      </c>
      <c r="F7" s="147">
        <f t="shared" ref="F7:F15" ca="1" si="1">E7*B7</f>
        <v>3456.7098723277581</v>
      </c>
      <c r="G7" s="147">
        <f ca="1">F7*(100%-'Données projet'!$C$24)*(100%-'Données projet'!$C$25)*(100%-'Données projet'!$C$26)*(100%-'Données projet'!$C$27)</f>
        <v>3111.0388850949826</v>
      </c>
      <c r="H7" s="155">
        <f>IF(OR('Données projet'!B10="",'Données projet'!C10="",'Données projet'!C10=0%),0,AVERAGE(Calculateur!$AX$3:$AX$33)*B7)</f>
        <v>89.983390204064776</v>
      </c>
      <c r="I7" s="149">
        <f>H7*(100%-'Données projet'!$C$24)*(100%-'Données projet'!$C$25)*(100%-'Données projet'!$C$26)*(100%-'Données projet'!$C$27)</f>
        <v>80.9850511836583</v>
      </c>
      <c r="J7" s="150">
        <f>IF(OR('Données projet'!B10="",'Données projet'!C10="",'Données projet'!C10=0%),0,SUM(Calculateur!$AQ$3:$AQ$33)*VLOOKUP('Données projet'!$B$10,Paramètres!$A$1:$I$89,9,0)*B7)</f>
        <v>663.27036923076923</v>
      </c>
      <c r="K7" s="151">
        <f>J7*(100%-'Données projet'!$C$24)*(100%-'Données projet'!$C$25)*(100%-'Données projet'!$C$26)*(100%-'Données projet'!$C$27)</f>
        <v>596.94333230769234</v>
      </c>
      <c r="L7" s="152">
        <f t="shared" ref="L7:L15" ca="1" si="2">G7+I7+K7</f>
        <v>3788.9672685863334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Peuplier Dorskamp</v>
      </c>
      <c r="B8" s="154">
        <f>'Données projet'!D11</f>
        <v>2.4000000000000004</v>
      </c>
      <c r="C8" s="147">
        <f ca="1">IF(OR('Données projet'!B11="",'Données projet'!C11="",'Données projet'!C11=0%),0,Calculateur!BI3)</f>
        <v>119.99995828001613</v>
      </c>
      <c r="D8" s="147">
        <f>IF(OR('Données projet'!B11="",'Données projet'!C11="",'Données projet'!C11=0%),0,Calculateur!BJ3)</f>
        <v>317.56542444086261</v>
      </c>
      <c r="E8" s="147">
        <f t="shared" ca="1" si="0"/>
        <v>119.99995828001613</v>
      </c>
      <c r="F8" s="147">
        <f t="shared" ca="1" si="1"/>
        <v>287.99989987203878</v>
      </c>
      <c r="G8" s="147">
        <f ca="1">F8*(100%-'Données projet'!$C$24)*(100%-'Données projet'!$C$25)*(100%-'Données projet'!$C$26)*(100%-'Données projet'!$C$27)</f>
        <v>259.19990988483494</v>
      </c>
      <c r="H8" s="155">
        <f>IF(OR('Données projet'!B11="",'Données projet'!C11="",'Données projet'!C11=0%),0,AVERAGE(Calculateur!$BS$3:$BS$33)*B8)</f>
        <v>62.63156298083463</v>
      </c>
      <c r="I8" s="149">
        <f>H8*(100%-'Données projet'!$C$24)*(100%-'Données projet'!$C$25)*(100%-'Données projet'!$C$26)*(100%-'Données projet'!$C$27)</f>
        <v>56.368406682751171</v>
      </c>
      <c r="J8" s="150">
        <f>IF(OR('Données projet'!B11="",'Données projet'!C11="",'Données projet'!C11=0%),0,SUM(Calculateur!$BL$3:$BL$33)*VLOOKUP('Données projet'!$B$11,Paramètres!$A$1:$I$89,9,0)*B8)</f>
        <v>629.58353846153841</v>
      </c>
      <c r="K8" s="151">
        <f>J8*(100%-'Données projet'!$C$24)*(100%-'Données projet'!$C$25)*(100%-'Données projet'!$C$26)*(100%-'Données projet'!$C$27)</f>
        <v>566.62518461538457</v>
      </c>
      <c r="L8" s="152">
        <f t="shared" ca="1" si="2"/>
        <v>882.19350118297075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7234.9708323799532</v>
      </c>
      <c r="G16" s="166">
        <f t="shared" ca="1" si="3"/>
        <v>6511.4737491419592</v>
      </c>
      <c r="H16" s="167">
        <f t="shared" si="3"/>
        <v>293.21953873776437</v>
      </c>
      <c r="I16" s="167">
        <f t="shared" si="3"/>
        <v>263.89758486398796</v>
      </c>
      <c r="J16" s="168">
        <f t="shared" si="3"/>
        <v>2219.9308923076924</v>
      </c>
      <c r="K16" s="168">
        <f t="shared" si="3"/>
        <v>1997.937803076923</v>
      </c>
      <c r="L16" s="169">
        <f t="shared" ca="1" si="3"/>
        <v>8773.3091370828697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Peuplier Dorskamp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5" zoomScale="80" zoomScaleNormal="80" workbookViewId="0">
      <selection activeCell="C104" sqref="C104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3349.8568350307655</v>
      </c>
      <c r="U10" s="178">
        <f>'Données projet'!D9</f>
        <v>10.8</v>
      </c>
      <c r="V10" s="177">
        <f>U10*T10</f>
        <v>36178.453818332273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1217.599080020394</v>
      </c>
      <c r="U11" s="178">
        <f>'Données projet'!D10</f>
        <v>10.8</v>
      </c>
      <c r="V11" s="177">
        <f t="shared" ref="V11" si="0">U11*T11</f>
        <v>13150.070064220256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Dorskamp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2112.0737766831057</v>
      </c>
      <c r="U12" s="178">
        <f>'Données projet'!D11</f>
        <v>2.4000000000000004</v>
      </c>
      <c r="V12" s="177">
        <f t="shared" ref="V12:V19" si="1">U12*T12</f>
        <v>5068.9770640394545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6875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-103497.23589551329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-103497.23589551329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2"/>
        <v>1613.0769230769229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2"/>
        <v>3243.1538461538457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Peuplier Dorskamp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3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11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12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13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14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15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16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17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18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19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20</v>
      </c>
      <c r="B103" s="181">
        <f>'Données projet'!D106</f>
        <v>254.68589743589735</v>
      </c>
      <c r="C103" s="191">
        <v>20</v>
      </c>
      <c r="D103" s="179">
        <f t="shared" si="6"/>
        <v>5093.7179487179474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2024-06-12T15:00:30Z</dcterms:modified>
</cp:coreProperties>
</file>