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63-B-PASTAUD-NAQ(40)-Garras-Martres-5,5ha/"/>
    </mc:Choice>
  </mc:AlternateContent>
  <xr:revisionPtr revIDLastSave="0" documentId="13_ncr:1_{76049A04-ACB7-0249-B999-DECDB6A8E335}" xr6:coauthVersionLast="47" xr6:coauthVersionMax="47" xr10:uidLastSave="{00000000-0000-0000-0000-000000000000}"/>
  <bookViews>
    <workbookView xWindow="0" yWindow="760" windowWidth="3024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104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H156" i="2" l="1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A185" i="2" l="1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FS201" i="2" l="1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W202" i="2" l="1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DN56" i="2" l="1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1" i="2" l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<sst xmlns="http://schemas.openxmlformats.org/spreadsheetml/2006/main" count="1170" uniqueCount="324">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</sst>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" fontId="0" fillId="14" borderId="1" xfId="1" quotePrefix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1" quotePrefix="1" applyNumberFormat="1" applyFont="1" applyFill="1" applyBorder="1" applyAlignment="1" applyProtection="1">
      <alignment horizontal="center"/>
      <protection locked="0"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4.1851172770417309</c:v>
                </c:pt>
                <c:pt idx="2">
                  <c:v>7.5886451529775245</c:v>
                </c:pt>
                <c:pt idx="3">
                  <c:v>13.774594474013874</c:v>
                </c:pt>
                <c:pt idx="4">
                  <c:v>25.028635145380708</c:v>
                </c:pt>
                <c:pt idx="5">
                  <c:v>45.522347499022452</c:v>
                </c:pt>
                <c:pt idx="6">
                  <c:v>56.154009805049121</c:v>
                </c:pt>
                <c:pt idx="7">
                  <c:v>74.456621092449581</c:v>
                </c:pt>
                <c:pt idx="8">
                  <c:v>92.643648865814782</c:v>
                </c:pt>
                <c:pt idx="9">
                  <c:v>110.74114958485723</c:v>
                </c:pt>
                <c:pt idx="10">
                  <c:v>128.76587381259986</c:v>
                </c:pt>
                <c:pt idx="11">
                  <c:v>110.74114958485723</c:v>
                </c:pt>
                <c:pt idx="12">
                  <c:v>128.25595578678551</c:v>
                </c:pt>
                <c:pt idx="13">
                  <c:v>145.71279513865488</c:v>
                </c:pt>
                <c:pt idx="14">
                  <c:v>163.11959925953104</c:v>
                </c:pt>
                <c:pt idx="15">
                  <c:v>180.48246355197708</c:v>
                </c:pt>
                <c:pt idx="16">
                  <c:v>167.40629090254998</c:v>
                </c:pt>
                <c:pt idx="17">
                  <c:v>183.25019591423055</c:v>
                </c:pt>
                <c:pt idx="18">
                  <c:v>199.06207377683867</c:v>
                </c:pt>
                <c:pt idx="19">
                  <c:v>214.84482747415055</c:v>
                </c:pt>
                <c:pt idx="20">
                  <c:v>230.60089821423978</c:v>
                </c:pt>
                <c:pt idx="21">
                  <c:v>221.09882006502312</c:v>
                </c:pt>
                <c:pt idx="22">
                  <c:v>234.10143728138067</c:v>
                </c:pt>
                <c:pt idx="23">
                  <c:v>247.08757467414918</c:v>
                </c:pt>
                <c:pt idx="24">
                  <c:v>260.05822071370613</c:v>
                </c:pt>
                <c:pt idx="25">
                  <c:v>273.01425716122117</c:v>
                </c:pt>
                <c:pt idx="26">
                  <c:v>266.29707779549943</c:v>
                </c:pt>
                <c:pt idx="27">
                  <c:v>277.00239532170457</c:v>
                </c:pt>
                <c:pt idx="28">
                  <c:v>287.69842722783778</c:v>
                </c:pt>
                <c:pt idx="29">
                  <c:v>298.38556759441184</c:v>
                </c:pt>
                <c:pt idx="30">
                  <c:v>309.06417995098576</c:v>
                </c:pt>
                <c:pt idx="31">
                  <c:v>304.09788167815992</c:v>
                </c:pt>
                <c:pt idx="32">
                  <c:v>312.78580282667531</c:v>
                </c:pt>
                <c:pt idx="33">
                  <c:v>321.46837231270524</c:v>
                </c:pt>
                <c:pt idx="34">
                  <c:v>330.14575517620568</c:v>
                </c:pt>
                <c:pt idx="35">
                  <c:v>338.81810706676487</c:v>
                </c:pt>
                <c:pt idx="36">
                  <c:v>335.35053366962052</c:v>
                </c:pt>
                <c:pt idx="37">
                  <c:v>343.03458327830577</c:v>
                </c:pt>
                <c:pt idx="38">
                  <c:v>350.71485029776181</c:v>
                </c:pt>
                <c:pt idx="39">
                  <c:v>358.39142931552897</c:v>
                </c:pt>
                <c:pt idx="40">
                  <c:v>366.06441053314398</c:v>
                </c:pt>
                <c:pt idx="41">
                  <c:v>364.82184426536838</c:v>
                </c:pt>
                <c:pt idx="42">
                  <c:v>372.24115103861249</c:v>
                </c:pt>
                <c:pt idx="43">
                  <c:v>379.65723429464424</c:v>
                </c:pt>
                <c:pt idx="44">
                  <c:v>387.07016593112843</c:v>
                </c:pt>
                <c:pt idx="45">
                  <c:v>394.48001486506814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9" sqref="C29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5.5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44</v>
      </c>
      <c r="C9" s="35">
        <v>1</v>
      </c>
      <c r="D9" s="36">
        <f t="shared" ref="D9:D18" si="0">C9*$C$5</f>
        <v>5.5</v>
      </c>
      <c r="E9" s="341">
        <v>45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5.5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Robinier faux-acacia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5</v>
      </c>
      <c r="B36" s="63">
        <v>21.79</v>
      </c>
      <c r="C36" s="63">
        <v>1</v>
      </c>
      <c r="D36" s="63">
        <v>3.85</v>
      </c>
      <c r="E36" s="54">
        <v>0</v>
      </c>
      <c r="F36" s="54"/>
      <c r="G36" s="54"/>
      <c r="H36" s="54">
        <v>1</v>
      </c>
      <c r="I36" s="52">
        <f>IFERROR(B36/A36,"")</f>
        <v>4.3579999999999997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10</v>
      </c>
      <c r="B37" s="63">
        <v>63.46</v>
      </c>
      <c r="C37" s="63">
        <v>2</v>
      </c>
      <c r="D37" s="63">
        <v>17.95</v>
      </c>
      <c r="E37" s="54">
        <v>0</v>
      </c>
      <c r="F37" s="54"/>
      <c r="G37" s="54"/>
      <c r="H37" s="54">
        <v>1</v>
      </c>
      <c r="I37" s="56">
        <f t="shared" ref="I37:I55" si="1">IF(A37&lt;&gt;0,(B37-(B36-D36))/(A37-A36),"")</f>
        <v>9.104000000000001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15</v>
      </c>
      <c r="B38" s="63">
        <v>89.74</v>
      </c>
      <c r="C38" s="63">
        <v>3</v>
      </c>
      <c r="D38" s="63">
        <v>14.74</v>
      </c>
      <c r="E38" s="54">
        <v>0</v>
      </c>
      <c r="F38" s="54"/>
      <c r="G38" s="54"/>
      <c r="H38" s="54">
        <v>1</v>
      </c>
      <c r="I38" s="56">
        <f t="shared" si="1"/>
        <v>8.8459999999999983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20</v>
      </c>
      <c r="B39" s="63">
        <v>115.38</v>
      </c>
      <c r="C39" s="63">
        <v>4</v>
      </c>
      <c r="D39" s="63">
        <v>11.54</v>
      </c>
      <c r="E39" s="54">
        <v>0</v>
      </c>
      <c r="F39" s="54"/>
      <c r="G39" s="54"/>
      <c r="H39" s="54">
        <v>1</v>
      </c>
      <c r="I39" s="52">
        <f t="shared" si="1"/>
        <v>8.0759999999999987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25</v>
      </c>
      <c r="B40" s="63">
        <v>137.18</v>
      </c>
      <c r="C40" s="63">
        <v>5</v>
      </c>
      <c r="D40" s="63">
        <v>8.9700000000000006</v>
      </c>
      <c r="E40" s="54">
        <v>0</v>
      </c>
      <c r="F40" s="54"/>
      <c r="G40" s="54"/>
      <c r="H40" s="54">
        <v>1</v>
      </c>
      <c r="I40" s="52">
        <f t="shared" si="1"/>
        <v>6.668000000000001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30</v>
      </c>
      <c r="B41" s="63">
        <v>155.77000000000001</v>
      </c>
      <c r="C41" s="63">
        <v>6</v>
      </c>
      <c r="D41" s="63">
        <v>7.05</v>
      </c>
      <c r="E41" s="342">
        <v>0.4</v>
      </c>
      <c r="F41" s="54"/>
      <c r="G41" s="54"/>
      <c r="H41" s="54">
        <v>0.6</v>
      </c>
      <c r="I41" s="56">
        <f t="shared" si="1"/>
        <v>5.5120000000000005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35</v>
      </c>
      <c r="B42" s="63">
        <v>171.15</v>
      </c>
      <c r="C42" s="63">
        <v>7</v>
      </c>
      <c r="D42" s="63">
        <v>5.77</v>
      </c>
      <c r="E42" s="54">
        <v>0.6</v>
      </c>
      <c r="F42" s="54"/>
      <c r="G42" s="54"/>
      <c r="H42" s="54">
        <v>0.4</v>
      </c>
      <c r="I42" s="56">
        <f t="shared" si="1"/>
        <v>4.4860000000000015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40</v>
      </c>
      <c r="B43" s="63">
        <v>185.26</v>
      </c>
      <c r="C43" s="63">
        <v>8</v>
      </c>
      <c r="D43" s="63">
        <v>4.49</v>
      </c>
      <c r="E43" s="54">
        <v>0.7</v>
      </c>
      <c r="F43" s="54"/>
      <c r="G43" s="54"/>
      <c r="H43" s="54">
        <v>0.3</v>
      </c>
      <c r="I43" s="52">
        <f t="shared" si="1"/>
        <v>3.9759999999999991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45</v>
      </c>
      <c r="B44" s="63">
        <v>200</v>
      </c>
      <c r="C44" s="63">
        <v>9</v>
      </c>
      <c r="D44" s="63">
        <v>200</v>
      </c>
      <c r="E44" s="54">
        <v>0.8</v>
      </c>
      <c r="F44" s="54"/>
      <c r="G44" s="54"/>
      <c r="H44" s="54">
        <v>0.2</v>
      </c>
      <c r="I44" s="52">
        <f t="shared" si="1"/>
        <v>3.8460000000000036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1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Robinier faux-acacia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/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/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/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/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135.66666666666666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117.33333333333333</v>
      </c>
      <c r="S3" s="62">
        <f ca="1">AVERAGE(OFFSET($R$3,0,0,'Données projet'!$E$9+1,1))-AVERAGE(OFFSET($H$3,0,0,'Données projet'!$E$9+1,1))</f>
        <v>270.84250348555986</v>
      </c>
      <c r="T3" s="62">
        <f>IF('Données projet'!E9&gt;30,$R$33-$H$33,LOOKUP('Données projet'!$E$9,$A$3:$A$203,R3:R203)-LOOKUP('Données projet'!$E$9,$A$3:$A$203,$H$3:$H$203))</f>
        <v>384.30746584920951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32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135.66666666666666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4.3579999999999997</v>
      </c>
      <c r="N4" s="14">
        <f>IF('Données projet'!$A$36&gt;35,N3+M4-V3,IF(A4&lt;'Données projet'!$A$36,$K$205^A4,IF(A4='Données projet'!$A$36,'Données projet'!$B$36,N3+M4-V3)))</f>
        <v>1.8520446218242204</v>
      </c>
      <c r="O4" s="14">
        <f>N4*VLOOKUP('Données projet'!$B$9,Paramètres!$A$1:$I$89,3,0)*VLOOKUP('Données projet'!$B$9,Paramètres!$A$1:$I$89,5,0)</f>
        <v>1.6757299738265545</v>
      </c>
      <c r="P4" s="14">
        <f>EXP(-1.0587+0.8836*LN(O4)+0.284)</f>
        <v>0.72720817567109008</v>
      </c>
      <c r="Q4" s="22">
        <f t="shared" ref="Q4:Q34" si="2">(O4+P4)*0.475*44/12</f>
        <v>4.1851172770417309</v>
      </c>
      <c r="R4" s="62">
        <f t="shared" si="0"/>
        <v>125.15779466326376</v>
      </c>
      <c r="S4" s="62">
        <f ca="1">AVERAGE(OFFSET($R$3,0,0,'Données projet'!$E$9+1,1))-AVERAGE(OFFSET($H$3,0,0,'Données projet'!$E$9+1,1))</f>
        <v>270.84250348555986</v>
      </c>
      <c r="T4" s="62">
        <f>$T$3</f>
        <v>384.30746584920951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32.659215044727219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135.66666666666666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4.3579999999999997</v>
      </c>
      <c r="N5" s="14">
        <f>IF('Données projet'!$A$36&gt;35,N4+M5-V4,IF(A5&lt;'Données projet'!$A$36,$K$205^A5,IF(A5='Données projet'!$A$36,'Données projet'!$B$36,N4+M5-V4)))</f>
        <v>3.4300692812280196</v>
      </c>
      <c r="O5" s="14">
        <f>N5*VLOOKUP('Données projet'!$B$9,Paramètres!$A$1:$I$89,3,0)*VLOOKUP('Données projet'!$B$9,Paramètres!$A$1:$I$89,5,0)</f>
        <v>3.1035266856551122</v>
      </c>
      <c r="P5" s="14">
        <f t="shared" ref="P5:P68" si="33">EXP(-1.0587+0.8836*LN(O5)+0.284)</f>
        <v>1.2535901485903567</v>
      </c>
      <c r="Q5" s="22">
        <f t="shared" si="2"/>
        <v>7.5886451529775245</v>
      </c>
      <c r="R5" s="62">
        <f t="shared" si="0"/>
        <v>132.15873493220104</v>
      </c>
      <c r="S5" s="62">
        <f ca="1">AVERAGE(OFFSET($R$3,0,0,'Données projet'!$E$9+1,1))-AVERAGE(OFFSET($H$3,0,0,'Données projet'!$E$9+1,1))</f>
        <v>270.84250348555986</v>
      </c>
      <c r="T5" s="62">
        <f t="shared" ref="T5:T68" si="34">$T$3</f>
        <v>384.30746584920951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33.306994182212478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135.66666666666666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4.3579999999999997</v>
      </c>
      <c r="N6" s="14">
        <f>IF('Données projet'!$A$36&gt;35,N5+M6-V5,IF(A6&lt;'Données projet'!$A$36,$K$205^A6,IF(A6='Données projet'!$A$36,'Données projet'!$B$36,N5+M6-V5)))</f>
        <v>6.3526413647828228</v>
      </c>
      <c r="O6" s="14">
        <f>N6*VLOOKUP('Données projet'!$B$9,Paramètres!$A$1:$I$89,3,0)*VLOOKUP('Données projet'!$B$9,Paramètres!$A$1:$I$89,5,0)</f>
        <v>5.7478699068554979</v>
      </c>
      <c r="P6" s="14">
        <f t="shared" si="33"/>
        <v>2.1609881643486402</v>
      </c>
      <c r="Q6" s="22">
        <f t="shared" si="2"/>
        <v>13.774594474013874</v>
      </c>
      <c r="R6" s="62">
        <f t="shared" si="0"/>
        <v>141.90089240690557</v>
      </c>
      <c r="S6" s="62">
        <f ca="1">AVERAGE(OFFSET($R$3,0,0,'Données projet'!$E$9+1,1))-AVERAGE(OFFSET($H$3,0,0,'Données projet'!$E$9+1,1))</f>
        <v>270.84250348555986</v>
      </c>
      <c r="T6" s="62">
        <f t="shared" si="34"/>
        <v>384.30746584920951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33.943535799879555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135.66666666666666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4.3579999999999997</v>
      </c>
      <c r="N7" s="14">
        <f>IF('Données projet'!$A$36&gt;35,N6+M7-V6,IF(A7&lt;'Données projet'!$A$36,$K$205^A7,IF(A7='Données projet'!$A$36,'Données projet'!$B$36,N6+M7-V6)))</f>
        <v>11.765375274024104</v>
      </c>
      <c r="O7" s="14">
        <f>N7*VLOOKUP('Données projet'!$B$9,Paramètres!$A$1:$I$89,3,0)*VLOOKUP('Données projet'!$B$9,Paramètres!$A$1:$I$89,5,0)</f>
        <v>10.645311547937007</v>
      </c>
      <c r="P7" s="14">
        <f t="shared" si="33"/>
        <v>3.7251966695064609</v>
      </c>
      <c r="Q7" s="22">
        <f t="shared" si="2"/>
        <v>25.028635145380708</v>
      </c>
      <c r="R7" s="62">
        <f t="shared" si="0"/>
        <v>156.67065179404082</v>
      </c>
      <c r="S7" s="62">
        <f ca="1">AVERAGE(OFFSET($R$3,0,0,'Données projet'!$E$9+1,1))-AVERAGE(OFFSET($H$3,0,0,'Données projet'!$E$9+1,1))</f>
        <v>270.84250348555986</v>
      </c>
      <c r="T7" s="62">
        <f t="shared" si="34"/>
        <v>384.30746584920951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34.569034843573966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135.66666666666666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>
        <f>VLOOKUP(A8,'Données projet'!$A$35:$I$55,2,0)</f>
        <v>21.79</v>
      </c>
      <c r="L8" s="13">
        <f>VLOOKUP(A8,'Données projet'!$A$35:$I$55,9,0)</f>
        <v>4.3579999999999997</v>
      </c>
      <c r="M8" s="13">
        <f t="array" ref="M8">INDEX(L:L,MIN(IF(ISNUMBER(L8:L204),ROW(L8:L204),"")))</f>
        <v>4.3579999999999997</v>
      </c>
      <c r="N8" s="14">
        <f>IF('Données projet'!$A$36&gt;35,N7+M8-V7,IF(A8&lt;'Données projet'!$A$36,$K$205^A8,IF(A8='Données projet'!$A$36,'Données projet'!$B$36,N7+M8-V7)))</f>
        <v>21.79</v>
      </c>
      <c r="O8" s="14">
        <f>N8*VLOOKUP('Données projet'!$B$9,Paramètres!$A$1:$I$89,3,0)*VLOOKUP('Données projet'!$B$9,Paramètres!$A$1:$I$89,5,0)</f>
        <v>19.715592000000001</v>
      </c>
      <c r="P8" s="14">
        <f t="shared" si="33"/>
        <v>6.421641013792792</v>
      </c>
      <c r="Q8" s="22">
        <f t="shared" si="2"/>
        <v>45.522347499022452</v>
      </c>
      <c r="R8" s="62">
        <f t="shared" si="0"/>
        <v>180.64029582677796</v>
      </c>
      <c r="S8" s="62">
        <f ca="1">AVERAGE(OFFSET($R$3,0,0,'Données projet'!$E$9+1,1))-AVERAGE(OFFSET($H$3,0,0,'Données projet'!$E$9+1,1))</f>
        <v>270.84250348555986</v>
      </c>
      <c r="T8" s="62">
        <f t="shared" si="34"/>
        <v>384.30746584920951</v>
      </c>
      <c r="U8" s="16">
        <f>IF(ISNA(VLOOKUP(A8,'Données projet'!$A$35:$I$55,3,0)),0,VLOOKUP(A8,'Données projet'!$A$35:$I$55,3,0))</f>
        <v>1</v>
      </c>
      <c r="V8" s="16">
        <f>IF(ISNA(VLOOKUP(A8,'Données projet'!$A$35:$I$55,4,0)),0,VLOOKUP(A8,'Données projet'!$A$35:$I$55,4,0))</f>
        <v>3.85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35.183682877266655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135.66666666666666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9.104000000000001</v>
      </c>
      <c r="N9" s="14">
        <f>IF('Données projet'!$A$36&gt;35,N8+M9-V8,IF(A9&lt;'Données projet'!$A$36,$K$205^A9,IF(A9='Données projet'!$A$36,'Données projet'!$B$36,N8+M9-V8)))</f>
        <v>27.043999999999997</v>
      </c>
      <c r="O9" s="14">
        <f>N9*VLOOKUP('Données projet'!$B$9,Paramètres!$A$1:$I$89,3,0)*VLOOKUP('Données projet'!$B$9,Paramètres!$A$1:$I$89,5,0)</f>
        <v>24.469411199999996</v>
      </c>
      <c r="P9" s="14">
        <f t="shared" si="33"/>
        <v>7.77212553017175</v>
      </c>
      <c r="Q9" s="22">
        <f t="shared" si="2"/>
        <v>56.154009805049121</v>
      </c>
      <c r="R9" s="62">
        <f t="shared" si="0"/>
        <v>194.7087929913628</v>
      </c>
      <c r="S9" s="62">
        <f ca="1">AVERAGE(OFFSET($R$3,0,0,'Données projet'!$E$9+1,1))-AVERAGE(OFFSET($H$3,0,0,'Données projet'!$E$9+1,1))</f>
        <v>270.84250348555986</v>
      </c>
      <c r="T9" s="62">
        <f t="shared" si="34"/>
        <v>384.30746584920951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35.787668141721909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135.66666666666666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9.104000000000001</v>
      </c>
      <c r="N10" s="14">
        <f>IF('Données projet'!$A$36&gt;35,N9+M10-V9,IF(A10&lt;'Données projet'!$A$36,$K$205^A10,IF(A10='Données projet'!$A$36,'Données projet'!$B$36,N9+M10-V9)))</f>
        <v>36.147999999999996</v>
      </c>
      <c r="O10" s="14">
        <f>N10*VLOOKUP('Données projet'!$B$9,Paramètres!$A$1:$I$89,3,0)*VLOOKUP('Données projet'!$B$9,Paramètres!$A$1:$I$89,5,0)</f>
        <v>32.706710399999999</v>
      </c>
      <c r="P10" s="14">
        <f t="shared" si="33"/>
        <v>10.043502667435174</v>
      </c>
      <c r="Q10" s="22">
        <f t="shared" si="2"/>
        <v>74.456621092449581</v>
      </c>
      <c r="R10" s="62">
        <f t="shared" si="0"/>
        <v>216.4098205592131</v>
      </c>
      <c r="S10" s="62">
        <f ca="1">AVERAGE(OFFSET($R$3,0,0,'Données projet'!$E$9+1,1))-AVERAGE(OFFSET($H$3,0,0,'Données projet'!$E$9+1,1))</f>
        <v>270.84250348555986</v>
      </c>
      <c r="T10" s="62">
        <f t="shared" si="34"/>
        <v>384.30746584920951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36.381175612147622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135.66666666666666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9.104000000000001</v>
      </c>
      <c r="N11" s="14">
        <f>IF('Données projet'!$A$36&gt;35,N10+M11-V10,IF(A11&lt;'Données projet'!$A$36,$K$205^A11,IF(A11='Données projet'!$A$36,'Données projet'!$B$36,N10+M11-V10)))</f>
        <v>45.251999999999995</v>
      </c>
      <c r="O11" s="14">
        <f>N11*VLOOKUP('Données projet'!$B$9,Paramètres!$A$1:$I$89,3,0)*VLOOKUP('Données projet'!$B$9,Paramètres!$A$1:$I$89,5,0)</f>
        <v>40.944009599999994</v>
      </c>
      <c r="P11" s="14">
        <f t="shared" si="33"/>
        <v>12.248516064582658</v>
      </c>
      <c r="Q11" s="22">
        <f t="shared" si="2"/>
        <v>92.643648865814782</v>
      </c>
      <c r="R11" s="62">
        <f t="shared" si="0"/>
        <v>237.95751251135894</v>
      </c>
      <c r="S11" s="62">
        <f ca="1">AVERAGE(OFFSET($R$3,0,0,'Données projet'!$E$9+1,1))-AVERAGE(OFFSET($H$3,0,0,'Données projet'!$E$9+1,1))</f>
        <v>270.84250348555986</v>
      </c>
      <c r="T11" s="62">
        <f t="shared" si="34"/>
        <v>384.30746584920951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36.964387054845375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135.66666666666666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9.104000000000001</v>
      </c>
      <c r="N12" s="14">
        <f>IF('Données projet'!$A$36&gt;35,N11+M12-V11,IF(A12&lt;'Données projet'!$A$36,$K$205^A12,IF(A12='Données projet'!$A$36,'Données projet'!$B$36,N11+M12-V11)))</f>
        <v>54.355999999999995</v>
      </c>
      <c r="O12" s="14">
        <f>N12*VLOOKUP('Données projet'!$B$9,Paramètres!$A$1:$I$89,3,0)*VLOOKUP('Données projet'!$B$9,Paramètres!$A$1:$I$89,5,0)</f>
        <v>49.181308799999996</v>
      </c>
      <c r="P12" s="14">
        <f t="shared" si="33"/>
        <v>14.402126368339083</v>
      </c>
      <c r="Q12" s="22">
        <f t="shared" si="2"/>
        <v>110.74114958485723</v>
      </c>
      <c r="R12" s="62">
        <f t="shared" si="0"/>
        <v>259.3785802220757</v>
      </c>
      <c r="S12" s="62">
        <f ca="1">AVERAGE(OFFSET($R$3,0,0,'Données projet'!$E$9+1,1))-AVERAGE(OFFSET($H$3,0,0,'Données projet'!$E$9+1,1))</f>
        <v>270.84250348555986</v>
      </c>
      <c r="T12" s="62">
        <f t="shared" si="34"/>
        <v>384.30746584920951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37.537481082877775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135.66666666666666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63.46</v>
      </c>
      <c r="L13" s="13">
        <f>VLOOKUP(A13,'Données projet'!$A$35:$I$55,9,0)</f>
        <v>9.104000000000001</v>
      </c>
      <c r="M13" s="13">
        <f t="array" ref="M13">INDEX(L:L,MIN(IF(ISNUMBER(L13:L209),ROW(L13:L209),"")))</f>
        <v>9.104000000000001</v>
      </c>
      <c r="N13" s="14">
        <f>IF('Données projet'!$A$36&gt;35,N12+M13-V12,IF(A13&lt;'Données projet'!$A$36,$K$205^A13,IF(A13='Données projet'!$A$36,'Données projet'!$B$36,N12+M13-V12)))</f>
        <v>63.459999999999994</v>
      </c>
      <c r="O13" s="14">
        <f>N13*VLOOKUP('Données projet'!$B$9,Paramètres!$A$1:$I$89,3,0)*VLOOKUP('Données projet'!$B$9,Paramètres!$A$1:$I$89,5,0)</f>
        <v>57.418607999999992</v>
      </c>
      <c r="P13" s="14">
        <f t="shared" si="33"/>
        <v>16.513951126851616</v>
      </c>
      <c r="Q13" s="22">
        <f t="shared" si="2"/>
        <v>128.76587381259986</v>
      </c>
      <c r="R13" s="62">
        <f t="shared" si="0"/>
        <v>280.69041780764587</v>
      </c>
      <c r="S13" s="62">
        <f ca="1">AVERAGE(OFFSET($R$3,0,0,'Données projet'!$E$9+1,1))-AVERAGE(OFFSET($H$3,0,0,'Données projet'!$E$9+1,1))</f>
        <v>270.84250348555986</v>
      </c>
      <c r="T13" s="62">
        <f t="shared" si="34"/>
        <v>384.30746584920951</v>
      </c>
      <c r="U13" s="16">
        <f>IF(ISNA(VLOOKUP(A13,'Données projet'!$A$35:$I$55,3,0)),0,VLOOKUP(A13,'Données projet'!$A$35:$I$55,3,0))</f>
        <v>2</v>
      </c>
      <c r="V13" s="16">
        <f>IF(ISNA(VLOOKUP(A13,'Données projet'!$A$35:$I$55,4,0)),0,VLOOKUP(A13,'Données projet'!$A$35:$I$55,4,0))</f>
        <v>17.95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38.10063321077012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135.66666666666666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8.8459999999999983</v>
      </c>
      <c r="N14" s="14">
        <f>IF('Données projet'!$A$36&gt;35,N13+M14-V13,IF(A14&lt;'Données projet'!$A$36,$K$205^A14,IF(A14='Données projet'!$A$36,'Données projet'!$B$36,N13+M14-V13)))</f>
        <v>54.355999999999995</v>
      </c>
      <c r="O14" s="14">
        <f>N14*VLOOKUP('Données projet'!$B$9,Paramètres!$A$1:$I$89,3,0)*VLOOKUP('Données projet'!$B$9,Paramètres!$A$1:$I$89,5,0)</f>
        <v>49.181308799999996</v>
      </c>
      <c r="P14" s="14">
        <f t="shared" si="33"/>
        <v>14.402126368339083</v>
      </c>
      <c r="Q14" s="22">
        <f t="shared" si="2"/>
        <v>110.74114958485723</v>
      </c>
      <c r="R14" s="62">
        <f t="shared" si="0"/>
        <v>265.91698569293294</v>
      </c>
      <c r="S14" s="62">
        <f ca="1">AVERAGE(OFFSET($R$3,0,0,'Données projet'!$E$9+1,1))-AVERAGE(OFFSET($H$3,0,0,'Données projet'!$E$9+1,1))</f>
        <v>270.84250348555986</v>
      </c>
      <c r="T14" s="62">
        <f t="shared" si="34"/>
        <v>384.30746584920951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38.654015908263069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135.66666666666666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8.8459999999999983</v>
      </c>
      <c r="N15" s="14">
        <f>IF('Données projet'!$A$36&gt;35,N14+M15-V14,IF(A15&lt;'Données projet'!$A$36,$K$205^A15,IF(A15='Données projet'!$A$36,'Données projet'!$B$36,N14+M15-V14)))</f>
        <v>63.201999999999991</v>
      </c>
      <c r="O15" s="14">
        <f>N15*VLOOKUP('Données projet'!$B$9,Paramètres!$A$1:$I$89,3,0)*VLOOKUP('Données projet'!$B$9,Paramètres!$A$1:$I$89,5,0)</f>
        <v>57.185169599999988</v>
      </c>
      <c r="P15" s="14">
        <f t="shared" si="33"/>
        <v>16.454613626862507</v>
      </c>
      <c r="Q15" s="22">
        <f t="shared" si="2"/>
        <v>128.25595578678551</v>
      </c>
      <c r="R15" s="62">
        <f t="shared" si="0"/>
        <v>286.64788418160612</v>
      </c>
      <c r="S15" s="62">
        <f ca="1">AVERAGE(OFFSET($R$3,0,0,'Données projet'!$E$9+1,1))-AVERAGE(OFFSET($H$3,0,0,'Données projet'!$E$9+1,1))</f>
        <v>270.84250348555986</v>
      </c>
      <c r="T15" s="62">
        <f t="shared" si="34"/>
        <v>384.30746584920951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39.197798653132892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135.66666666666666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8.8459999999999983</v>
      </c>
      <c r="N16" s="14">
        <f>IF('Données projet'!$A$36&gt;35,N15+M16-V15,IF(A16&lt;'Données projet'!$A$36,$K$205^A16,IF(A16='Données projet'!$A$36,'Données projet'!$B$36,N15+M16-V15)))</f>
        <v>72.047999999999988</v>
      </c>
      <c r="O16" s="14">
        <f>N16*VLOOKUP('Données projet'!$B$9,Paramètres!$A$1:$I$89,3,0)*VLOOKUP('Données projet'!$B$9,Paramètres!$A$1:$I$89,5,0)</f>
        <v>65.189030399999979</v>
      </c>
      <c r="P16" s="14">
        <f t="shared" si="33"/>
        <v>18.473818483438244</v>
      </c>
      <c r="Q16" s="22">
        <f t="shared" si="2"/>
        <v>145.71279513865488</v>
      </c>
      <c r="R16" s="62">
        <f t="shared" si="0"/>
        <v>307.28622663222654</v>
      </c>
      <c r="S16" s="62">
        <f ca="1">AVERAGE(OFFSET($R$3,0,0,'Données projet'!$E$9+1,1))-AVERAGE(OFFSET($H$3,0,0,'Données projet'!$E$9+1,1))</f>
        <v>270.84250348555986</v>
      </c>
      <c r="T16" s="62">
        <f t="shared" si="34"/>
        <v>384.30746584920951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39.732147983095309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135.66666666666666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8.8459999999999983</v>
      </c>
      <c r="N17" s="14">
        <f>IF('Données projet'!$A$36&gt;35,N16+M17-V16,IF(A17&lt;'Données projet'!$A$36,$K$205^A17,IF(A17='Données projet'!$A$36,'Données projet'!$B$36,N16+M17-V16)))</f>
        <v>80.893999999999991</v>
      </c>
      <c r="O17" s="14">
        <f>N17*VLOOKUP('Données projet'!$B$9,Paramètres!$A$1:$I$89,3,0)*VLOOKUP('Données projet'!$B$9,Paramètres!$A$1:$I$89,5,0)</f>
        <v>73.192891199999991</v>
      </c>
      <c r="P17" s="14">
        <f t="shared" si="33"/>
        <v>20.464294977721199</v>
      </c>
      <c r="Q17" s="22">
        <f t="shared" si="2"/>
        <v>163.11959925953104</v>
      </c>
      <c r="R17" s="62">
        <f t="shared" si="0"/>
        <v>327.84054470894182</v>
      </c>
      <c r="S17" s="62">
        <f ca="1">AVERAGE(OFFSET($R$3,0,0,'Données projet'!$E$9+1,1))-AVERAGE(OFFSET($H$3,0,0,'Données projet'!$E$9+1,1))</f>
        <v>270.84250348555986</v>
      </c>
      <c r="T17" s="62">
        <f t="shared" si="34"/>
        <v>384.30746584920951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40.257227546809013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135.66666666666666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89.74</v>
      </c>
      <c r="L18" s="13">
        <f>VLOOKUP(A18,'Données projet'!$A$35:$I$55,9,0)</f>
        <v>8.8459999999999983</v>
      </c>
      <c r="M18" s="13">
        <f t="array" ref="M18">INDEX(L:L,MIN(IF(ISNUMBER(L18:L214),ROW(L18:L214),"")))</f>
        <v>8.8459999999999983</v>
      </c>
      <c r="N18" s="14">
        <f>IF('Données projet'!$A$36&gt;35,N17+M18-V17,IF(A18&lt;'Données projet'!$A$36,$K$205^A18,IF(A18='Données projet'!$A$36,'Données projet'!$B$36,N17+M18-V17)))</f>
        <v>89.74</v>
      </c>
      <c r="O18" s="14">
        <f>N18*VLOOKUP('Données projet'!$B$9,Paramètres!$A$1:$I$89,3,0)*VLOOKUP('Données projet'!$B$9,Paramètres!$A$1:$I$89,5,0)</f>
        <v>81.196751999999989</v>
      </c>
      <c r="P18" s="14">
        <f t="shared" si="33"/>
        <v>22.42954286237919</v>
      </c>
      <c r="Q18" s="22">
        <f t="shared" si="2"/>
        <v>180.48246355197708</v>
      </c>
      <c r="R18" s="62">
        <f t="shared" si="0"/>
        <v>348.31752344995624</v>
      </c>
      <c r="S18" s="62">
        <f ca="1">AVERAGE(OFFSET($R$3,0,0,'Données projet'!$E$9+1,1))-AVERAGE(OFFSET($H$3,0,0,'Données projet'!$E$9+1,1))</f>
        <v>270.84250348555986</v>
      </c>
      <c r="T18" s="62">
        <f t="shared" si="34"/>
        <v>384.30746584920951</v>
      </c>
      <c r="U18" s="16">
        <f>IF(ISNA(VLOOKUP(A18,'Données projet'!$A$35:$I$55,3,0)),0,VLOOKUP(A18,'Données projet'!$A$35:$I$55,3,0))</f>
        <v>3</v>
      </c>
      <c r="V18" s="16">
        <f>IF(ISNA(VLOOKUP(A18,'Données projet'!$A$35:$I$55,4,0)),0,VLOOKUP(A18,'Données projet'!$A$35:$I$55,4,0))</f>
        <v>14.74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40.773198153994322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135.66666666666666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8.0759999999999987</v>
      </c>
      <c r="N19" s="14">
        <f>IF('Données projet'!$A$36&gt;35,N18+M19-V18,IF(A19&lt;'Données projet'!$A$36,$K$205^A19,IF(A19='Données projet'!$A$36,'Données projet'!$B$36,N18+M19-V18)))</f>
        <v>83.075999999999993</v>
      </c>
      <c r="O19" s="14">
        <f>N19*VLOOKUP('Données projet'!$B$9,Paramètres!$A$1:$I$89,3,0)*VLOOKUP('Données projet'!$B$9,Paramètres!$A$1:$I$89,5,0)</f>
        <v>75.167164799999995</v>
      </c>
      <c r="P19" s="14">
        <f t="shared" si="33"/>
        <v>20.951279737349282</v>
      </c>
      <c r="Q19" s="22">
        <f t="shared" si="2"/>
        <v>167.40629090254998</v>
      </c>
      <c r="R19" s="62">
        <f t="shared" si="0"/>
        <v>338.32264514860776</v>
      </c>
      <c r="S19" s="62">
        <f ca="1">AVERAGE(OFFSET($R$3,0,0,'Données projet'!$E$9+1,1))-AVERAGE(OFFSET($H$3,0,0,'Données projet'!$E$9+1,1))</f>
        <v>270.84250348555986</v>
      </c>
      <c r="T19" s="62">
        <f t="shared" si="34"/>
        <v>384.30746584920951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41.280217824682431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135.66666666666666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8.0759999999999987</v>
      </c>
      <c r="N20" s="14">
        <f>IF('Données projet'!$A$36&gt;35,N19+M20-V19,IF(A20&lt;'Données projet'!$A$36,$K$205^A20,IF(A20='Données projet'!$A$36,'Données projet'!$B$36,N19+M20-V19)))</f>
        <v>91.151999999999987</v>
      </c>
      <c r="O20" s="14">
        <f>N20*VLOOKUP('Données projet'!$B$9,Paramètres!$A$1:$I$89,3,0)*VLOOKUP('Données projet'!$B$9,Paramètres!$A$1:$I$89,5,0)</f>
        <v>82.47432959999999</v>
      </c>
      <c r="P20" s="14">
        <f t="shared" si="33"/>
        <v>22.741093891424249</v>
      </c>
      <c r="Q20" s="22">
        <f t="shared" si="2"/>
        <v>183.25019591423055</v>
      </c>
      <c r="R20" s="62">
        <f t="shared" si="0"/>
        <v>357.21559376324598</v>
      </c>
      <c r="S20" s="62">
        <f ca="1">AVERAGE(OFFSET($R$3,0,0,'Données projet'!$E$9+1,1))-AVERAGE(OFFSET($H$3,0,0,'Données projet'!$E$9+1,1))</f>
        <v>270.84250348555986</v>
      </c>
      <c r="T20" s="62">
        <f t="shared" si="34"/>
        <v>384.30746584920951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41.778441837610274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135.66666666666666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8.0759999999999987</v>
      </c>
      <c r="N21" s="14">
        <f>IF('Données projet'!$A$36&gt;35,N20+M21-V20,IF(A21&lt;'Données projet'!$A$36,$K$205^A21,IF(A21='Données projet'!$A$36,'Données projet'!$B$36,N20+M21-V20)))</f>
        <v>99.22799999999998</v>
      </c>
      <c r="O21" s="14">
        <f>N21*VLOOKUP('Données projet'!$B$9,Paramètres!$A$1:$I$89,3,0)*VLOOKUP('Données projet'!$B$9,Paramètres!$A$1:$I$89,5,0)</f>
        <v>89.781494399999971</v>
      </c>
      <c r="P21" s="14">
        <f t="shared" si="33"/>
        <v>24.512519251773423</v>
      </c>
      <c r="Q21" s="22">
        <f t="shared" si="2"/>
        <v>199.06207377683867</v>
      </c>
      <c r="R21" s="62">
        <f t="shared" si="0"/>
        <v>376.04482396201678</v>
      </c>
      <c r="S21" s="62">
        <f ca="1">AVERAGE(OFFSET($R$3,0,0,'Données projet'!$E$9+1,1))-AVERAGE(OFFSET($H$3,0,0,'Données projet'!$E$9+1,1))</f>
        <v>270.84250348555986</v>
      </c>
      <c r="T21" s="62">
        <f t="shared" si="34"/>
        <v>384.30746584920951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42.26802277777584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135.66666666666666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8.0759999999999987</v>
      </c>
      <c r="N22" s="14">
        <f>IF('Données projet'!$A$36&gt;35,N21+M22-V21,IF(A22&lt;'Données projet'!$A$36,$K$205^A22,IF(A22='Données projet'!$A$36,'Données projet'!$B$36,N21+M22-V21)))</f>
        <v>107.30399999999997</v>
      </c>
      <c r="O22" s="14">
        <f>N22*VLOOKUP('Données projet'!$B$9,Paramètres!$A$1:$I$89,3,0)*VLOOKUP('Données projet'!$B$9,Paramètres!$A$1:$I$89,5,0)</f>
        <v>97.088659199999967</v>
      </c>
      <c r="P22" s="14">
        <f t="shared" si="33"/>
        <v>26.267222603340077</v>
      </c>
      <c r="Q22" s="22">
        <f t="shared" si="2"/>
        <v>214.84482747415055</v>
      </c>
      <c r="R22" s="62">
        <f t="shared" si="0"/>
        <v>394.8137885013241</v>
      </c>
      <c r="S22" s="62">
        <f ca="1">AVERAGE(OFFSET($R$3,0,0,'Données projet'!$E$9+1,1))-AVERAGE(OFFSET($H$3,0,0,'Données projet'!$E$9+1,1))</f>
        <v>270.84250348555986</v>
      </c>
      <c r="T22" s="62">
        <f t="shared" si="34"/>
        <v>384.30746584920951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42.749110583168545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135.66666666666666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115.38</v>
      </c>
      <c r="L23" s="13">
        <f>VLOOKUP(A23,'Données projet'!$A$35:$I$55,9,0)</f>
        <v>8.0759999999999987</v>
      </c>
      <c r="M23" s="13">
        <f t="array" ref="M23">INDEX(L:L,MIN(IF(ISNUMBER(L23:L219),ROW(L23:L219),"")))</f>
        <v>8.0759999999999987</v>
      </c>
      <c r="N23" s="14">
        <f>IF('Données projet'!$A$36&gt;35,N22+M23-V22,IF(A23&lt;'Données projet'!$A$36,$K$205^A23,IF(A23='Données projet'!$A$36,'Données projet'!$B$36,N22+M23-V22)))</f>
        <v>115.37999999999997</v>
      </c>
      <c r="O23" s="14">
        <f>N23*VLOOKUP('Données projet'!$B$9,Paramètres!$A$1:$I$89,3,0)*VLOOKUP('Données projet'!$B$9,Paramètres!$A$1:$I$89,5,0)</f>
        <v>104.39582399999996</v>
      </c>
      <c r="P23" s="14">
        <f t="shared" si="33"/>
        <v>28.006605596692722</v>
      </c>
      <c r="Q23" s="22">
        <f t="shared" si="2"/>
        <v>230.60089821423978</v>
      </c>
      <c r="R23" s="62">
        <f t="shared" si="0"/>
        <v>413.52546882454351</v>
      </c>
      <c r="S23" s="62">
        <f ca="1">AVERAGE(OFFSET($R$3,0,0,'Données projet'!$E$9+1,1))-AVERAGE(OFFSET($H$3,0,0,'Données projet'!$E$9+1,1))</f>
        <v>270.84250348555986</v>
      </c>
      <c r="T23" s="62">
        <f t="shared" si="34"/>
        <v>384.30746584920951</v>
      </c>
      <c r="U23" s="16">
        <f>IF(ISNA(VLOOKUP(A23,'Données projet'!$A$35:$I$55,3,0)),0,VLOOKUP(A23,'Données projet'!$A$35:$I$55,3,0))</f>
        <v>4</v>
      </c>
      <c r="V23" s="16">
        <f>IF(ISNA(VLOOKUP(A23,'Données projet'!$A$35:$I$55,4,0)),0,VLOOKUP(A23,'Données projet'!$A$35:$I$55,4,0))</f>
        <v>11.54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43.22185259068889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135.66666666666666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6.668000000000001</v>
      </c>
      <c r="N24" s="14">
        <f>IF('Données projet'!$A$36&gt;35,N23+M24-V23,IF(A24&lt;'Données projet'!$A$36,$K$205^A24,IF(A24='Données projet'!$A$36,'Données projet'!$B$36,N23+M24-V23)))</f>
        <v>110.50799999999998</v>
      </c>
      <c r="O24" s="14">
        <f>N24*VLOOKUP('Données projet'!$B$9,Paramètres!$A$1:$I$89,3,0)*VLOOKUP('Données projet'!$B$9,Paramètres!$A$1:$I$89,5,0)</f>
        <v>99.98763839999998</v>
      </c>
      <c r="P24" s="14">
        <f t="shared" si="33"/>
        <v>26.959052546424783</v>
      </c>
      <c r="Q24" s="22">
        <f t="shared" si="2"/>
        <v>221.09882006502312</v>
      </c>
      <c r="R24" s="62">
        <f t="shared" si="0"/>
        <v>406.94892986301886</v>
      </c>
      <c r="S24" s="62">
        <f ca="1">AVERAGE(OFFSET($R$3,0,0,'Données projet'!$E$9+1,1))-AVERAGE(OFFSET($H$3,0,0,'Données projet'!$E$9+1,1))</f>
        <v>270.84250348555986</v>
      </c>
      <c r="T24" s="62">
        <f t="shared" si="34"/>
        <v>384.30746584920951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43.686393581271552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135.66666666666666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6.668000000000001</v>
      </c>
      <c r="N25" s="14">
        <f>IF('Données projet'!$A$36&gt;35,N24+M25-V24,IF(A25&lt;'Données projet'!$A$36,$K$205^A25,IF(A25='Données projet'!$A$36,'Données projet'!$B$36,N24+M25-V24)))</f>
        <v>117.17599999999999</v>
      </c>
      <c r="O25" s="14">
        <f>N25*VLOOKUP('Données projet'!$B$9,Paramètres!$A$1:$I$89,3,0)*VLOOKUP('Données projet'!$B$9,Paramètres!$A$1:$I$89,5,0)</f>
        <v>106.02084479999998</v>
      </c>
      <c r="P25" s="14">
        <f t="shared" si="33"/>
        <v>28.391463686917159</v>
      </c>
      <c r="Q25" s="22">
        <f t="shared" si="2"/>
        <v>234.10143728138067</v>
      </c>
      <c r="R25" s="62">
        <f t="shared" si="0"/>
        <v>422.84753752576364</v>
      </c>
      <c r="S25" s="62">
        <f ca="1">AVERAGE(OFFSET($R$3,0,0,'Données projet'!$E$9+1,1))-AVERAGE(OFFSET($H$3,0,0,'Données projet'!$E$9+1,1))</f>
        <v>270.84250348555986</v>
      </c>
      <c r="T25" s="62">
        <f t="shared" si="34"/>
        <v>384.30746584920951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44.142875824225669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135.66666666666666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6.668000000000001</v>
      </c>
      <c r="N26" s="14">
        <f>IF('Données projet'!$A$36&gt;35,N25+M26-V25,IF(A26&lt;'Données projet'!$A$36,$K$205^A26,IF(A26='Données projet'!$A$36,'Données projet'!$B$36,N25+M26-V25)))</f>
        <v>123.84399999999999</v>
      </c>
      <c r="O26" s="14">
        <f>N26*VLOOKUP('Données projet'!$B$9,Paramètres!$A$1:$I$89,3,0)*VLOOKUP('Données projet'!$B$9,Paramètres!$A$1:$I$89,5,0)</f>
        <v>112.05405119999999</v>
      </c>
      <c r="P26" s="14">
        <f t="shared" si="33"/>
        <v>29.814412727741182</v>
      </c>
      <c r="Q26" s="22">
        <f t="shared" si="2"/>
        <v>247.08757467414918</v>
      </c>
      <c r="R26" s="62">
        <f t="shared" si="0"/>
        <v>438.7006292282154</v>
      </c>
      <c r="S26" s="62">
        <f ca="1">AVERAGE(OFFSET($R$3,0,0,'Données projet'!$E$9+1,1))-AVERAGE(OFFSET($H$3,0,0,'Données projet'!$E$9+1,1))</f>
        <v>270.84250348555986</v>
      </c>
      <c r="T26" s="62">
        <f t="shared" si="34"/>
        <v>384.30746584920951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44.591439120805944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135.66666666666666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6.668000000000001</v>
      </c>
      <c r="N27" s="14">
        <f>IF('Données projet'!$A$36&gt;35,N26+M27-V26,IF(A27&lt;'Données projet'!$A$36,$K$205^A27,IF(A27='Données projet'!$A$36,'Données projet'!$B$36,N26+M27-V26)))</f>
        <v>130.512</v>
      </c>
      <c r="O27" s="14">
        <f>N27*VLOOKUP('Données projet'!$B$9,Paramètres!$A$1:$I$89,3,0)*VLOOKUP('Données projet'!$B$9,Paramètres!$A$1:$I$89,5,0)</f>
        <v>118.08725759999999</v>
      </c>
      <c r="P27" s="14">
        <f t="shared" si="33"/>
        <v>31.228467211697307</v>
      </c>
      <c r="Q27" s="22">
        <f t="shared" si="2"/>
        <v>260.05822071370613</v>
      </c>
      <c r="R27" s="62">
        <f t="shared" si="0"/>
        <v>454.50969715280826</v>
      </c>
      <c r="S27" s="62">
        <f ca="1">AVERAGE(OFFSET($R$3,0,0,'Données projet'!$E$9+1,1))-AVERAGE(OFFSET($H$3,0,0,'Données projet'!$E$9+1,1))</f>
        <v>270.84250348555986</v>
      </c>
      <c r="T27" s="62">
        <f t="shared" si="34"/>
        <v>384.30746584920951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45.032220847027844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135.66666666666666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137.18</v>
      </c>
      <c r="L28" s="13">
        <f>VLOOKUP(A28,'Données projet'!$A$35:$I$55,9,0)</f>
        <v>6.668000000000001</v>
      </c>
      <c r="M28" s="13">
        <f t="array" ref="M28">INDEX(L:L,MIN(IF(ISNUMBER(L28:L224),ROW(L28:L224),"")))</f>
        <v>6.668000000000001</v>
      </c>
      <c r="N28" s="14">
        <f>IF('Données projet'!$A$36&gt;35,N27+M28-V27,IF(A28&lt;'Données projet'!$A$36,$K$205^A28,IF(A28='Données projet'!$A$36,'Données projet'!$B$36,N27+M28-V27)))</f>
        <v>137.18</v>
      </c>
      <c r="O28" s="14">
        <f>N28*VLOOKUP('Données projet'!$B$9,Paramètres!$A$1:$I$89,3,0)*VLOOKUP('Données projet'!$B$9,Paramètres!$A$1:$I$89,5,0)</f>
        <v>124.120464</v>
      </c>
      <c r="P28" s="14">
        <f t="shared" si="33"/>
        <v>32.634133413141384</v>
      </c>
      <c r="Q28" s="22">
        <f t="shared" si="2"/>
        <v>273.01425716122117</v>
      </c>
      <c r="R28" s="62">
        <f t="shared" si="0"/>
        <v>470.27611803449042</v>
      </c>
      <c r="S28" s="62">
        <f ca="1">AVERAGE(OFFSET($R$3,0,0,'Données projet'!$E$9+1,1))-AVERAGE(OFFSET($H$3,0,0,'Données projet'!$E$9+1,1))</f>
        <v>270.84250348555986</v>
      </c>
      <c r="T28" s="62">
        <f t="shared" si="34"/>
        <v>384.30746584920951</v>
      </c>
      <c r="U28" s="16">
        <f>IF(ISNA(VLOOKUP(A28,'Données projet'!$A$35:$I$55,3,0)),0,VLOOKUP(A28,'Données projet'!$A$35:$I$55,3,0))</f>
        <v>5</v>
      </c>
      <c r="V28" s="16">
        <f>IF(ISNA(VLOOKUP(A28,'Données projet'!$A$35:$I$55,4,0)),0,VLOOKUP(A28,'Données projet'!$A$35:$I$55,4,0))</f>
        <v>8.9700000000000006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45.465355995740104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135.66666666666666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5.5120000000000005</v>
      </c>
      <c r="N29" s="14">
        <f>IF('Données projet'!$A$36&gt;35,N28+M29-V28,IF(A29&lt;'Données projet'!$A$36,$K$205^A29,IF(A29='Données projet'!$A$36,'Données projet'!$B$36,N28+M29-V28)))</f>
        <v>133.72200000000001</v>
      </c>
      <c r="O29" s="14">
        <f>N29*VLOOKUP('Données projet'!$B$9,Paramètres!$A$1:$I$89,3,0)*VLOOKUP('Données projet'!$B$9,Paramètres!$A$1:$I$89,5,0)</f>
        <v>120.99166560000002</v>
      </c>
      <c r="P29" s="14">
        <f t="shared" si="33"/>
        <v>31.906178110334597</v>
      </c>
      <c r="Q29" s="22">
        <f t="shared" si="2"/>
        <v>266.29707779549943</v>
      </c>
      <c r="R29" s="62">
        <f t="shared" si="0"/>
        <v>466.34177203915743</v>
      </c>
      <c r="S29" s="62">
        <f ca="1">AVERAGE(OFFSET($R$3,0,0,'Données projet'!$E$9+1,1))-AVERAGE(OFFSET($H$3,0,0,'Données projet'!$E$9+1,1))</f>
        <v>270.84250348555986</v>
      </c>
      <c r="T29" s="62">
        <f t="shared" si="34"/>
        <v>384.30746584920951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45.890977217967333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135.66666666666666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5.5120000000000005</v>
      </c>
      <c r="N30" s="14">
        <f>IF('Données projet'!$A$36&gt;35,N29+M30-V29,IF(A30&lt;'Données projet'!$A$36,$K$205^A30,IF(A30='Données projet'!$A$36,'Données projet'!$B$36,N29+M30-V29)))</f>
        <v>139.23400000000001</v>
      </c>
      <c r="O30" s="14">
        <f>N30*VLOOKUP('Données projet'!$B$9,Paramètres!$A$1:$I$89,3,0)*VLOOKUP('Données projet'!$B$9,Paramètres!$A$1:$I$89,5,0)</f>
        <v>125.9789232</v>
      </c>
      <c r="P30" s="14">
        <f t="shared" si="33"/>
        <v>33.065514305284928</v>
      </c>
      <c r="Q30" s="22">
        <f t="shared" si="2"/>
        <v>277.00239532170457</v>
      </c>
      <c r="R30" s="62">
        <f t="shared" si="0"/>
        <v>479.80284982133446</v>
      </c>
      <c r="S30" s="62">
        <f ca="1">AVERAGE(OFFSET($R$3,0,0,'Données projet'!$E$9+1,1))-AVERAGE(OFFSET($H$3,0,0,'Données projet'!$E$9+1,1))</f>
        <v>270.84250348555986</v>
      </c>
      <c r="T30" s="62">
        <f t="shared" si="34"/>
        <v>384.30746584920951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46.309214863535416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135.66666666666666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5.5120000000000005</v>
      </c>
      <c r="N31" s="14">
        <f>IF('Données projet'!$A$36&gt;35,N30+M31-V30,IF(A31&lt;'Données projet'!$A$36,$K$205^A31,IF(A31='Données projet'!$A$36,'Données projet'!$B$36,N30+M31-V30)))</f>
        <v>144.74600000000001</v>
      </c>
      <c r="O31" s="14">
        <f>N31*VLOOKUP('Données projet'!$B$9,Paramètres!$A$1:$I$89,3,0)*VLOOKUP('Données projet'!$B$9,Paramètres!$A$1:$I$89,5,0)</f>
        <v>130.96618080000002</v>
      </c>
      <c r="P31" s="14">
        <f t="shared" si="33"/>
        <v>34.219519043734614</v>
      </c>
      <c r="Q31" s="22">
        <f t="shared" si="2"/>
        <v>287.69842722783778</v>
      </c>
      <c r="R31" s="62">
        <f t="shared" si="0"/>
        <v>493.22803852703134</v>
      </c>
      <c r="S31" s="62">
        <f ca="1">AVERAGE(OFFSET($R$3,0,0,'Données projet'!$E$9+1,1))-AVERAGE(OFFSET($H$3,0,0,'Données projet'!$E$9+1,1))</f>
        <v>270.84250348555986</v>
      </c>
      <c r="T31" s="62">
        <f t="shared" si="34"/>
        <v>384.30746584920951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46.720197020992188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135.66666666666666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5.5120000000000005</v>
      </c>
      <c r="N32" s="14">
        <f>IF('Données projet'!$A$36&gt;35,N31+M32-V31,IF(A32&lt;'Données projet'!$A$36,$K$205^A32,IF(A32='Données projet'!$A$36,'Données projet'!$B$36,N31+M32-V31)))</f>
        <v>150.25800000000001</v>
      </c>
      <c r="O32" s="14">
        <f>N32*VLOOKUP('Données projet'!$B$9,Paramètres!$A$1:$I$89,3,0)*VLOOKUP('Données projet'!$B$9,Paramètres!$A$1:$I$89,5,0)</f>
        <v>135.95343840000001</v>
      </c>
      <c r="P32" s="14">
        <f t="shared" si="33"/>
        <v>35.368418592006812</v>
      </c>
      <c r="Q32" s="22">
        <f t="shared" si="2"/>
        <v>298.38556759441184</v>
      </c>
      <c r="R32" s="62">
        <f t="shared" si="0"/>
        <v>506.61819374725326</v>
      </c>
      <c r="S32" s="62">
        <f ca="1">AVERAGE(OFFSET($R$3,0,0,'Données projet'!$E$9+1,1))-AVERAGE(OFFSET($H$3,0,0,'Données projet'!$E$9+1,1))</f>
        <v>270.84250348555986</v>
      </c>
      <c r="T32" s="62">
        <f t="shared" si="34"/>
        <v>384.30746584920951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47.124049556835544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135.66666666666666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155.77000000000001</v>
      </c>
      <c r="L33" s="13">
        <f>VLOOKUP(A33,'Données projet'!$A$35:$I$55,9,0)</f>
        <v>5.5120000000000005</v>
      </c>
      <c r="M33" s="13">
        <f t="array" ref="M33">INDEX(L:L,MIN(IF(ISNUMBER(L33:L229),ROW(L33:L229),"")))</f>
        <v>5.5120000000000005</v>
      </c>
      <c r="N33" s="14">
        <f>IF('Données projet'!$A$36&gt;35,N32+M33-V32,IF(A33&lt;'Données projet'!$A$36,$K$205^A33,IF(A33='Données projet'!$A$36,'Données projet'!$B$36,N32+M33-V32)))</f>
        <v>155.77000000000001</v>
      </c>
      <c r="O33" s="14">
        <f>N33*VLOOKUP('Données projet'!$B$9,Paramètres!$A$1:$I$89,3,0)*VLOOKUP('Données projet'!$B$9,Paramètres!$A$1:$I$89,5,0)</f>
        <v>140.940696</v>
      </c>
      <c r="P33" s="14">
        <f t="shared" si="33"/>
        <v>36.512421675207158</v>
      </c>
      <c r="Q33" s="22">
        <f t="shared" si="2"/>
        <v>309.06417995098576</v>
      </c>
      <c r="R33" s="62">
        <f t="shared" si="0"/>
        <v>519.97413251587614</v>
      </c>
      <c r="S33" s="62">
        <f ca="1">AVERAGE(OFFSET($R$3,0,0,'Données projet'!$E$9+1,1))-AVERAGE(OFFSET($H$3,0,0,'Données projet'!$E$9+1,1))</f>
        <v>270.84250348555986</v>
      </c>
      <c r="T33" s="62">
        <f t="shared" si="34"/>
        <v>384.30746584920951</v>
      </c>
      <c r="U33" s="16">
        <f>IF(ISNA(VLOOKUP(A33,'Données projet'!$A$35:$I$55,3,0)),0,VLOOKUP(A33,'Données projet'!$A$35:$I$55,3,0))</f>
        <v>6</v>
      </c>
      <c r="V33" s="16">
        <f>IF(ISNA(VLOOKUP(A33,'Données projet'!$A$35:$I$55,4,0)),0,VLOOKUP(A33,'Données projet'!$A$35:$I$55,4,0))</f>
        <v>7.05</v>
      </c>
      <c r="W33" s="17">
        <f>IF(ISNA(VLOOKUP(A33,'Données projet'!$A$35:$I$55,5,0)),0%,VLOOKUP(A33,'Données projet'!$A$35:$I$55,5,0)*VLOOKUP('Données projet'!$B$9,Paramètres!$A$1:$I$89,7,0))</f>
        <v>0.12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0.84619424109359553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0.84619424109359553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47.520896154061028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135.66666666666666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4.4860000000000015</v>
      </c>
      <c r="N34" s="14">
        <f>IF('Données projet'!$A$36&gt;35,N33+M34-V33,IF(A34&lt;'Données projet'!$A$36,$K$205^A34,IF(A34='Données projet'!$A$36,'Données projet'!$B$36,N33+M34-V33)))</f>
        <v>153.20599999999999</v>
      </c>
      <c r="O34" s="14">
        <f>N34*VLOOKUP('Données projet'!$B$9,Paramètres!$A$1:$I$89,3,0)*VLOOKUP('Données projet'!$B$9,Paramètres!$A$1:$I$89,5,0)</f>
        <v>138.62078879999999</v>
      </c>
      <c r="P34" s="14">
        <f t="shared" si="33"/>
        <v>35.980865752053546</v>
      </c>
      <c r="Q34" s="22">
        <f t="shared" si="2"/>
        <v>304.09788167815992</v>
      </c>
      <c r="R34" s="62">
        <f t="shared" si="0"/>
        <v>516.43769562830926</v>
      </c>
      <c r="S34" s="62">
        <f ca="1">AVERAGE(OFFSET($R$3,0,0,'Données projet'!$E$9+1,1))-AVERAGE(OFFSET($H$3,0,0,'Données projet'!$E$9+1,1))</f>
        <v>270.84250348555986</v>
      </c>
      <c r="T34" s="62">
        <f t="shared" si="34"/>
        <v>384.30746584920951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0.82960088815327382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0.82960088815327382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47.910858350040726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135.66666666666666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4.4860000000000015</v>
      </c>
      <c r="N35" s="14">
        <f>IF('Données projet'!$A$36&gt;35,N34+M35-V34,IF(A35&lt;'Données projet'!$A$36,$K$205^A35,IF(A35='Données projet'!$A$36,'Données projet'!$B$36,N34+M35-V34)))</f>
        <v>157.69199999999998</v>
      </c>
      <c r="O35" s="14">
        <f>N35*VLOOKUP('Données projet'!$B$9,Paramètres!$A$1:$I$89,3,0)*VLOOKUP('Données projet'!$B$9,Paramètres!$A$1:$I$89,5,0)</f>
        <v>142.67972159999999</v>
      </c>
      <c r="P35" s="14">
        <f t="shared" si="33"/>
        <v>36.910213037325548</v>
      </c>
      <c r="Q35" s="22">
        <f t="shared" ref="Q35:Q66" si="53">(O35+P35)*0.475*44/12</f>
        <v>312.78580282667531</v>
      </c>
      <c r="R35" s="62">
        <f t="shared" si="0"/>
        <v>526.53067326374048</v>
      </c>
      <c r="S35" s="62">
        <f ca="1">AVERAGE(OFFSET($R$3,0,0,'Données projet'!$E$9+1,1))-AVERAGE(OFFSET($H$3,0,0,'Données projet'!$E$9+1,1))</f>
        <v>270.84250348555986</v>
      </c>
      <c r="T35" s="62">
        <f t="shared" si="34"/>
        <v>384.30746584920951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0.81333292074316588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0.81333292074316588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48.294055573745034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135.66666666666666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4.4860000000000015</v>
      </c>
      <c r="N36" s="14">
        <f>IF('Données projet'!$A$36&gt;35,N35+M36-V35,IF(A36&lt;'Données projet'!$A$36,$K$205^A36,IF(A36='Données projet'!$A$36,'Données projet'!$B$36,N35+M36-V35)))</f>
        <v>162.17799999999997</v>
      </c>
      <c r="O36" s="14">
        <f>N36*VLOOKUP('Données projet'!$B$9,Paramètres!$A$1:$I$89,3,0)*VLOOKUP('Données projet'!$B$9,Paramètres!$A$1:$I$89,5,0)</f>
        <v>146.73865439999997</v>
      </c>
      <c r="P36" s="14">
        <f t="shared" si="33"/>
        <v>37.836487597725537</v>
      </c>
      <c r="Q36" s="22">
        <f t="shared" si="53"/>
        <v>321.46837231270524</v>
      </c>
      <c r="R36" s="62">
        <f t="shared" si="0"/>
        <v>536.59392464787391</v>
      </c>
      <c r="S36" s="62">
        <f ca="1">AVERAGE(OFFSET($R$3,0,0,'Données projet'!$E$9+1,1))-AVERAGE(OFFSET($H$3,0,0,'Données projet'!$E$9+1,1))</f>
        <v>270.84250348555986</v>
      </c>
      <c r="T36" s="62">
        <f t="shared" si="34"/>
        <v>384.30746584920951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0.79738395825148978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0.79738395825148978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48.670605182318724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135.66666666666666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4.4860000000000015</v>
      </c>
      <c r="N37" s="14">
        <f>IF('Données projet'!$A$36&gt;35,N36+M37-V36,IF(A37&lt;'Données projet'!$A$36,$K$205^A37,IF(A37='Données projet'!$A$36,'Données projet'!$B$36,N36+M37-V36)))</f>
        <v>166.66399999999996</v>
      </c>
      <c r="O37" s="14">
        <f>N37*VLOOKUP('Données projet'!$B$9,Paramètres!$A$1:$I$89,3,0)*VLOOKUP('Données projet'!$B$9,Paramètres!$A$1:$I$89,5,0)</f>
        <v>150.79758719999995</v>
      </c>
      <c r="P37" s="14">
        <f t="shared" si="33"/>
        <v>38.759784193036779</v>
      </c>
      <c r="Q37" s="22">
        <f t="shared" si="53"/>
        <v>330.14575517620568</v>
      </c>
      <c r="R37" s="62">
        <f t="shared" si="0"/>
        <v>546.62803766528805</v>
      </c>
      <c r="S37" s="62">
        <f ca="1">AVERAGE(OFFSET($R$3,0,0,'Données projet'!$E$9+1,1))-AVERAGE(OFFSET($H$3,0,0,'Données projet'!$E$9+1,1))</f>
        <v>270.84250348555986</v>
      </c>
      <c r="T37" s="62">
        <f t="shared" si="34"/>
        <v>384.30746584920951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0.78174774518636891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0.78174774518636891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49.040622497022468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135.66666666666666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171.15</v>
      </c>
      <c r="L38" s="13">
        <f>VLOOKUP(A38,'Données projet'!$A$35:$I$55,9,0)</f>
        <v>4.4860000000000015</v>
      </c>
      <c r="M38" s="13">
        <f t="array" ref="M38">INDEX(L:L,MIN(IF(ISNUMBER(L38:L234),ROW(L38:L234),"")))</f>
        <v>4.4860000000000015</v>
      </c>
      <c r="N38" s="14">
        <f>IF('Données projet'!$A$36&gt;35,N37+M38-V37,IF(A38&lt;'Données projet'!$A$36,$K$205^A38,IF(A38='Données projet'!$A$36,'Données projet'!$B$36,N37+M38-V37)))</f>
        <v>171.14999999999995</v>
      </c>
      <c r="O38" s="14">
        <f>N38*VLOOKUP('Données projet'!$B$9,Paramètres!$A$1:$I$89,3,0)*VLOOKUP('Données projet'!$B$9,Paramètres!$A$1:$I$89,5,0)</f>
        <v>154.85651999999996</v>
      </c>
      <c r="P38" s="14">
        <f t="shared" si="33"/>
        <v>39.680192191444007</v>
      </c>
      <c r="Q38" s="22">
        <f t="shared" si="53"/>
        <v>338.81810706676487</v>
      </c>
      <c r="R38" s="62">
        <f t="shared" si="0"/>
        <v>556.63358347478481</v>
      </c>
      <c r="S38" s="62">
        <f ca="1">AVERAGE(OFFSET($R$3,0,0,'Données projet'!$E$9+1,1))-AVERAGE(OFFSET($H$3,0,0,'Données projet'!$E$9+1,1))</f>
        <v>270.84250348555986</v>
      </c>
      <c r="T38" s="62">
        <f t="shared" si="34"/>
        <v>384.30746584920951</v>
      </c>
      <c r="U38" s="16">
        <f>IF(ISNA(VLOOKUP(A38,'Données projet'!$A$35:$I$55,3,0)),0,VLOOKUP(A38,'Données projet'!$A$35:$I$55,3,0))</f>
        <v>7</v>
      </c>
      <c r="V38" s="16">
        <f>IF(ISNA(VLOOKUP(A38,'Données projet'!$A$35:$I$55,4,0)),0,VLOOKUP(A38,'Données projet'!$A$35:$I$55,4,0))</f>
        <v>5.77</v>
      </c>
      <c r="W38" s="17">
        <f>IF(ISNA(VLOOKUP(A38,'Données projet'!$A$35:$I$55,5,0)),0%,VLOOKUP(A38,'Données projet'!$A$35:$I$55,5,0)*VLOOKUP('Données projet'!$B$9,Paramètres!$A$1:$I$89,7,0))</f>
        <v>0.18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1.8052566106606145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1.8052566106606145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49.404220838550884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135.66666666666666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3.9759999999999991</v>
      </c>
      <c r="N39" s="14">
        <f>IF('Données projet'!$A$36&gt;35,N38+M39-V38,IF(A39&lt;'Données projet'!$A$36,$K$205^A39,IF(A39='Données projet'!$A$36,'Données projet'!$B$36,N38+M39-V38)))</f>
        <v>169.35599999999994</v>
      </c>
      <c r="O39" s="14">
        <f>N39*VLOOKUP('Données projet'!$B$9,Paramètres!$A$1:$I$89,3,0)*VLOOKUP('Données projet'!$B$9,Paramètres!$A$1:$I$89,5,0)</f>
        <v>153.23330879999992</v>
      </c>
      <c r="P39" s="14">
        <f t="shared" si="33"/>
        <v>39.312452158633867</v>
      </c>
      <c r="Q39" s="22">
        <f t="shared" si="53"/>
        <v>335.35053366962052</v>
      </c>
      <c r="R39" s="62">
        <f t="shared" si="0"/>
        <v>554.47607606265944</v>
      </c>
      <c r="S39" s="62">
        <f ca="1">AVERAGE(OFFSET($R$3,0,0,'Données projet'!$E$9+1,1))-AVERAGE(OFFSET($H$3,0,0,'Données projet'!$E$9+1,1))</f>
        <v>270.84250348555986</v>
      </c>
      <c r="T39" s="62">
        <f t="shared" si="34"/>
        <v>384.30746584920951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1.769856629623368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1.769856629623368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49.761511561737905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135.66666666666666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3.9759999999999991</v>
      </c>
      <c r="N40" s="14">
        <f>IF('Données projet'!$A$36&gt;35,N39+M40-V39,IF(A40&lt;'Données projet'!$A$36,$K$205^A40,IF(A40='Données projet'!$A$36,'Données projet'!$B$36,N39+M40-V39)))</f>
        <v>173.33199999999994</v>
      </c>
      <c r="O40" s="14">
        <f>N40*VLOOKUP('Données projet'!$B$9,Paramètres!$A$1:$I$89,3,0)*VLOOKUP('Données projet'!$B$9,Paramètres!$A$1:$I$89,5,0)</f>
        <v>156.83079359999994</v>
      </c>
      <c r="P40" s="14">
        <f t="shared" si="33"/>
        <v>40.126861870797647</v>
      </c>
      <c r="Q40" s="22">
        <f t="shared" si="53"/>
        <v>343.03458327830577</v>
      </c>
      <c r="R40" s="62">
        <f t="shared" si="0"/>
        <v>563.44746494039259</v>
      </c>
      <c r="S40" s="62">
        <f ca="1">AVERAGE(OFFSET($R$3,0,0,'Données projet'!$E$9+1,1))-AVERAGE(OFFSET($H$3,0,0,'Données projet'!$E$9+1,1))</f>
        <v>270.84250348555986</v>
      </c>
      <c r="T40" s="62">
        <f t="shared" si="34"/>
        <v>384.30746584920951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1.7351508206224056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1.7351508206224056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50.112604089660024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135.66666666666666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3.9759999999999991</v>
      </c>
      <c r="N41" s="14">
        <f>IF('Données projet'!$A$36&gt;35,N40+M41-V40,IF(A41&lt;'Données projet'!$A$36,$K$205^A41,IF(A41='Données projet'!$A$36,'Données projet'!$B$36,N40+M41-V40)))</f>
        <v>177.30799999999994</v>
      </c>
      <c r="O41" s="14">
        <f>N41*VLOOKUP('Données projet'!$B$9,Paramètres!$A$1:$I$89,3,0)*VLOOKUP('Données projet'!$B$9,Paramètres!$A$1:$I$89,5,0)</f>
        <v>160.42827839999993</v>
      </c>
      <c r="P41" s="14">
        <f t="shared" si="33"/>
        <v>40.939099761394424</v>
      </c>
      <c r="Q41" s="22">
        <f t="shared" si="53"/>
        <v>350.71485029776181</v>
      </c>
      <c r="R41" s="62">
        <f t="shared" si="0"/>
        <v>572.39273877063772</v>
      </c>
      <c r="S41" s="62">
        <f ca="1">AVERAGE(OFFSET($R$3,0,0,'Données projet'!$E$9+1,1))-AVERAGE(OFFSET($H$3,0,0,'Données projet'!$E$9+1,1))</f>
        <v>270.84250348555986</v>
      </c>
      <c r="T41" s="62">
        <f t="shared" si="34"/>
        <v>384.30746584920951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1.7011255713674986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1.7011255713674986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50.457605947147982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135.66666666666666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3.9759999999999991</v>
      </c>
      <c r="N42" s="14">
        <f>IF('Données projet'!$A$36&gt;35,N41+M42-V41,IF(A42&lt;'Données projet'!$A$36,$K$205^A42,IF(A42='Données projet'!$A$36,'Données projet'!$B$36,N41+M42-V41)))</f>
        <v>181.28399999999993</v>
      </c>
      <c r="O42" s="14">
        <f>N42*VLOOKUP('Données projet'!$B$9,Paramètres!$A$1:$I$89,3,0)*VLOOKUP('Données projet'!$B$9,Paramètres!$A$1:$I$89,5,0)</f>
        <v>164.02576319999991</v>
      </c>
      <c r="P42" s="14">
        <f t="shared" si="33"/>
        <v>41.749220139059801</v>
      </c>
      <c r="Q42" s="22">
        <f t="shared" si="53"/>
        <v>358.39142931552897</v>
      </c>
      <c r="R42" s="62">
        <f t="shared" si="0"/>
        <v>581.31237955915844</v>
      </c>
      <c r="S42" s="62">
        <f ca="1">AVERAGE(OFFSET($R$3,0,0,'Données projet'!$E$9+1,1))-AVERAGE(OFFSET($H$3,0,0,'Données projet'!$E$9+1,1))</f>
        <v>270.84250348555986</v>
      </c>
      <c r="T42" s="62">
        <f t="shared" si="34"/>
        <v>384.30746584920951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1.6677675364971276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1.6677675364971276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50.796622793717141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135.66666666666666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185.26</v>
      </c>
      <c r="L43" s="13">
        <f>VLOOKUP(A43,'Données projet'!$A$35:$I$55,9,0)</f>
        <v>3.9759999999999991</v>
      </c>
      <c r="M43" s="13">
        <f t="array" ref="M43">INDEX(L:L,MIN(IF(ISNUMBER(L43:L239),ROW(L43:L239),"")))</f>
        <v>3.9759999999999991</v>
      </c>
      <c r="N43" s="14">
        <f>IF('Données projet'!$A$36&gt;35,N42+M43-V42,IF(A43&lt;'Données projet'!$A$36,$K$205^A43,IF(A43='Données projet'!$A$36,'Données projet'!$B$36,N42+M43-V42)))</f>
        <v>185.25999999999993</v>
      </c>
      <c r="O43" s="14">
        <f>N43*VLOOKUP('Données projet'!$B$9,Paramètres!$A$1:$I$89,3,0)*VLOOKUP('Données projet'!$B$9,Paramètres!$A$1:$I$89,5,0)</f>
        <v>167.62324799999993</v>
      </c>
      <c r="P43" s="14">
        <f t="shared" si="33"/>
        <v>42.557274794149713</v>
      </c>
      <c r="Q43" s="22">
        <f t="shared" si="53"/>
        <v>366.06441053314398</v>
      </c>
      <c r="R43" s="62">
        <f t="shared" si="0"/>
        <v>590.20685820487427</v>
      </c>
      <c r="S43" s="62">
        <f ca="1">AVERAGE(OFFSET($R$3,0,0,'Données projet'!$E$9+1,1))-AVERAGE(OFFSET($H$3,0,0,'Données projet'!$E$9+1,1))</f>
        <v>270.84250348555986</v>
      </c>
      <c r="T43" s="62">
        <f t="shared" si="34"/>
        <v>384.30746584920951</v>
      </c>
      <c r="U43" s="16">
        <f>IF(ISNA(VLOOKUP(A43,'Données projet'!$A$35:$I$55,3,0)),0,VLOOKUP(A43,'Données projet'!$A$35:$I$55,3,0))</f>
        <v>8</v>
      </c>
      <c r="V43" s="16">
        <f>IF(ISNA(VLOOKUP(A43,'Données projet'!$A$35:$I$55,4,0)),0,VLOOKUP(A43,'Données projet'!$A$35:$I$55,4,0))</f>
        <v>4.49</v>
      </c>
      <c r="W43" s="17">
        <f>IF(ISNA(VLOOKUP(A43,'Données projet'!$A$35:$I$55,5,0)),0%,VLOOKUP(A43,'Données projet'!$A$35:$I$55,5,0)*VLOOKUP('Données projet'!$B$9,Paramètres!$A$1:$I$89,7,0))</f>
        <v>0.21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2.5781801216197651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2.5781801216197651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51.129758455926442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135.66666666666666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3.8460000000000036</v>
      </c>
      <c r="N44" s="14">
        <f>IF('Données projet'!$A$36&gt;35,N43+M44-V43,IF(A44&lt;'Données projet'!$A$36,$K$205^A44,IF(A44='Données projet'!$A$36,'Données projet'!$B$36,N43+M44-V43)))</f>
        <v>184.61599999999993</v>
      </c>
      <c r="O44" s="14">
        <f>N44*VLOOKUP('Données projet'!$B$9,Paramètres!$A$1:$I$89,3,0)*VLOOKUP('Données projet'!$B$9,Paramètres!$A$1:$I$89,5,0)</f>
        <v>167.04055679999993</v>
      </c>
      <c r="P44" s="14">
        <f t="shared" si="33"/>
        <v>42.426530816479541</v>
      </c>
      <c r="Q44" s="22">
        <f t="shared" si="53"/>
        <v>364.82184426536838</v>
      </c>
      <c r="R44" s="62">
        <f t="shared" si="0"/>
        <v>590.16459911568109</v>
      </c>
      <c r="S44" s="62">
        <f ca="1">AVERAGE(OFFSET($R$3,0,0,'Données projet'!$E$9+1,1))-AVERAGE(OFFSET($H$3,0,0,'Données projet'!$E$9+1,1))</f>
        <v>270.84250348555986</v>
      </c>
      <c r="T44" s="62">
        <f t="shared" si="34"/>
        <v>384.30746584920951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2.5276235819694008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2.5276235819694008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51.457114959176174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135.66666666666666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3.8460000000000036</v>
      </c>
      <c r="N45" s="14">
        <f>IF('Données projet'!$A$36&gt;35,N44+M45-V44,IF(A45&lt;'Données projet'!$A$36,$K$205^A45,IF(A45='Données projet'!$A$36,'Données projet'!$B$36,N44+M45-V44)))</f>
        <v>188.46199999999993</v>
      </c>
      <c r="O45" s="14">
        <f>N45*VLOOKUP('Données projet'!$B$9,Paramètres!$A$1:$I$89,3,0)*VLOOKUP('Données projet'!$B$9,Paramètres!$A$1:$I$89,5,0)</f>
        <v>170.52041759999992</v>
      </c>
      <c r="P45" s="14">
        <f t="shared" si="33"/>
        <v>43.206559072887615</v>
      </c>
      <c r="Q45" s="22">
        <f t="shared" si="53"/>
        <v>372.24115103861249</v>
      </c>
      <c r="R45" s="62">
        <f t="shared" si="0"/>
        <v>598.76339042144389</v>
      </c>
      <c r="S45" s="62">
        <f ca="1">AVERAGE(OFFSET($R$3,0,0,'Données projet'!$E$9+1,1))-AVERAGE(OFFSET($H$3,0,0,'Données projet'!$E$9+1,1))</f>
        <v>270.84250348555986</v>
      </c>
      <c r="T45" s="62">
        <f t="shared" si="34"/>
        <v>384.30746584920951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2.4780584252251359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2.4780584252251359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51.778792558954024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135.66666666666666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3.8460000000000036</v>
      </c>
      <c r="N46" s="14">
        <f>IF('Données projet'!$A$36&gt;35,N45+M46-V45,IF(A46&lt;'Données projet'!$A$36,$K$205^A46,IF(A46='Données projet'!$A$36,'Données projet'!$B$36,N45+M46-V45)))</f>
        <v>192.30799999999994</v>
      </c>
      <c r="O46" s="14">
        <f>N46*VLOOKUP('Données projet'!$B$9,Paramètres!$A$1:$I$89,3,0)*VLOOKUP('Données projet'!$B$9,Paramètres!$A$1:$I$89,5,0)</f>
        <v>174.00027839999993</v>
      </c>
      <c r="P46" s="14">
        <f t="shared" si="33"/>
        <v>43.984736506015928</v>
      </c>
      <c r="Q46" s="22">
        <f t="shared" si="53"/>
        <v>379.65723429464424</v>
      </c>
      <c r="R46" s="62">
        <f t="shared" si="0"/>
        <v>607.33849679028765</v>
      </c>
      <c r="S46" s="62">
        <f ca="1">AVERAGE(OFFSET($R$3,0,0,'Données projet'!$E$9+1,1))-AVERAGE(OFFSET($H$3,0,0,'Données projet'!$E$9+1,1))</f>
        <v>270.84250348555986</v>
      </c>
      <c r="T46" s="62">
        <f t="shared" si="34"/>
        <v>384.30746584920951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2.4294652109728654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2.4294652109728654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52.094889771539101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135.66666666666666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3.8460000000000036</v>
      </c>
      <c r="N47" s="14">
        <f>IF('Données projet'!$A$36&gt;35,N46+M47-V46,IF(A47&lt;'Données projet'!$A$36,$K$205^A47,IF(A47='Données projet'!$A$36,'Données projet'!$B$36,N46+M47-V46)))</f>
        <v>196.15399999999994</v>
      </c>
      <c r="O47" s="14">
        <f>N47*VLOOKUP('Données projet'!$B$9,Paramètres!$A$1:$I$89,3,0)*VLOOKUP('Données projet'!$B$9,Paramètres!$A$1:$I$89,5,0)</f>
        <v>177.48013919999994</v>
      </c>
      <c r="P47" s="14">
        <f t="shared" si="33"/>
        <v>44.761104396820208</v>
      </c>
      <c r="Q47" s="22">
        <f t="shared" si="53"/>
        <v>387.07016593112843</v>
      </c>
      <c r="R47" s="62">
        <f t="shared" si="0"/>
        <v>615.89034507976396</v>
      </c>
      <c r="S47" s="62">
        <f ca="1">AVERAGE(OFFSET($R$3,0,0,'Données projet'!$E$9+1,1))-AVERAGE(OFFSET($H$3,0,0,'Données projet'!$E$9+1,1))</f>
        <v>270.84250348555986</v>
      </c>
      <c r="T47" s="62">
        <f t="shared" si="34"/>
        <v>384.30746584920951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2.3818248800131481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2.3818248800131481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52.405503404173331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135.66666666666666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200</v>
      </c>
      <c r="L48" s="13">
        <f>VLOOKUP(A48,'Données projet'!$A$35:$I$55,9,0)</f>
        <v>3.8460000000000036</v>
      </c>
      <c r="M48" s="13">
        <f t="array" ref="M48">INDEX(L:L,MIN(IF(ISNUMBER(L48:L244),ROW(L48:L244),"")))</f>
        <v>3.8460000000000036</v>
      </c>
      <c r="N48" s="14">
        <f>IF('Données projet'!$A$36&gt;35,N47+M48-V47,IF(A48&lt;'Données projet'!$A$36,$K$205^A48,IF(A48='Données projet'!$A$36,'Données projet'!$B$36,N47+M48-V47)))</f>
        <v>199.99999999999994</v>
      </c>
      <c r="O48" s="14">
        <f>N48*VLOOKUP('Données projet'!$B$9,Paramètres!$A$1:$I$89,3,0)*VLOOKUP('Données projet'!$B$9,Paramètres!$A$1:$I$89,5,0)</f>
        <v>180.95999999999995</v>
      </c>
      <c r="P48" s="14">
        <f t="shared" si="33"/>
        <v>45.53570231487172</v>
      </c>
      <c r="Q48" s="22">
        <f t="shared" si="53"/>
        <v>394.48001486506814</v>
      </c>
      <c r="R48" s="62">
        <f t="shared" si="0"/>
        <v>624.41935300900263</v>
      </c>
      <c r="S48" s="62">
        <f ca="1">AVERAGE(OFFSET($R$3,0,0,'Données projet'!$E$9+1,1))-AVERAGE(OFFSET($H$3,0,0,'Données projet'!$E$9+1,1))</f>
        <v>270.84250348555986</v>
      </c>
      <c r="T48" s="62">
        <f t="shared" si="34"/>
        <v>384.30746584920951</v>
      </c>
      <c r="U48" s="16">
        <f>IF(ISNA(VLOOKUP(A48,'Données projet'!$A$35:$I$55,3,0)),0,VLOOKUP(A48,'Données projet'!$A$35:$I$55,3,0))</f>
        <v>9</v>
      </c>
      <c r="V48" s="16">
        <f>IF(ISNA(VLOOKUP(A48,'Données projet'!$A$35:$I$55,4,0)),0,VLOOKUP(A48,'Données projet'!$A$35:$I$55,4,0))</f>
        <v>200</v>
      </c>
      <c r="W48" s="17">
        <f>IF(ISNA(VLOOKUP(A48,'Données projet'!$A$35:$I$55,5,0)),0%,VLOOKUP(A48,'Données projet'!$A$35:$I$55,5,0)*VLOOKUP('Données projet'!$B$9,Paramètres!$A$1:$I$89,7,0))</f>
        <v>0.24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50.346139518153663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50.346139518153663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52.710728584709415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135.66666666666666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-5.6843418860808015E-14</v>
      </c>
      <c r="O49" s="14">
        <f>N49*VLOOKUP('Données projet'!$B$9,Paramètres!$A$1:$I$89,3,0)*VLOOKUP('Données projet'!$B$9,Paramètres!$A$1:$I$89,5,0)</f>
        <v>-5.1431925385259088E-14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270.84250348555986</v>
      </c>
      <c r="T49" s="62">
        <f t="shared" si="34"/>
        <v>384.30746584920951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49.358882430315603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49.358882430315603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53.010658790744458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135.66666666666666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-5.6843418860808015E-14</v>
      </c>
      <c r="O50" s="14">
        <f>N50*VLOOKUP('Données projet'!$B$9,Paramètres!$A$1:$I$89,3,0)*VLOOKUP('Données projet'!$B$9,Paramètres!$A$1:$I$89,5,0)</f>
        <v>-5.1431925385259088E-14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270.84250348555986</v>
      </c>
      <c r="T50" s="62">
        <f t="shared" si="34"/>
        <v>384.30746584920951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48.390984851802685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48.390984851802685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53.305385878248288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135.66666666666666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-5.6843418860808015E-14</v>
      </c>
      <c r="O51" s="14">
        <f>N51*VLOOKUP('Données projet'!$B$9,Paramètres!$A$1:$I$89,3,0)*VLOOKUP('Données projet'!$B$9,Paramètres!$A$1:$I$89,5,0)</f>
        <v>-5.1431925385259088E-14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270.84250348555986</v>
      </c>
      <c r="T51" s="62">
        <f t="shared" si="34"/>
        <v>384.30746584920951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47.442067154445169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47.442067154445169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53.595000109694972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135.66666666666666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-5.6843418860808015E-14</v>
      </c>
      <c r="O52" s="14">
        <f>N52*VLOOKUP('Données projet'!$B$9,Paramètres!$A$1:$I$89,3,0)*VLOOKUP('Données projet'!$B$9,Paramètres!$A$1:$I$89,5,0)</f>
        <v>-5.1431925385259088E-14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270.84250348555986</v>
      </c>
      <c r="T52" s="62">
        <f t="shared" si="34"/>
        <v>384.30746584920951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46.511757154350192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46.511757154350192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53.879590181706483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135.66666666666666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-5.6843418860808015E-14</v>
      </c>
      <c r="O53" s="14">
        <f>N53*VLOOKUP('Données projet'!$B$9,Paramètres!$A$1:$I$89,3,0)*VLOOKUP('Données projet'!$B$9,Paramètres!$A$1:$I$89,5,0)</f>
        <v>-5.1431925385259088E-14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270.84250348555986</v>
      </c>
      <c r="T53" s="62">
        <f t="shared" si="34"/>
        <v>384.30746584920951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45.599689965924007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45.599689965924007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54.159243252216683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135.66666666666666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-5.6843418860808015E-14</v>
      </c>
      <c r="O54" s="14">
        <f>N54*VLOOKUP('Données projet'!$B$9,Paramètres!$A$1:$I$89,3,0)*VLOOKUP('Données projet'!$B$9,Paramètres!$A$1:$I$89,5,0)</f>
        <v>-5.1431925385259088E-14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270.84250348555986</v>
      </c>
      <c r="T54" s="62">
        <f t="shared" si="34"/>
        <v>384.30746584920951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44.705507858756803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44.705507858756803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54.434044967164127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135.66666666666666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-5.6843418860808015E-14</v>
      </c>
      <c r="O55" s="14">
        <f>N55*VLOOKUP('Données projet'!$B$9,Paramètres!$A$1:$I$89,3,0)*VLOOKUP('Données projet'!$B$9,Paramètres!$A$1:$I$89,5,0)</f>
        <v>-5.1431925385259088E-14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270.84250348555986</v>
      </c>
      <c r="T55" s="62">
        <f t="shared" si="34"/>
        <v>384.30746584920951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43.828860117313916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43.828860117313916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54.704079486721838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135.66666666666666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-5.6843418860808015E-14</v>
      </c>
      <c r="O56" s="14">
        <f>N56*VLOOKUP('Données projet'!$B$9,Paramètres!$A$1:$I$89,3,0)*VLOOKUP('Données projet'!$B$9,Paramètres!$A$1:$I$89,5,0)</f>
        <v>-5.1431925385259088E-14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270.84250348555986</v>
      </c>
      <c r="T56" s="62">
        <f t="shared" si="34"/>
        <v>384.30746584920951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42.969402903378402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42.969402903378402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54.969429511071958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135.66666666666666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-5.6843418860808015E-14</v>
      </c>
      <c r="O57" s="14">
        <f>N57*VLOOKUP('Données projet'!$B$9,Paramètres!$A$1:$I$89,3,0)*VLOOKUP('Données projet'!$B$9,Paramètres!$A$1:$I$89,5,0)</f>
        <v>-5.1431925385259088E-14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270.84250348555986</v>
      </c>
      <c r="T57" s="62">
        <f t="shared" si="34"/>
        <v>384.30746584920951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42.126799121191027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42.126799121191027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55.230176305733387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135.66666666666666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-5.6843418860808015E-14</v>
      </c>
      <c r="O58" s="14">
        <f>N58*VLOOKUP('Données projet'!$B$9,Paramètres!$A$1:$I$89,3,0)*VLOOKUP('Données projet'!$B$9,Paramètres!$A$1:$I$89,5,0)</f>
        <v>-5.1431925385259088E-14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270.84250348555986</v>
      </c>
      <c r="T58" s="62">
        <f t="shared" si="34"/>
        <v>384.30746584920951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41.300718285234787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41.300718285234787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55.486399726449946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135.66666666666666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-5.6843418860808015E-14</v>
      </c>
      <c r="O59" s="14">
        <f>N59*VLOOKUP('Données projet'!$B$9,Paramètres!$A$1:$I$89,3,0)*VLOOKUP('Données projet'!$B$9,Paramètres!$A$1:$I$89,5,0)</f>
        <v>-5.1431925385259088E-14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270.84250348555986</v>
      </c>
      <c r="T59" s="62">
        <f t="shared" si="34"/>
        <v>384.30746584920951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40.490836390612088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40.490836390612088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55.738178243646821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135.66666666666666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-5.6843418860808015E-14</v>
      </c>
      <c r="O60" s="14">
        <f>N60*VLOOKUP('Données projet'!$B$9,Paramètres!$A$1:$I$89,3,0)*VLOOKUP('Données projet'!$B$9,Paramètres!$A$1:$I$89,5,0)</f>
        <v>-5.1431925385259088E-14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270.84250348555986</v>
      </c>
      <c r="T60" s="62">
        <f t="shared" si="34"/>
        <v>384.30746584920951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39.696835785963763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39.696835785963763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55.985588966462764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135.66666666666666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-5.6843418860808015E-14</v>
      </c>
      <c r="O61" s="14">
        <f>N61*VLOOKUP('Données projet'!$B$9,Paramètres!$A$1:$I$89,3,0)*VLOOKUP('Données projet'!$B$9,Paramètres!$A$1:$I$89,5,0)</f>
        <v>-5.1431925385259088E-14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270.84250348555986</v>
      </c>
      <c r="T61" s="62">
        <f t="shared" si="34"/>
        <v>384.30746584920951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38.918405048880039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38.918405048880039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56.228707666365366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135.66666666666666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-5.6843418860808015E-14</v>
      </c>
      <c r="O62" s="14">
        <f>N62*VLOOKUP('Données projet'!$B$9,Paramètres!$A$1:$I$89,3,0)*VLOOKUP('Données projet'!$B$9,Paramètres!$A$1:$I$89,5,0)</f>
        <v>-5.1431925385259088E-14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270.84250348555986</v>
      </c>
      <c r="T62" s="62">
        <f t="shared" si="34"/>
        <v>384.30746584920951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38.155238863754661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38.155238863754661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56.467608800356643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135.66666666666666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-5.6843418860808015E-14</v>
      </c>
      <c r="O63" s="14">
        <f>N63*VLOOKUP('Données projet'!$B$9,Paramètres!$A$1:$I$89,3,0)*VLOOKUP('Données projet'!$B$9,Paramètres!$A$1:$I$89,5,0)</f>
        <v>-5.1431925385259088E-14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270.84250348555986</v>
      </c>
      <c r="T63" s="62">
        <f t="shared" si="34"/>
        <v>384.30746584920951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37.407037902034183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37.407037902034183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56.702365533776103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135.66666666666666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-5.6843418860808015E-14</v>
      </c>
      <c r="O64" s="14">
        <f>N64*VLOOKUP('Données projet'!$B$9,Paramètres!$A$1:$I$89,3,0)*VLOOKUP('Données projet'!$B$9,Paramètres!$A$1:$I$89,5,0)</f>
        <v>-5.1431925385259088E-14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270.84250348555986</v>
      </c>
      <c r="T64" s="62">
        <f t="shared" si="34"/>
        <v>384.30746584920951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36.673508704815518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36.673508704815518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56.933049762708151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135.66666666666666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-5.6843418860808015E-14</v>
      </c>
      <c r="O65" s="14">
        <f>N65*VLOOKUP('Données projet'!$B$9,Paramètres!$A$1:$I$89,3,0)*VLOOKUP('Données projet'!$B$9,Paramètres!$A$1:$I$89,5,0)</f>
        <v>-5.1431925385259088E-14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270.84250348555986</v>
      </c>
      <c r="T65" s="62">
        <f t="shared" si="34"/>
        <v>384.30746584920951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35.954363567745673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35.954363567745673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57.159732136000912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135.66666666666666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-5.6843418860808015E-14</v>
      </c>
      <c r="O66" s="14">
        <f>N66*VLOOKUP('Données projet'!$B$9,Paramètres!$A$1:$I$89,3,0)*VLOOKUP('Données projet'!$B$9,Paramètres!$A$1:$I$89,5,0)</f>
        <v>-5.1431925385259088E-14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270.84250348555986</v>
      </c>
      <c r="T66" s="62">
        <f t="shared" si="34"/>
        <v>384.30746584920951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35.249320428178549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35.249320428178549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57.382482076902896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135.66666666666666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-5.6843418860808015E-14</v>
      </c>
      <c r="O67" s="14">
        <f>N67*VLOOKUP('Données projet'!$B$9,Paramètres!$A$1:$I$89,3,0)*VLOOKUP('Données projet'!$B$9,Paramètres!$A$1:$I$89,5,0)</f>
        <v>-5.1431925385259088E-14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270.84250348555986</v>
      </c>
      <c r="T67" s="62">
        <f t="shared" si="34"/>
        <v>384.30746584920951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34.558102754544485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34.558102754544485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57.601367804324497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135.66666666666666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-5.6843418860808015E-14</v>
      </c>
      <c r="O68" s="14">
        <f>N68*VLOOKUP('Données projet'!$B$9,Paramètres!$A$1:$I$89,3,0)*VLOOKUP('Données projet'!$B$9,Paramètres!$A$1:$I$89,5,0)</f>
        <v>-5.1431925385259088E-14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270.84250348555986</v>
      </c>
      <c r="T68" s="62">
        <f t="shared" si="34"/>
        <v>384.30746584920951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33.88043943788923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33.88043943788923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57.816456353730516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135.66666666666666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-5.6843418860808015E-14</v>
      </c>
      <c r="O69" s="14">
        <f>N69*VLOOKUP('Données projet'!$B$9,Paramètres!$A$1:$I$89,3,0)*VLOOKUP('Données projet'!$B$9,Paramètres!$A$1:$I$89,5,0)</f>
        <v>-5.1431925385259088E-14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270.84250348555986</v>
      </c>
      <c r="T69" s="62">
        <f t="shared" ref="T69:T132" si="88">$T$3</f>
        <v>384.30746584920951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33.216064685539777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33.216064685539777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58.027813597670296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135.66666666666666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-5.6843418860808015E-14</v>
      </c>
      <c r="O70" s="14">
        <f>N70*VLOOKUP('Données projet'!$B$9,Paramètres!$A$1:$I$89,3,0)*VLOOKUP('Données projet'!$B$9,Paramètres!$A$1:$I$89,5,0)</f>
        <v>-5.1431925385259088E-14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270.84250348555986</v>
      </c>
      <c r="T70" s="62">
        <f t="shared" si="88"/>
        <v>384.30746584920951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32.564717916855308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32.564717916855308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58.235504265951725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135.66666666666666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-5.6843418860808015E-14</v>
      </c>
      <c r="O71" s="14">
        <f>N71*VLOOKUP('Données projet'!$B$9,Paramètres!$A$1:$I$89,3,0)*VLOOKUP('Données projet'!$B$9,Paramètres!$A$1:$I$89,5,0)</f>
        <v>-5.1431925385259088E-14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270.84250348555986</v>
      </c>
      <c r="T71" s="62">
        <f t="shared" si="88"/>
        <v>384.30746584920951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31.926143661022444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31.926143661022444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58.439591965465247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135.66666666666666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-5.6843418860808015E-14</v>
      </c>
      <c r="O72" s="14">
        <f>N72*VLOOKUP('Données projet'!$B$9,Paramètres!$A$1:$I$89,3,0)*VLOOKUP('Données projet'!$B$9,Paramètres!$A$1:$I$89,5,0)</f>
        <v>-5.1431925385259088E-14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270.84250348555986</v>
      </c>
      <c r="T72" s="62">
        <f t="shared" si="88"/>
        <v>384.30746584920951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31.300091456854624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31.300091456854624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58.640139199663949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135.66666666666666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-5.6843418860808015E-14</v>
      </c>
      <c r="O73" s="14">
        <f>N73*VLOOKUP('Données projet'!$B$9,Paramètres!$A$1:$I$89,3,0)*VLOOKUP('Données projet'!$B$9,Paramètres!$A$1:$I$89,5,0)</f>
        <v>-5.1431925385259088E-14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270.84250348555986</v>
      </c>
      <c r="T73" s="62">
        <f t="shared" si="88"/>
        <v>384.30746584920951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30.686315754556396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30.686315754556396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58.837207387705753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135.66666666666666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-5.6843418860808015E-14</v>
      </c>
      <c r="O74" s="14">
        <f>N74*VLOOKUP('Données projet'!$B$9,Paramètres!$A$1:$I$89,3,0)*VLOOKUP('Données projet'!$B$9,Paramètres!$A$1:$I$89,5,0)</f>
        <v>-5.1431925385259088E-14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270.84250348555986</v>
      </c>
      <c r="T74" s="62">
        <f t="shared" si="88"/>
        <v>384.30746584920951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30.084575819414024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30.084575819414024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59.030856883263496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135.66666666666666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-5.6843418860808015E-14</v>
      </c>
      <c r="O75" s="14">
        <f>N75*VLOOKUP('Données projet'!$B$9,Paramètres!$A$1:$I$89,3,0)*VLOOKUP('Données projet'!$B$9,Paramètres!$A$1:$I$89,5,0)</f>
        <v>-5.1431925385259088E-14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270.84250348555986</v>
      </c>
      <c r="T75" s="62">
        <f t="shared" si="88"/>
        <v>384.30746584920951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29.494635637374675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29.494635637374675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59.22114699300873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135.66666666666666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-5.6843418860808015E-14</v>
      </c>
      <c r="O76" s="14">
        <f>N76*VLOOKUP('Données projet'!$B$9,Paramètres!$A$1:$I$89,3,0)*VLOOKUP('Données projet'!$B$9,Paramètres!$A$1:$I$89,5,0)</f>
        <v>-5.1431925385259088E-14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270.84250348555986</v>
      </c>
      <c r="T76" s="62">
        <f t="shared" si="88"/>
        <v>384.30746584920951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28.916263822477134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28.916263822477134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59.408135994774824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135.66666666666666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-5.6843418860808015E-14</v>
      </c>
      <c r="O77" s="14">
        <f>N77*VLOOKUP('Données projet'!$B$9,Paramètres!$A$1:$I$89,3,0)*VLOOKUP('Données projet'!$B$9,Paramètres!$A$1:$I$89,5,0)</f>
        <v>-5.1431925385259088E-14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270.84250348555986</v>
      </c>
      <c r="T77" s="62">
        <f t="shared" si="88"/>
        <v>384.30746584920951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28.349233526097763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28.349233526097763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59.591881155405069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135.66666666666666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-5.6843418860808015E-14</v>
      </c>
      <c r="O78" s="14">
        <f>N78*VLOOKUP('Données projet'!$B$9,Paramètres!$A$1:$I$89,3,0)*VLOOKUP('Données projet'!$B$9,Paramètres!$A$1:$I$89,5,0)</f>
        <v>-5.1431925385259088E-14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270.84250348555986</v>
      </c>
      <c r="T78" s="62">
        <f t="shared" si="88"/>
        <v>384.30746584920951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27.793322347976058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27.793322347976058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59.772438748291009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135.66666666666666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-5.6843418860808015E-14</v>
      </c>
      <c r="O79" s="14">
        <f>N79*VLOOKUP('Données projet'!$B$9,Paramètres!$A$1:$I$89,3,0)*VLOOKUP('Données projet'!$B$9,Paramètres!$A$1:$I$89,5,0)</f>
        <v>-5.1431925385259088E-14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270.84250348555986</v>
      </c>
      <c r="T79" s="62">
        <f t="shared" si="88"/>
        <v>384.30746584920951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27.248312248984984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27.248312248984984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59.949864070606694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135.66666666666666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-5.6843418860808015E-14</v>
      </c>
      <c r="O80" s="14">
        <f>N80*VLOOKUP('Données projet'!$B$9,Paramètres!$A$1:$I$89,3,0)*VLOOKUP('Données projet'!$B$9,Paramètres!$A$1:$I$89,5,0)</f>
        <v>-5.1431925385259088E-14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270.84250348555986</v>
      </c>
      <c r="T80" s="62">
        <f t="shared" si="88"/>
        <v>384.30746584920951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26.713989465611789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26.713989465611789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60.124211460243785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135.66666666666666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-5.6843418860808015E-14</v>
      </c>
      <c r="O81" s="14">
        <f>N81*VLOOKUP('Données projet'!$B$9,Paramètres!$A$1:$I$89,3,0)*VLOOKUP('Données projet'!$B$9,Paramètres!$A$1:$I$89,5,0)</f>
        <v>-5.1431925385259088E-14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270.84250348555986</v>
      </c>
      <c r="T81" s="62">
        <f t="shared" si="88"/>
        <v>384.30746584920951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26.190144426115825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26.190144426115825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60.29553431245305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135.66666666666666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-5.6843418860808015E-14</v>
      </c>
      <c r="O82" s="14">
        <f>N82*VLOOKUP('Données projet'!$B$9,Paramètres!$A$1:$I$89,3,0)*VLOOKUP('Données projet'!$B$9,Paramètres!$A$1:$I$89,5,0)</f>
        <v>-5.1431925385259088E-14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270.84250348555986</v>
      </c>
      <c r="T82" s="62">
        <f t="shared" si="88"/>
        <v>384.30746584920951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25.676571668330453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25.676571668330453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60.463885096196996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135.66666666666666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-5.6843418860808015E-14</v>
      </c>
      <c r="O83" s="14">
        <f>N83*VLOOKUP('Données projet'!$B$9,Paramètres!$A$1:$I$89,3,0)*VLOOKUP('Données projet'!$B$9,Paramètres!$A$1:$I$89,5,0)</f>
        <v>-5.1431925385259088E-14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270.84250348555986</v>
      </c>
      <c r="T83" s="62">
        <f t="shared" si="88"/>
        <v>384.30746584920951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25.1730697590768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25.1730697590768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60.629315370218954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135.66666666666666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-5.6843418860808015E-14</v>
      </c>
      <c r="O84" s="14">
        <f>N84*VLOOKUP('Données projet'!$B$9,Paramètres!$A$1:$I$89,3,0)*VLOOKUP('Données projet'!$B$9,Paramètres!$A$1:$I$89,5,0)</f>
        <v>-5.1431925385259088E-14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270.84250348555986</v>
      </c>
      <c r="T84" s="62">
        <f t="shared" si="88"/>
        <v>384.30746584920951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24.67944121515777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24.67944121515777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60.791875798833317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135.66666666666666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-5.6843418860808015E-14</v>
      </c>
      <c r="O85" s="14">
        <f>N85*VLOOKUP('Données projet'!$B$9,Paramètres!$A$1:$I$89,3,0)*VLOOKUP('Données projet'!$B$9,Paramètres!$A$1:$I$89,5,0)</f>
        <v>-5.1431925385259088E-14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270.84250348555986</v>
      </c>
      <c r="T85" s="62">
        <f t="shared" si="88"/>
        <v>384.30746584920951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24.19549242590131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24.19549242590131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60.951616167441898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135.66666666666666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-5.6843418860808015E-14</v>
      </c>
      <c r="O86" s="14">
        <f>N86*VLOOKUP('Données projet'!$B$9,Paramètres!$A$1:$I$89,3,0)*VLOOKUP('Données projet'!$B$9,Paramètres!$A$1:$I$89,5,0)</f>
        <v>-5.1431925385259088E-14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270.84250348555986</v>
      </c>
      <c r="T86" s="62">
        <f t="shared" si="88"/>
        <v>384.30746584920951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23.721033577222556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23.721033577222556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61.10858539778107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135.66666666666666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-5.6843418860808015E-14</v>
      </c>
      <c r="O87" s="14">
        <f>N87*VLOOKUP('Données projet'!$B$9,Paramètres!$A$1:$I$89,3,0)*VLOOKUP('Données projet'!$B$9,Paramètres!$A$1:$I$89,5,0)</f>
        <v>-5.1431925385259088E-14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270.84250348555986</v>
      </c>
      <c r="T87" s="62">
        <f t="shared" si="88"/>
        <v>384.30746584920951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23.255878577175068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23.255878577175068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61.262831562904495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135.66666666666666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-5.6843418860808015E-14</v>
      </c>
      <c r="O88" s="14">
        <f>N88*VLOOKUP('Données projet'!$B$9,Paramètres!$A$1:$I$89,3,0)*VLOOKUP('Données projet'!$B$9,Paramètres!$A$1:$I$89,5,0)</f>
        <v>-5.1431925385259088E-14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270.84250348555986</v>
      </c>
      <c r="T88" s="62">
        <f t="shared" si="88"/>
        <v>384.30746584920951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22.799844982961975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22.799844982961975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61.414401901905791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135.66666666666666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-5.6843418860808015E-14</v>
      </c>
      <c r="O89" s="14">
        <f>N89*VLOOKUP('Données projet'!$B$9,Paramètres!$A$1:$I$89,3,0)*VLOOKUP('Données projet'!$B$9,Paramètres!$A$1:$I$89,5,0)</f>
        <v>-5.1431925385259088E-14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270.84250348555986</v>
      </c>
      <c r="T89" s="62">
        <f t="shared" si="88"/>
        <v>384.30746584920951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22.352753929378373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22.352753929378373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61.563342834385921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135.66666666666666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-5.6843418860808015E-14</v>
      </c>
      <c r="O90" s="14">
        <f>N90*VLOOKUP('Données projet'!$B$9,Paramètres!$A$1:$I$89,3,0)*VLOOKUP('Données projet'!$B$9,Paramètres!$A$1:$I$89,5,0)</f>
        <v>-5.1431925385259088E-14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270.84250348555986</v>
      </c>
      <c r="T90" s="62">
        <f t="shared" si="88"/>
        <v>384.30746584920951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21.914430058656929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21.914430058656929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61.709699974669569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135.66666666666666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-5.6843418860808015E-14</v>
      </c>
      <c r="O91" s="14">
        <f>N91*VLOOKUP('Données projet'!$B$9,Paramètres!$A$1:$I$89,3,0)*VLOOKUP('Données projet'!$B$9,Paramètres!$A$1:$I$89,5,0)</f>
        <v>-5.1431925385259088E-14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270.84250348555986</v>
      </c>
      <c r="T91" s="62">
        <f t="shared" si="88"/>
        <v>384.30746584920951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21.484701451689173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21.484701451689173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61.853518145774842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135.66666666666666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-5.6843418860808015E-14</v>
      </c>
      <c r="O92" s="14">
        <f>N92*VLOOKUP('Données projet'!$B$9,Paramètres!$A$1:$I$89,3,0)*VLOOKUP('Données projet'!$B$9,Paramètres!$A$1:$I$89,5,0)</f>
        <v>-5.1431925385259088E-14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270.84250348555986</v>
      </c>
      <c r="T92" s="62">
        <f t="shared" si="88"/>
        <v>384.30746584920951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21.063399560595485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21.063399560595485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61.994841393140696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135.66666666666666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-5.6843418860808015E-14</v>
      </c>
      <c r="O93" s="14">
        <f>N93*VLOOKUP('Données projet'!$B$9,Paramètres!$A$1:$I$89,3,0)*VLOOKUP('Données projet'!$B$9,Paramètres!$A$1:$I$89,5,0)</f>
        <v>-5.1431925385259088E-14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270.84250348555986</v>
      </c>
      <c r="T93" s="62">
        <f t="shared" si="88"/>
        <v>384.30746584920951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20.650359142617365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20.650359142617365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62.133712998116202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135.66666666666666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-5.6843418860808015E-14</v>
      </c>
      <c r="O94" s="14">
        <f>N94*VLOOKUP('Données projet'!$B$9,Paramètres!$A$1:$I$89,3,0)*VLOOKUP('Données projet'!$B$9,Paramètres!$A$1:$I$89,5,0)</f>
        <v>-5.1431925385259088E-14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270.84250348555986</v>
      </c>
      <c r="T94" s="62">
        <f t="shared" si="88"/>
        <v>384.30746584920951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20.245418195306016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20.245418195306016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62.270175491215781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135.66666666666666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-5.6843418860808015E-14</v>
      </c>
      <c r="O95" s="14">
        <f>N95*VLOOKUP('Données projet'!$B$9,Paramètres!$A$1:$I$89,3,0)*VLOOKUP('Données projet'!$B$9,Paramètres!$A$1:$I$89,5,0)</f>
        <v>-5.1431925385259088E-14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270.84250348555986</v>
      </c>
      <c r="T95" s="62">
        <f t="shared" si="88"/>
        <v>384.30746584920951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19.848417892981853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19.848417892981853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62.404270665144509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135.66666666666666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-5.6843418860808015E-14</v>
      </c>
      <c r="O96" s="14">
        <f>N96*VLOOKUP('Données projet'!$B$9,Paramètres!$A$1:$I$89,3,0)*VLOOKUP('Données projet'!$B$9,Paramètres!$A$1:$I$89,5,0)</f>
        <v>-5.1431925385259088E-14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270.84250348555986</v>
      </c>
      <c r="T96" s="62">
        <f t="shared" si="88"/>
        <v>384.30746584920951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19.459202524439991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19.459202524439991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62.536039587597472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135.66666666666666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-5.6843418860808015E-14</v>
      </c>
      <c r="O97" s="14">
        <f>N97*VLOOKUP('Données projet'!$B$9,Paramètres!$A$1:$I$89,3,0)*VLOOKUP('Données projet'!$B$9,Paramètres!$A$1:$I$89,5,0)</f>
        <v>-5.1431925385259088E-14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270.84250348555986</v>
      </c>
      <c r="T97" s="62">
        <f t="shared" si="88"/>
        <v>384.30746584920951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19.077619431877302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19.077619431877302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62.665522613837055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135.66666666666666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-5.6843418860808015E-14</v>
      </c>
      <c r="O98" s="14">
        <f>N98*VLOOKUP('Données projet'!$B$9,Paramètres!$A$1:$I$89,3,0)*VLOOKUP('Données projet'!$B$9,Paramètres!$A$1:$I$89,5,0)</f>
        <v>-5.1431925385259088E-14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270.84250348555986</v>
      </c>
      <c r="T98" s="62">
        <f t="shared" si="88"/>
        <v>384.30746584920951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18.703518951017063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18.703518951017063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62.792759399052059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135.66666666666666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-5.6843418860808015E-14</v>
      </c>
      <c r="O99" s="14">
        <f>N99*VLOOKUP('Données projet'!$B$9,Paramètres!$A$1:$I$89,3,0)*VLOOKUP('Données projet'!$B$9,Paramètres!$A$1:$I$89,5,0)</f>
        <v>-5.1431925385259088E-14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270.84250348555986</v>
      </c>
      <c r="T99" s="62">
        <f t="shared" si="88"/>
        <v>384.30746584920951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18.336754352407731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18.336754352407731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62.917788910502424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135.66666666666666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-5.6843418860808015E-14</v>
      </c>
      <c r="O100" s="14">
        <f>N100*VLOOKUP('Données projet'!$B$9,Paramètres!$A$1:$I$89,3,0)*VLOOKUP('Données projet'!$B$9,Paramètres!$A$1:$I$89,5,0)</f>
        <v>-5.1431925385259088E-14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270.84250348555986</v>
      </c>
      <c r="T100" s="62">
        <f t="shared" si="88"/>
        <v>384.30746584920951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17.977181783872812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17.977181783872812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63.040649439453233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135.66666666666666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-5.6843418860808015E-14</v>
      </c>
      <c r="O101" s="14">
        <f>N101*VLOOKUP('Données projet'!$B$9,Paramètres!$A$1:$I$89,3,0)*VLOOKUP('Données projet'!$B$9,Paramètres!$A$1:$I$89,5,0)</f>
        <v>-5.1431925385259088E-14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270.84250348555986</v>
      </c>
      <c r="T101" s="62">
        <f t="shared" si="88"/>
        <v>384.30746584920951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17.62466021408925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17.62466021408925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63.161378612901736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135.66666666666666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-5.6843418860808015E-14</v>
      </c>
      <c r="O102" s="14">
        <f>N102*VLOOKUP('Données projet'!$B$9,Paramètres!$A$1:$I$89,3,0)*VLOOKUP('Données projet'!$B$9,Paramètres!$A$1:$I$89,5,0)</f>
        <v>-5.1431925385259088E-14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270.84250348555986</v>
      </c>
      <c r="T102" s="62">
        <f t="shared" si="88"/>
        <v>384.30746584920951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17.279051377272218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17.279051377272218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63.28001340510091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135.66666666666666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-5.6843418860808015E-14</v>
      </c>
      <c r="O103" s="14">
        <f>N103*VLOOKUP('Données projet'!$B$9,Paramètres!$A$1:$I$89,3,0)*VLOOKUP('Données projet'!$B$9,Paramètres!$A$1:$I$89,5,0)</f>
        <v>-5.1431925385259088E-14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270.84250348555986</v>
      </c>
      <c r="T103" s="62">
        <f t="shared" si="88"/>
        <v>384.30746584920951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16.940219718944594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16.940219718944594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63.396590148883092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135.66666666666666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-5.6843418860808015E-14</v>
      </c>
      <c r="O104" s="14">
        <f>N104*VLOOKUP('Données projet'!$B$9,Paramètres!$A$1:$I$89,3,0)*VLOOKUP('Données projet'!$B$9,Paramètres!$A$1:$I$89,5,0)</f>
        <v>-5.1431925385259088E-14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270.84250348555986</v>
      </c>
      <c r="T104" s="62">
        <f t="shared" si="88"/>
        <v>384.30746584920951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16.608032342769867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16.608032342769867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63.511144546787193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135.66666666666666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-5.6843418860808015E-14</v>
      </c>
      <c r="O105" s="14">
        <f>N105*VLOOKUP('Données projet'!$B$9,Paramètres!$A$1:$I$89,3,0)*VLOOKUP('Données projet'!$B$9,Paramètres!$A$1:$I$89,5,0)</f>
        <v>-5.1431925385259088E-14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270.84250348555986</v>
      </c>
      <c r="T105" s="62">
        <f t="shared" si="88"/>
        <v>384.30746584920951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16.282358958427636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16.282358958427636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63.623711681992937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135.66666666666666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-5.6843418860808015E-14</v>
      </c>
      <c r="O106" s="14">
        <f>N106*VLOOKUP('Données projet'!$B$9,Paramètres!$A$1:$I$89,3,0)*VLOOKUP('Données projet'!$B$9,Paramètres!$A$1:$I$89,5,0)</f>
        <v>-5.1431925385259088E-14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270.84250348555986</v>
      </c>
      <c r="T106" s="62">
        <f t="shared" si="88"/>
        <v>384.30746584920951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15.963071830511204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15.963071830511204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63.734326029065272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135.66666666666666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-5.6843418860808015E-14</v>
      </c>
      <c r="O107" s="14">
        <f>N107*VLOOKUP('Données projet'!$B$9,Paramètres!$A$1:$I$89,3,0)*VLOOKUP('Données projet'!$B$9,Paramètres!$A$1:$I$89,5,0)</f>
        <v>-5.1431925385259088E-14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270.84250348555986</v>
      </c>
      <c r="T107" s="62">
        <f t="shared" si="88"/>
        <v>384.30746584920951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15.650045728427296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15.650045728427296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63.843021464512532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135.66666666666666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-5.6843418860808015E-14</v>
      </c>
      <c r="O108" s="14">
        <f>N108*VLOOKUP('Données projet'!$B$9,Paramètres!$A$1:$I$89,3,0)*VLOOKUP('Données projet'!$B$9,Paramètres!$A$1:$I$89,5,0)</f>
        <v>-5.1431925385259088E-14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270.84250348555986</v>
      </c>
      <c r="T108" s="62">
        <f t="shared" si="88"/>
        <v>384.30746584920951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15.343157877278182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15.343157877278182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63.949831277161366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135.66666666666666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-5.6843418860808015E-14</v>
      </c>
      <c r="O109" s="14">
        <f>N109*VLOOKUP('Données projet'!$B$9,Paramètres!$A$1:$I$89,3,0)*VLOOKUP('Données projet'!$B$9,Paramètres!$A$1:$I$89,5,0)</f>
        <v>-5.1431925385259088E-14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270.84250348555986</v>
      </c>
      <c r="T109" s="62">
        <f t="shared" si="88"/>
        <v>384.30746584920951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15.042287909706996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15.042287909706996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64.054788178351714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135.66666666666666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-5.6843418860808015E-14</v>
      </c>
      <c r="O110" s="14">
        <f>N110*VLOOKUP('Données projet'!$B$9,Paramètres!$A$1:$I$89,3,0)*VLOOKUP('Données projet'!$B$9,Paramètres!$A$1:$I$89,5,0)</f>
        <v>-5.1431925385259088E-14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270.84250348555986</v>
      </c>
      <c r="T110" s="62">
        <f t="shared" si="88"/>
        <v>384.30746584920951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14.747317818687321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14.747317818687321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64.157924311954901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135.66666666666666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-5.6843418860808015E-14</v>
      </c>
      <c r="O111" s="14">
        <f>N111*VLOOKUP('Données projet'!$B$9,Paramètres!$A$1:$I$89,3,0)*VLOOKUP('Données projet'!$B$9,Paramètres!$A$1:$I$89,5,0)</f>
        <v>-5.1431925385259088E-14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270.84250348555986</v>
      </c>
      <c r="T111" s="62">
        <f t="shared" si="88"/>
        <v>384.30746584920951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14.458131911238553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14.458131911238553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64.259271264217915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135.66666666666666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-5.6843418860808015E-14</v>
      </c>
      <c r="O112" s="14">
        <f>N112*VLOOKUP('Données projet'!$B$9,Paramètres!$A$1:$I$89,3,0)*VLOOKUP('Données projet'!$B$9,Paramètres!$A$1:$I$89,5,0)</f>
        <v>-5.1431925385259088E-14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270.84250348555986</v>
      </c>
      <c r="T112" s="62">
        <f t="shared" si="88"/>
        <v>384.30746584920951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14.174616763048867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14.174616763048867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64.358860073437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135.66666666666666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-5.6843418860808015E-14</v>
      </c>
      <c r="O113" s="14">
        <f>N113*VLOOKUP('Données projet'!$B$9,Paramètres!$A$1:$I$89,3,0)*VLOOKUP('Données projet'!$B$9,Paramètres!$A$1:$I$89,5,0)</f>
        <v>-5.1431925385259088E-14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270.84250348555986</v>
      </c>
      <c r="T113" s="62">
        <f t="shared" si="88"/>
        <v>384.30746584920951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13.896661173988017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13.896661173988017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64.456721239463363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135.66666666666666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-5.6843418860808015E-14</v>
      </c>
      <c r="O114" s="14">
        <f>N114*VLOOKUP('Données projet'!$B$9,Paramètres!$A$1:$I$89,3,0)*VLOOKUP('Données projet'!$B$9,Paramètres!$A$1:$I$89,5,0)</f>
        <v>-5.1431925385259088E-14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270.84250348555986</v>
      </c>
      <c r="T114" s="62">
        <f t="shared" si="88"/>
        <v>384.30746584920951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13.62415612449248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13.62415612449248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64.552884733043953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135.66666666666666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-5.6843418860808015E-14</v>
      </c>
      <c r="O115" s="14">
        <f>N115*VLOOKUP('Données projet'!$B$9,Paramètres!$A$1:$I$89,3,0)*VLOOKUP('Données projet'!$B$9,Paramètres!$A$1:$I$89,5,0)</f>
        <v>-5.1431925385259088E-14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270.84250348555986</v>
      </c>
      <c r="T115" s="62">
        <f t="shared" si="88"/>
        <v>384.30746584920951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13.356994732805882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13.356994732805882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64.647380005000286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135.66666666666666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-5.6843418860808015E-14</v>
      </c>
      <c r="O116" s="14">
        <f>N116*VLOOKUP('Données projet'!$B$9,Paramètres!$A$1:$I$89,3,0)*VLOOKUP('Données projet'!$B$9,Paramètres!$A$1:$I$89,5,0)</f>
        <v>-5.1431925385259088E-14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270.84250348555986</v>
      </c>
      <c r="T116" s="62">
        <f t="shared" si="88"/>
        <v>384.30746584920951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13.0950722130579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13.0950722130579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64.740235995247957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135.66666666666666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-5.6843418860808015E-14</v>
      </c>
      <c r="O117" s="14">
        <f>N117*VLOOKUP('Données projet'!$B$9,Paramètres!$A$1:$I$89,3,0)*VLOOKUP('Données projet'!$B$9,Paramètres!$A$1:$I$89,5,0)</f>
        <v>-5.1431925385259088E-14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270.84250348555986</v>
      </c>
      <c r="T117" s="62">
        <f t="shared" si="88"/>
        <v>384.30746584920951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12.838285834165214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12.838285834165214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64.831481141659737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135.66666666666666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-5.6843418860808015E-14</v>
      </c>
      <c r="O118" s="14">
        <f>N118*VLOOKUP('Données projet'!$B$9,Paramètres!$A$1:$I$89,3,0)*VLOOKUP('Données projet'!$B$9,Paramètres!$A$1:$I$89,5,0)</f>
        <v>-5.1431925385259088E-14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270.84250348555986</v>
      </c>
      <c r="T118" s="62">
        <f t="shared" si="88"/>
        <v>384.30746584920951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12.586534879538387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12.586534879538387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64.921143388774851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135.66666666666666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-5.6843418860808015E-14</v>
      </c>
      <c r="O119" s="14">
        <f>N119*VLOOKUP('Données projet'!$B$9,Paramètres!$A$1:$I$89,3,0)*VLOOKUP('Données projet'!$B$9,Paramètres!$A$1:$I$89,5,0)</f>
        <v>-5.1431925385259088E-14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270.84250348555986</v>
      </c>
      <c r="T119" s="62">
        <f t="shared" si="88"/>
        <v>384.30746584920951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12.339720607578872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12.339720607578872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65.009250196357272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135.66666666666666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-5.6843418860808015E-14</v>
      </c>
      <c r="O120" s="14">
        <f>N120*VLOOKUP('Données projet'!$B$9,Paramètres!$A$1:$I$89,3,0)*VLOOKUP('Données projet'!$B$9,Paramètres!$A$1:$I$89,5,0)</f>
        <v>-5.1431925385259088E-14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270.84250348555986</v>
      </c>
      <c r="T120" s="62">
        <f t="shared" si="88"/>
        <v>384.30746584920951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12.097746212950643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12.097746212950643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65.095828547805439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135.66666666666666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-5.6843418860808015E-14</v>
      </c>
      <c r="O121" s="14">
        <f>N121*VLOOKUP('Données projet'!$B$9,Paramètres!$A$1:$I$89,3,0)*VLOOKUP('Données projet'!$B$9,Paramètres!$A$1:$I$89,5,0)</f>
        <v>-5.1431925385259088E-14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270.84250348555986</v>
      </c>
      <c r="T121" s="62">
        <f t="shared" si="88"/>
        <v>384.30746584920951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11.860516788611266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11.860516788611266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65.180904958416193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135.66666666666666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-5.6843418860808015E-14</v>
      </c>
      <c r="O122" s="14">
        <f>N122*VLOOKUP('Données projet'!$B$9,Paramètres!$A$1:$I$89,3,0)*VLOOKUP('Données projet'!$B$9,Paramètres!$A$1:$I$89,5,0)</f>
        <v>-5.1431925385259088E-14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270.84250348555986</v>
      </c>
      <c r="T122" s="62">
        <f t="shared" si="88"/>
        <v>384.30746584920951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11.627939288587521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11.627939288587521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65.264505483505189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135.66666666666666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-5.6843418860808015E-14</v>
      </c>
      <c r="O123" s="14">
        <f>N123*VLOOKUP('Données projet'!$B$9,Paramètres!$A$1:$I$89,3,0)*VLOOKUP('Données projet'!$B$9,Paramètres!$A$1:$I$89,5,0)</f>
        <v>-5.1431925385259088E-14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270.84250348555986</v>
      </c>
      <c r="T123" s="62">
        <f t="shared" si="88"/>
        <v>384.30746584920951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11.399922491480975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11.399922491480975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65.346655726386686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135.66666666666666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-5.6843418860808015E-14</v>
      </c>
      <c r="O124" s="14">
        <f>N124*VLOOKUP('Données projet'!$B$9,Paramètres!$A$1:$I$89,3,0)*VLOOKUP('Données projet'!$B$9,Paramètres!$A$1:$I$89,5,0)</f>
        <v>-5.1431925385259088E-14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270.84250348555986</v>
      </c>
      <c r="T124" s="62">
        <f t="shared" si="88"/>
        <v>384.30746584920951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11.176376964689174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11.176376964689174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65.427380846214618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135.66666666666666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-5.6843418860808015E-14</v>
      </c>
      <c r="O125" s="14">
        <f>N125*VLOOKUP('Données projet'!$B$9,Paramètres!$A$1:$I$89,3,0)*VLOOKUP('Données projet'!$B$9,Paramètres!$A$1:$I$89,5,0)</f>
        <v>-5.1431925385259088E-14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270.84250348555986</v>
      </c>
      <c r="T125" s="62">
        <f t="shared" si="88"/>
        <v>384.30746584920951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10.957215029328454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10.957215029328454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65.506705565687852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135.66666666666666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-5.6843418860808015E-14</v>
      </c>
      <c r="O126" s="14">
        <f>N126*VLOOKUP('Données projet'!$B$9,Paramètres!$A$1:$I$89,3,0)*VLOOKUP('Données projet'!$B$9,Paramètres!$A$1:$I$89,5,0)</f>
        <v>-5.1431925385259088E-14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270.84250348555986</v>
      </c>
      <c r="T126" s="62">
        <f t="shared" si="88"/>
        <v>384.30746584920951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10.742350725844576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10.742350725844576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65.584654178621747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135.66666666666666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-5.6843418860808015E-14</v>
      </c>
      <c r="O127" s="14">
        <f>N127*VLOOKUP('Données projet'!$B$9,Paramètres!$A$1:$I$89,3,0)*VLOOKUP('Données projet'!$B$9,Paramètres!$A$1:$I$89,5,0)</f>
        <v>-5.1431925385259088E-14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270.84250348555986</v>
      </c>
      <c r="T127" s="62">
        <f t="shared" si="88"/>
        <v>384.30746584920951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10.531699780297732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10.531699780297732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65.661250557388215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135.66666666666666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-5.6843418860808015E-14</v>
      </c>
      <c r="O128" s="14">
        <f>N128*VLOOKUP('Données projet'!$B$9,Paramètres!$A$1:$I$89,3,0)*VLOOKUP('Données projet'!$B$9,Paramètres!$A$1:$I$89,5,0)</f>
        <v>-5.1431925385259088E-14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270.84250348555986</v>
      </c>
      <c r="T128" s="62">
        <f t="shared" si="88"/>
        <v>384.30746584920951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10.325179571308672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10.325179571308672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65.736518160226936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135.66666666666666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-5.6843418860808015E-14</v>
      </c>
      <c r="O129" s="14">
        <f>N129*VLOOKUP('Données projet'!$B$9,Paramètres!$A$1:$I$89,3,0)*VLOOKUP('Données projet'!$B$9,Paramètres!$A$1:$I$89,5,0)</f>
        <v>-5.1431925385259088E-14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270.84250348555986</v>
      </c>
      <c r="T129" s="62">
        <f t="shared" si="88"/>
        <v>384.30746584920951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10.122709097652997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10.122709097652997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65.81048003842956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135.66666666666666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-5.6843418860808015E-14</v>
      </c>
      <c r="O130" s="14">
        <f>N130*VLOOKUP('Données projet'!$B$9,Paramètres!$A$1:$I$89,3,0)*VLOOKUP('Données projet'!$B$9,Paramètres!$A$1:$I$89,5,0)</f>
        <v>-5.1431925385259088E-14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270.84250348555986</v>
      </c>
      <c r="T130" s="62">
        <f t="shared" si="88"/>
        <v>384.30746584920951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9.924208946490916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9.924208946490916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65.883158843399357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135.66666666666666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-5.6843418860808015E-14</v>
      </c>
      <c r="O131" s="14">
        <f>N131*VLOOKUP('Données projet'!$B$9,Paramètres!$A$1:$I$89,3,0)*VLOOKUP('Données projet'!$B$9,Paramètres!$A$1:$I$89,5,0)</f>
        <v>-5.1431925385259088E-14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270.84250348555986</v>
      </c>
      <c r="T131" s="62">
        <f t="shared" si="88"/>
        <v>384.30746584920951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9.729601262219985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9.729601262219985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65.954576833588391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135.66666666666666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-5.6843418860808015E-14</v>
      </c>
      <c r="O132" s="14">
        <f>N132*VLOOKUP('Données projet'!$B$9,Paramètres!$A$1:$I$89,3,0)*VLOOKUP('Données projet'!$B$9,Paramètres!$A$1:$I$89,5,0)</f>
        <v>-5.1431925385259088E-14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270.84250348555986</v>
      </c>
      <c r="T132" s="62">
        <f t="shared" si="88"/>
        <v>384.30746584920951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9.5388097159386405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9.5388097159386405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66.024755881314348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135.66666666666666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-5.6843418860808015E-14</v>
      </c>
      <c r="O133" s="14">
        <f>N133*VLOOKUP('Données projet'!$B$9,Paramètres!$A$1:$I$89,3,0)*VLOOKUP('Données projet'!$B$9,Paramètres!$A$1:$I$89,5,0)</f>
        <v>-5.1431925385259088E-14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270.84250348555986</v>
      </c>
      <c r="T133" s="62">
        <f t="shared" ref="T133:T196" si="142">$T$3</f>
        <v>384.30746584920951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9.3517594755085209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9.3517594755085209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66.093717479459116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135.66666666666666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-5.6843418860808015E-14</v>
      </c>
      <c r="O134" s="14">
        <f>N134*VLOOKUP('Données projet'!$B$9,Paramètres!$A$1:$I$89,3,0)*VLOOKUP('Données projet'!$B$9,Paramètres!$A$1:$I$89,5,0)</f>
        <v>-5.1431925385259088E-14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270.84250348555986</v>
      </c>
      <c r="T134" s="62">
        <f t="shared" si="142"/>
        <v>384.30746584920951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9.1683771762038546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9.1683771762038546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66.1614827480511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135.66666666666666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-5.6843418860808015E-14</v>
      </c>
      <c r="O135" s="14">
        <f>N135*VLOOKUP('Données projet'!$B$9,Paramètres!$A$1:$I$89,3,0)*VLOOKUP('Données projet'!$B$9,Paramètres!$A$1:$I$89,5,0)</f>
        <v>-5.1431925385259088E-14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270.84250348555986</v>
      </c>
      <c r="T135" s="62">
        <f t="shared" si="142"/>
        <v>384.30746584920951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8.9885908919363953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8.9885908919363953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66.22807244073347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135.66666666666666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-5.6843418860808015E-14</v>
      </c>
      <c r="O136" s="14">
        <f>N136*VLOOKUP('Données projet'!$B$9,Paramètres!$A$1:$I$89,3,0)*VLOOKUP('Données projet'!$B$9,Paramètres!$A$1:$I$89,5,0)</f>
        <v>-5.1431925385259088E-14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270.84250348555986</v>
      </c>
      <c r="T136" s="62">
        <f t="shared" si="142"/>
        <v>384.30746584920951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8.8123301070446143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8.8123301070446143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66.293506951120037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135.66666666666666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-5.6843418860808015E-14</v>
      </c>
      <c r="O137" s="14">
        <f>N137*VLOOKUP('Données projet'!$B$9,Paramètres!$A$1:$I$89,3,0)*VLOOKUP('Données projet'!$B$9,Paramètres!$A$1:$I$89,5,0)</f>
        <v>-5.1431925385259088E-14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270.84250348555986</v>
      </c>
      <c r="T137" s="62">
        <f t="shared" si="142"/>
        <v>384.30746584920951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8.6395256886360983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8.6395256886360983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66.35780631904106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135.66666666666666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-5.6843418860808015E-14</v>
      </c>
      <c r="O138" s="14">
        <f>N138*VLOOKUP('Données projet'!$B$9,Paramètres!$A$1:$I$89,3,0)*VLOOKUP('Données projet'!$B$9,Paramètres!$A$1:$I$89,5,0)</f>
        <v>-5.1431925385259088E-14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270.84250348555986</v>
      </c>
      <c r="T138" s="62">
        <f t="shared" si="142"/>
        <v>384.30746584920951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8.4701098594722861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8.4701098594722861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66.420990236680495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135.66666666666666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-5.6843418860808015E-14</v>
      </c>
      <c r="O139" s="14">
        <f>N139*VLOOKUP('Données projet'!$B$9,Paramètres!$A$1:$I$89,3,0)*VLOOKUP('Données projet'!$B$9,Paramètres!$A$1:$I$89,5,0)</f>
        <v>-5.1431925385259088E-14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270.84250348555986</v>
      </c>
      <c r="T139" s="62">
        <f t="shared" si="142"/>
        <v>384.30746584920951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8.304016171384923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8.304016171384923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66.483078054606949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135.66666666666666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-5.6843418860808015E-14</v>
      </c>
      <c r="O140" s="14">
        <f>N140*VLOOKUP('Données projet'!$B$9,Paramètres!$A$1:$I$89,3,0)*VLOOKUP('Données projet'!$B$9,Paramètres!$A$1:$I$89,5,0)</f>
        <v>-5.1431925385259088E-14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270.84250348555986</v>
      </c>
      <c r="T140" s="62">
        <f t="shared" si="142"/>
        <v>384.30746584920951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8.1411794792138075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8.1411794792138075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66.544088787699962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135.66666666666666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-5.6843418860808015E-14</v>
      </c>
      <c r="O141" s="14">
        <f>N141*VLOOKUP('Données projet'!$B$9,Paramètres!$A$1:$I$89,3,0)*VLOOKUP('Données projet'!$B$9,Paramètres!$A$1:$I$89,5,0)</f>
        <v>-5.1431925385259088E-14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270.84250348555986</v>
      </c>
      <c r="T141" s="62">
        <f t="shared" si="142"/>
        <v>384.30746584920951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7.9815359152555923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7.9815359152555923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66.604041120973378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135.66666666666666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-5.6843418860808015E-14</v>
      </c>
      <c r="O142" s="14">
        <f>N142*VLOOKUP('Données projet'!$B$9,Paramètres!$A$1:$I$89,3,0)*VLOOKUP('Données projet'!$B$9,Paramètres!$A$1:$I$89,5,0)</f>
        <v>-5.1431925385259088E-14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270.84250348555986</v>
      </c>
      <c r="T142" s="62">
        <f t="shared" si="142"/>
        <v>384.30746584920951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7.8250228642136381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7.8250228642136381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66.662953415297835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135.66666666666666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-5.6843418860808015E-14</v>
      </c>
      <c r="O143" s="14">
        <f>N143*VLOOKUP('Données projet'!$B$9,Paramètres!$A$1:$I$89,3,0)*VLOOKUP('Données projet'!$B$9,Paramètres!$A$1:$I$89,5,0)</f>
        <v>-5.1431925385259088E-14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270.84250348555986</v>
      </c>
      <c r="T143" s="62">
        <f t="shared" si="142"/>
        <v>384.30746584920951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7.6715789386390814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7.6715789386390814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66.720843713023925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135.66666666666666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-5.6843418860808015E-14</v>
      </c>
      <c r="O144" s="14">
        <f>N144*VLOOKUP('Données projet'!$B$9,Paramètres!$A$1:$I$89,3,0)*VLOOKUP('Données projet'!$B$9,Paramètres!$A$1:$I$89,5,0)</f>
        <v>-5.1431925385259088E-14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270.84250348555986</v>
      </c>
      <c r="T144" s="62">
        <f t="shared" si="142"/>
        <v>384.30746584920951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7.5211439548534891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7.5211439548534891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66.777729743507777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135.66666666666666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-5.6843418860808015E-14</v>
      </c>
      <c r="O145" s="14">
        <f>N145*VLOOKUP('Données projet'!$B$9,Paramètres!$A$1:$I$89,3,0)*VLOOKUP('Données projet'!$B$9,Paramètres!$A$1:$I$89,5,0)</f>
        <v>-5.1431925385259088E-14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270.84250348555986</v>
      </c>
      <c r="T145" s="62">
        <f t="shared" si="142"/>
        <v>384.30746584920951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7.3736589093436518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7.3736589093436518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66.833628928540847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135.66666666666666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-5.6843418860808015E-14</v>
      </c>
      <c r="O146" s="14">
        <f>N146*VLOOKUP('Données projet'!$B$9,Paramètres!$A$1:$I$89,3,0)*VLOOKUP('Données projet'!$B$9,Paramètres!$A$1:$I$89,5,0)</f>
        <v>-5.1431925385259088E-14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270.84250348555986</v>
      </c>
      <c r="T146" s="62">
        <f t="shared" si="142"/>
        <v>384.30746584920951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7.2290659556192676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7.2290659556192676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66.88855838768545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135.66666666666666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-5.6843418860808015E-14</v>
      </c>
      <c r="O147" s="14">
        <f>N147*VLOOKUP('Données projet'!$B$9,Paramètres!$A$1:$I$89,3,0)*VLOOKUP('Données projet'!$B$9,Paramètres!$A$1:$I$89,5,0)</f>
        <v>-5.1431925385259088E-14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270.84250348555986</v>
      </c>
      <c r="T147" s="62">
        <f t="shared" si="142"/>
        <v>384.30746584920951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7.0873083815244247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7.0873083815244247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66.942534943517757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135.66666666666666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-5.6843418860808015E-14</v>
      </c>
      <c r="O148" s="14">
        <f>N148*VLOOKUP('Données projet'!$B$9,Paramètres!$A$1:$I$89,3,0)*VLOOKUP('Données projet'!$B$9,Paramètres!$A$1:$I$89,5,0)</f>
        <v>-5.1431925385259088E-14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270.84250348555986</v>
      </c>
      <c r="T148" s="62">
        <f t="shared" si="142"/>
        <v>384.30746584920951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6.9483305869939995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6.9483305869939995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66.995575126779897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135.66666666666666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-5.6843418860808015E-14</v>
      </c>
      <c r="O149" s="14">
        <f>N149*VLOOKUP('Données projet'!$B$9,Paramètres!$A$1:$I$89,3,0)*VLOOKUP('Données projet'!$B$9,Paramètres!$A$1:$I$89,5,0)</f>
        <v>-5.1431925385259088E-14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270.84250348555986</v>
      </c>
      <c r="T149" s="62">
        <f t="shared" si="142"/>
        <v>384.30746584920951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6.8120780622462309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6.8120780622462309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67.047695181442521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135.66666666666666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-5.6843418860808015E-14</v>
      </c>
      <c r="O150" s="14">
        <f>N150*VLOOKUP('Données projet'!$B$9,Paramètres!$A$1:$I$89,3,0)*VLOOKUP('Données projet'!$B$9,Paramètres!$A$1:$I$89,5,0)</f>
        <v>-5.1431925385259088E-14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270.84250348555986</v>
      </c>
      <c r="T150" s="62">
        <f t="shared" si="142"/>
        <v>384.30746584920951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6.6784973664029321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6.6784973664029321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67.098911069679716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135.66666666666666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-5.6843418860808015E-14</v>
      </c>
      <c r="O151" s="14">
        <f>N151*VLOOKUP('Données projet'!$B$9,Paramètres!$A$1:$I$89,3,0)*VLOOKUP('Données projet'!$B$9,Paramètres!$A$1:$I$89,5,0)</f>
        <v>-5.1431925385259088E-14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270.84250348555986</v>
      </c>
      <c r="T151" s="62">
        <f t="shared" si="142"/>
        <v>384.30746584920951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6.5475361065289412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6.5475361065289412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67.149238476757574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135.66666666666666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-5.6843418860808015E-14</v>
      </c>
      <c r="O152" s="14">
        <f>N152*VLOOKUP('Données projet'!$B$9,Paramètres!$A$1:$I$89,3,0)*VLOOKUP('Données projet'!$B$9,Paramètres!$A$1:$I$89,5,0)</f>
        <v>-5.1431925385259088E-14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270.84250348555986</v>
      </c>
      <c r="T152" s="62">
        <f t="shared" si="142"/>
        <v>384.30746584920951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6.4191429170825982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6.4191429170825982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67.198692815837859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135.66666666666666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-5.6843418860808015E-14</v>
      </c>
      <c r="O153" s="14">
        <f>N153*VLOOKUP('Données projet'!$B$9,Paramètres!$A$1:$I$89,3,0)*VLOOKUP('Données projet'!$B$9,Paramètres!$A$1:$I$89,5,0)</f>
        <v>-5.1431925385259088E-14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270.84250348555986</v>
      </c>
      <c r="T153" s="62">
        <f t="shared" si="142"/>
        <v>384.30746584920951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6.2932674397691848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6.2932674397691848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67.247289232698449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135.66666666666666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-5.6843418860808015E-14</v>
      </c>
      <c r="O154" s="14">
        <f>N154*VLOOKUP('Données projet'!$B$9,Paramètres!$A$1:$I$89,3,0)*VLOOKUP('Données projet'!$B$9,Paramètres!$A$1:$I$89,5,0)</f>
        <v>-5.1431925385259088E-14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270.84250348555986</v>
      </c>
      <c r="T154" s="62">
        <f t="shared" si="142"/>
        <v>384.30746584920951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6.1698603037894273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6.1698603037894273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67.295042610371809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135.66666666666666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-5.6843418860808015E-14</v>
      </c>
      <c r="O155" s="14">
        <f>N155*VLOOKUP('Données projet'!$B$9,Paramètres!$A$1:$I$89,3,0)*VLOOKUP('Données projet'!$B$9,Paramètres!$A$1:$I$89,5,0)</f>
        <v>-5.1431925385259088E-14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270.84250348555986</v>
      </c>
      <c r="T155" s="62">
        <f t="shared" si="142"/>
        <v>384.30746584920951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6.0488731064753125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6.0488731064753125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67.341967573703101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135.66666666666666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-5.6843418860808015E-14</v>
      </c>
      <c r="O156" s="14">
        <f>N156*VLOOKUP('Données projet'!$B$9,Paramètres!$A$1:$I$89,3,0)*VLOOKUP('Données projet'!$B$9,Paramètres!$A$1:$I$89,5,0)</f>
        <v>-5.1431925385259088E-14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270.84250348555986</v>
      </c>
      <c r="T156" s="62">
        <f t="shared" si="142"/>
        <v>384.30746584920951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5.930258394305624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5.930258394305624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67.388078493829084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135.66666666666666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-5.6843418860808015E-14</v>
      </c>
      <c r="O157" s="14">
        <f>N157*VLOOKUP('Données projet'!$B$9,Paramètres!$A$1:$I$89,3,0)*VLOOKUP('Données projet'!$B$9,Paramètres!$A$1:$I$89,5,0)</f>
        <v>-5.1431925385259088E-14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270.84250348555986</v>
      </c>
      <c r="T157" s="62">
        <f t="shared" si="142"/>
        <v>384.30746584920951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5.8139696442937518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5.8139696442937518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67.433389492579465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135.66666666666666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-5.6843418860808015E-14</v>
      </c>
      <c r="O158" s="14">
        <f>N158*VLOOKUP('Données projet'!$B$9,Paramètres!$A$1:$I$89,3,0)*VLOOKUP('Données projet'!$B$9,Paramètres!$A$1:$I$89,5,0)</f>
        <v>-5.1431925385259088E-14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270.84250348555986</v>
      </c>
      <c r="T158" s="62">
        <f t="shared" si="142"/>
        <v>384.30746584920951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5.6999612457404787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5.6999612457404787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67.477914446801748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135.66666666666666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-5.6843418860808015E-14</v>
      </c>
      <c r="O159" s="14">
        <f>N159*VLOOKUP('Données projet'!$B$9,Paramètres!$A$1:$I$89,3,0)*VLOOKUP('Données projet'!$B$9,Paramètres!$A$1:$I$89,5,0)</f>
        <v>-5.1431925385259088E-14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270.84250348555986</v>
      </c>
      <c r="T159" s="62">
        <f t="shared" si="142"/>
        <v>384.30746584920951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5.5881884823445791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5.5881884823445791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67.521666992611159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135.66666666666666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-5.6843418860808015E-14</v>
      </c>
      <c r="O160" s="14">
        <f>N160*VLOOKUP('Données projet'!$B$9,Paramètres!$A$1:$I$89,3,0)*VLOOKUP('Données projet'!$B$9,Paramètres!$A$1:$I$89,5,0)</f>
        <v>-5.1431925385259088E-14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270.84250348555986</v>
      </c>
      <c r="T160" s="62">
        <f t="shared" si="142"/>
        <v>384.30746584920951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5.478607514664219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5.478607514664219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67.564660529566794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135.66666666666666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-5.6843418860808015E-14</v>
      </c>
      <c r="O161" s="14">
        <f>N161*VLOOKUP('Données projet'!$B$9,Paramètres!$A$1:$I$89,3,0)*VLOOKUP('Données projet'!$B$9,Paramètres!$A$1:$I$89,5,0)</f>
        <v>-5.1431925385259088E-14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270.84250348555986</v>
      </c>
      <c r="T161" s="62">
        <f t="shared" si="142"/>
        <v>384.30746584920951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5.3711753629222798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5.3711753629222798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67.606908224775424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135.66666666666666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-5.6843418860808015E-14</v>
      </c>
      <c r="O162" s="14">
        <f>N162*VLOOKUP('Données projet'!$B$9,Paramètres!$A$1:$I$89,3,0)*VLOOKUP('Données projet'!$B$9,Paramètres!$A$1:$I$89,5,0)</f>
        <v>-5.1431925385259088E-14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270.84250348555986</v>
      </c>
      <c r="T162" s="62">
        <f t="shared" si="142"/>
        <v>384.30746584920951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5.265849890148858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5.265849890148858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67.648423016923886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135.66666666666666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-5.6843418860808015E-14</v>
      </c>
      <c r="O163" s="14">
        <f>N163*VLOOKUP('Données projet'!$B$9,Paramètres!$A$1:$I$89,3,0)*VLOOKUP('Données projet'!$B$9,Paramètres!$A$1:$I$89,5,0)</f>
        <v>-5.1431925385259088E-14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270.84250348555986</v>
      </c>
      <c r="T163" s="62">
        <f t="shared" si="142"/>
        <v>384.30746584920951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5.1625897856543279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5.1625897856543279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67.68921762024172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135.66666666666666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-5.6843418860808015E-14</v>
      </c>
      <c r="O164" s="14">
        <f>N164*VLOOKUP('Données projet'!$B$9,Paramètres!$A$1:$I$89,3,0)*VLOOKUP('Données projet'!$B$9,Paramètres!$A$1:$I$89,5,0)</f>
        <v>-5.1431925385259088E-14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270.84250348555986</v>
      </c>
      <c r="T164" s="62">
        <f t="shared" si="142"/>
        <v>384.30746584920951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5.0613545488264906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5.0613545488264906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67.729304528395062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135.66666666666666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-5.6843418860808015E-14</v>
      </c>
      <c r="O165" s="14">
        <f>N165*VLOOKUP('Données projet'!$B$9,Paramètres!$A$1:$I$89,3,0)*VLOOKUP('Données projet'!$B$9,Paramètres!$A$1:$I$89,5,0)</f>
        <v>-5.1431925385259088E-14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270.84250348555986</v>
      </c>
      <c r="T165" s="62">
        <f t="shared" si="142"/>
        <v>384.30746584920951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4.96210447324545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4.96210447324545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67.768696018312852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135.66666666666666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-5.6843418860808015E-14</v>
      </c>
      <c r="O166" s="14">
        <f>N166*VLOOKUP('Données projet'!$B$9,Paramètres!$A$1:$I$89,3,0)*VLOOKUP('Données projet'!$B$9,Paramètres!$A$1:$I$89,5,0)</f>
        <v>-5.1431925385259088E-14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270.84250348555986</v>
      </c>
      <c r="T166" s="62">
        <f t="shared" si="142"/>
        <v>384.30746584920951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4.8648006311099854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4.8648006311099854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67.807404153946749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135.66666666666666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-5.6843418860808015E-14</v>
      </c>
      <c r="O167" s="14">
        <f>N167*VLOOKUP('Données projet'!$B$9,Paramètres!$A$1:$I$89,3,0)*VLOOKUP('Données projet'!$B$9,Paramètres!$A$1:$I$89,5,0)</f>
        <v>-5.1431925385259088E-14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270.84250348555986</v>
      </c>
      <c r="T167" s="62">
        <f t="shared" si="142"/>
        <v>384.30746584920951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4.7694048579693131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4.7694048579693131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67.845440789965821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135.66666666666666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-5.6843418860808015E-14</v>
      </c>
      <c r="O168" s="14">
        <f>N168*VLOOKUP('Données projet'!$B$9,Paramètres!$A$1:$I$89,3,0)*VLOOKUP('Données projet'!$B$9,Paramètres!$A$1:$I$89,5,0)</f>
        <v>-5.1431925385259088E-14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270.84250348555986</v>
      </c>
      <c r="T168" s="62">
        <f t="shared" si="142"/>
        <v>384.30746584920951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4.6758797377542534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4.6758797377542534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67.882817575387136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135.66666666666666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-5.6843418860808015E-14</v>
      </c>
      <c r="O169" s="14">
        <f>N169*VLOOKUP('Données projet'!$B$9,Paramètres!$A$1:$I$89,3,0)*VLOOKUP('Données projet'!$B$9,Paramètres!$A$1:$I$89,5,0)</f>
        <v>-5.1431925385259088E-14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270.84250348555986</v>
      </c>
      <c r="T169" s="62">
        <f t="shared" si="142"/>
        <v>384.30746584920951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4.5841885881019202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4.5841885881019202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67.91954595714337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135.66666666666666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-5.6843418860808015E-14</v>
      </c>
      <c r="O170" s="14">
        <f>N170*VLOOKUP('Données projet'!$B$9,Paramètres!$A$1:$I$89,3,0)*VLOOKUP('Données projet'!$B$9,Paramètres!$A$1:$I$89,5,0)</f>
        <v>-5.1431925385259088E-14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270.84250348555986</v>
      </c>
      <c r="T170" s="62">
        <f t="shared" si="142"/>
        <v>384.30746584920951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4.4942954459681905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4.4942954459681905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67.955637183588493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135.66666666666666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-5.6843418860808015E-14</v>
      </c>
      <c r="O171" s="14">
        <f>N171*VLOOKUP('Données projet'!$B$9,Paramètres!$A$1:$I$89,3,0)*VLOOKUP('Données projet'!$B$9,Paramètres!$A$1:$I$89,5,0)</f>
        <v>-5.1431925385259088E-14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270.84250348555986</v>
      </c>
      <c r="T171" s="62">
        <f t="shared" si="142"/>
        <v>384.30746584920951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4.4061650535223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4.4061650535223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67.991102307942683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135.66666666666666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-5.6843418860808015E-14</v>
      </c>
      <c r="O172" s="14">
        <f>N172*VLOOKUP('Données projet'!$B$9,Paramètres!$A$1:$I$89,3,0)*VLOOKUP('Données projet'!$B$9,Paramètres!$A$1:$I$89,5,0)</f>
        <v>-5.1431925385259088E-14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270.84250348555986</v>
      </c>
      <c r="T172" s="62">
        <f t="shared" si="142"/>
        <v>384.30746584920951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4.319762844318042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4.319762844318042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68.025952191677476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135.66666666666666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-5.6843418860808015E-14</v>
      </c>
      <c r="O173" s="14">
        <f>N173*VLOOKUP('Données projet'!$B$9,Paramètres!$A$1:$I$89,3,0)*VLOOKUP('Données projet'!$B$9,Paramètres!$A$1:$I$89,5,0)</f>
        <v>-5.1431925385259088E-14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270.84250348555986</v>
      </c>
      <c r="T173" s="62">
        <f t="shared" si="142"/>
        <v>384.30746584920951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4.235054929736136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4.235054929736136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68.060197507842133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135.66666666666666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-5.6843418860808015E-14</v>
      </c>
      <c r="O174" s="14">
        <f>N174*VLOOKUP('Données projet'!$B$9,Paramètres!$A$1:$I$89,3,0)*VLOOKUP('Données projet'!$B$9,Paramètres!$A$1:$I$89,5,0)</f>
        <v>-5.1431925385259088E-14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270.84250348555986</v>
      </c>
      <c r="T174" s="62">
        <f t="shared" si="142"/>
        <v>384.30746584920951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4.1520080856924544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4.1520080856924544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68.093848744332391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135.66666666666666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-5.6843418860808015E-14</v>
      </c>
      <c r="O175" s="14">
        <f>N175*VLOOKUP('Données projet'!$B$9,Paramètres!$A$1:$I$89,3,0)*VLOOKUP('Données projet'!$B$9,Paramètres!$A$1:$I$89,5,0)</f>
        <v>-5.1431925385259088E-14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270.84250348555986</v>
      </c>
      <c r="T175" s="62">
        <f t="shared" si="142"/>
        <v>384.30746584920951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4.0705897396068966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4.0705897396068966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68.12691620710244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135.66666666666666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-5.6843418860808015E-14</v>
      </c>
      <c r="O176" s="14">
        <f>N176*VLOOKUP('Données projet'!$B$9,Paramètres!$A$1:$I$89,3,0)*VLOOKUP('Données projet'!$B$9,Paramètres!$A$1:$I$89,5,0)</f>
        <v>-5.1431925385259088E-14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270.84250348555986</v>
      </c>
      <c r="T176" s="62">
        <f t="shared" si="142"/>
        <v>384.30746584920951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3.990767957627789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3.990767957627789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68.159410023321186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135.66666666666666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-5.6843418860808015E-14</v>
      </c>
      <c r="O177" s="14">
        <f>N177*VLOOKUP('Données projet'!$B$9,Paramètres!$A$1:$I$89,3,0)*VLOOKUP('Données projet'!$B$9,Paramètres!$A$1:$I$89,5,0)</f>
        <v>-5.1431925385259088E-14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270.84250348555986</v>
      </c>
      <c r="T177" s="62">
        <f t="shared" si="142"/>
        <v>384.30746584920951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3.912511432106812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3.912511432106812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68.191340144473855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135.66666666666666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-5.6843418860808015E-14</v>
      </c>
      <c r="O178" s="14">
        <f>N178*VLOOKUP('Données projet'!$B$9,Paramètres!$A$1:$I$89,3,0)*VLOOKUP('Données projet'!$B$9,Paramètres!$A$1:$I$89,5,0)</f>
        <v>-5.1431925385259088E-14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270.84250348555986</v>
      </c>
      <c r="T178" s="62">
        <f t="shared" si="142"/>
        <v>384.30746584920951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3.835789469319534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3.835789469319534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68.222716349409552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135.66666666666666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-5.6843418860808015E-14</v>
      </c>
      <c r="O179" s="14">
        <f>N179*VLOOKUP('Données projet'!$B$9,Paramètres!$A$1:$I$89,3,0)*VLOOKUP('Données projet'!$B$9,Paramètres!$A$1:$I$89,5,0)</f>
        <v>-5.1431925385259088E-14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270.84250348555986</v>
      </c>
      <c r="T179" s="62">
        <f t="shared" si="142"/>
        <v>384.30746584920951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3.7605719774267379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3.7605719774267379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68.253548247336312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135.66666666666666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-5.6843418860808015E-14</v>
      </c>
      <c r="O180" s="14">
        <f>N180*VLOOKUP('Données projet'!$B$9,Paramètres!$A$1:$I$89,3,0)*VLOOKUP('Données projet'!$B$9,Paramètres!$A$1:$I$89,5,0)</f>
        <v>-5.1431925385259088E-14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270.84250348555986</v>
      </c>
      <c r="T180" s="62">
        <f t="shared" si="142"/>
        <v>384.30746584920951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3.6868294546718197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3.6868294546718197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68.283845280763842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135.66666666666666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-5.6843418860808015E-14</v>
      </c>
      <c r="O181" s="14">
        <f>N181*VLOOKUP('Données projet'!$B$9,Paramètres!$A$1:$I$89,3,0)*VLOOKUP('Données projet'!$B$9,Paramètres!$A$1:$I$89,5,0)</f>
        <v>-5.1431925385259088E-14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270.84250348555986</v>
      </c>
      <c r="T181" s="62">
        <f t="shared" si="142"/>
        <v>384.30746584920951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3.6145329778096276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3.6145329778096276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68.313616728395431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135.66666666666666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-5.6843418860808015E-14</v>
      </c>
      <c r="O182" s="14">
        <f>N182*VLOOKUP('Données projet'!$B$9,Paramètres!$A$1:$I$89,3,0)*VLOOKUP('Données projet'!$B$9,Paramètres!$A$1:$I$89,5,0)</f>
        <v>-5.1431925385259088E-14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270.84250348555986</v>
      </c>
      <c r="T182" s="62">
        <f t="shared" si="142"/>
        <v>384.30746584920951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3.5436541907622066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3.5436541907622066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68.342871707969579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135.66666666666666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-5.6843418860808015E-14</v>
      </c>
      <c r="O183" s="14">
        <f>N183*VLOOKUP('Données projet'!$B$9,Paramètres!$A$1:$I$89,3,0)*VLOOKUP('Données projet'!$B$9,Paramètres!$A$1:$I$89,5,0)</f>
        <v>-5.1431925385259088E-14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270.84250348555986</v>
      </c>
      <c r="T183" s="62">
        <f t="shared" si="142"/>
        <v>384.30746584920951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3.474165293496994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3.474165293496994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68.371619179052473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135.66666666666666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-5.6843418860808015E-14</v>
      </c>
      <c r="O184" s="14">
        <f>N184*VLOOKUP('Données projet'!$B$9,Paramètres!$A$1:$I$89,3,0)*VLOOKUP('Données projet'!$B$9,Paramètres!$A$1:$I$89,5,0)</f>
        <v>-5.1431925385259088E-14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270.84250348555986</v>
      </c>
      <c r="T184" s="62">
        <f t="shared" si="142"/>
        <v>384.30746584920951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3.4060390311231101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3.4060390311231101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68.399867945781779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135.66666666666666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-5.6843418860808015E-14</v>
      </c>
      <c r="O185" s="14">
        <f>N185*VLOOKUP('Données projet'!$B$9,Paramètres!$A$1:$I$89,3,0)*VLOOKUP('Données projet'!$B$9,Paramètres!$A$1:$I$89,5,0)</f>
        <v>-5.1431925385259088E-14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270.84250348555986</v>
      </c>
      <c r="T185" s="62">
        <f t="shared" si="142"/>
        <v>384.30746584920951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3.3392486832014607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3.3392486832014607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68.427626659563117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135.66666666666666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-5.6843418860808015E-14</v>
      </c>
      <c r="O186" s="14">
        <f>N186*VLOOKUP('Données projet'!$B$9,Paramètres!$A$1:$I$89,3,0)*VLOOKUP('Données projet'!$B$9,Paramètres!$A$1:$I$89,5,0)</f>
        <v>-5.1431925385259088E-14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270.84250348555986</v>
      </c>
      <c r="T186" s="62">
        <f t="shared" si="142"/>
        <v>384.30746584920951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3.2737680532644653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3.2737680532644653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68.45490382171954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135.66666666666666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-5.6843418860808015E-14</v>
      </c>
      <c r="O187" s="14">
        <f>N187*VLOOKUP('Données projet'!$B$9,Paramètres!$A$1:$I$89,3,0)*VLOOKUP('Données projet'!$B$9,Paramètres!$A$1:$I$89,5,0)</f>
        <v>-5.1431925385259088E-14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270.84250348555986</v>
      </c>
      <c r="T187" s="62">
        <f t="shared" si="142"/>
        <v>384.30746584920951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3.2095714585412938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3.2095714585412938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68.481707786095143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135.66666666666666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-5.6843418860808015E-14</v>
      </c>
      <c r="O188" s="14">
        <f>N188*VLOOKUP('Données projet'!$B$9,Paramètres!$A$1:$I$89,3,0)*VLOOKUP('Données projet'!$B$9,Paramètres!$A$1:$I$89,5,0)</f>
        <v>-5.1431925385259088E-14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270.84250348555986</v>
      </c>
      <c r="T188" s="62">
        <f t="shared" si="142"/>
        <v>384.30746584920951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3.1466337198845875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3.1466337198845875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68.508046761613528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135.66666666666666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-5.6843418860808015E-14</v>
      </c>
      <c r="O189" s="14">
        <f>N189*VLOOKUP('Données projet'!$B$9,Paramètres!$A$1:$I$89,3,0)*VLOOKUP('Données projet'!$B$9,Paramètres!$A$1:$I$89,5,0)</f>
        <v>-5.1431925385259088E-14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270.84250348555986</v>
      </c>
      <c r="T189" s="62">
        <f t="shared" si="142"/>
        <v>384.30746584920951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3.0849301518947092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3.0849301518947092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68.533928814791778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135.66666666666666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-5.6843418860808015E-14</v>
      </c>
      <c r="O190" s="14">
        <f>N190*VLOOKUP('Données projet'!$B$9,Paramètres!$A$1:$I$89,3,0)*VLOOKUP('Données projet'!$B$9,Paramètres!$A$1:$I$89,5,0)</f>
        <v>-5.1431925385259088E-14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270.84250348555986</v>
      </c>
      <c r="T190" s="62">
        <f t="shared" si="142"/>
        <v>384.30746584920951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3.0244365532376518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3.0244365532376518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68.559361872211014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135.66666666666666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-5.6843418860808015E-14</v>
      </c>
      <c r="O191" s="14">
        <f>N191*VLOOKUP('Données projet'!$B$9,Paramètres!$A$1:$I$89,3,0)*VLOOKUP('Données projet'!$B$9,Paramètres!$A$1:$I$89,5,0)</f>
        <v>-5.1431925385259088E-14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270.84250348555986</v>
      </c>
      <c r="T191" s="62">
        <f t="shared" si="142"/>
        <v>384.30746584920951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2.9651291971528075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2.9651291971528075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68.584353722943803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135.66666666666666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-5.6843418860808015E-14</v>
      </c>
      <c r="O192" s="14">
        <f>N192*VLOOKUP('Données projet'!$B$9,Paramètres!$A$1:$I$89,3,0)*VLOOKUP('Données projet'!$B$9,Paramètres!$A$1:$I$89,5,0)</f>
        <v>-5.1431925385259088E-14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270.84250348555986</v>
      </c>
      <c r="T192" s="62">
        <f t="shared" si="142"/>
        <v>384.30746584920951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2.9069848221468719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2.9069848221468719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68.608912020939783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135.66666666666666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-5.6843418860808015E-14</v>
      </c>
      <c r="O193" s="14">
        <f>N193*VLOOKUP('Données projet'!$B$9,Paramètres!$A$1:$I$89,3,0)*VLOOKUP('Données projet'!$B$9,Paramètres!$A$1:$I$89,5,0)</f>
        <v>-5.1431925385259088E-14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270.84250348555986</v>
      </c>
      <c r="T193" s="62">
        <f t="shared" si="142"/>
        <v>384.30746584920951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2.8499806228702358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2.8499806228702358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68.633044287369671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135.66666666666666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-5.6843418860808015E-14</v>
      </c>
      <c r="O194" s="14">
        <f>N194*VLOOKUP('Données projet'!$B$9,Paramètres!$A$1:$I$89,3,0)*VLOOKUP('Données projet'!$B$9,Paramètres!$A$1:$I$89,5,0)</f>
        <v>-5.1431925385259088E-14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270.84250348555986</v>
      </c>
      <c r="T194" s="62">
        <f t="shared" si="142"/>
        <v>384.30746584920951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2.794094241172286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2.794094241172286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68.656757912928668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135.66666666666666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-5.6843418860808015E-14</v>
      </c>
      <c r="O195" s="14">
        <f>N195*VLOOKUP('Données projet'!$B$9,Paramètres!$A$1:$I$89,3,0)*VLOOKUP('Données projet'!$B$9,Paramètres!$A$1:$I$89,5,0)</f>
        <v>-5.1431925385259088E-14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270.84250348555986</v>
      </c>
      <c r="T195" s="62">
        <f t="shared" si="142"/>
        <v>384.30746584920951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2.739303757332106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2.739303757332106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68.680060160099941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135.66666666666666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-5.6843418860808015E-14</v>
      </c>
      <c r="O196" s="14">
        <f>N196*VLOOKUP('Données projet'!$B$9,Paramètres!$A$1:$I$89,3,0)*VLOOKUP('Données projet'!$B$9,Paramètres!$A$1:$I$89,5,0)</f>
        <v>-5.1431925385259088E-14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270.84250348555986</v>
      </c>
      <c r="T196" s="62">
        <f t="shared" si="142"/>
        <v>384.30746584920951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2.6855876814611364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2.6855876814611364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68.702958165378803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135.66666666666666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-5.6843418860808015E-14</v>
      </c>
      <c r="O197" s="14">
        <f>N197*VLOOKUP('Données projet'!$B$9,Paramètres!$A$1:$I$89,3,0)*VLOOKUP('Données projet'!$B$9,Paramètres!$A$1:$I$89,5,0)</f>
        <v>-5.1431925385259088E-14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270.84250348555986</v>
      </c>
      <c r="T197" s="62">
        <f t="shared" ref="T197:T203" si="204">$T$3</f>
        <v>384.30746584920951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2.6329249450744254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2.6329249450744254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68.725458941458356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135.66666666666666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-5.6843418860808015E-14</v>
      </c>
      <c r="O198" s="14">
        <f>N198*VLOOKUP('Données projet'!$B$9,Paramètres!$A$1:$I$89,3,0)*VLOOKUP('Données projet'!$B$9,Paramètres!$A$1:$I$89,5,0)</f>
        <v>-5.1431925385259088E-14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270.84250348555986</v>
      </c>
      <c r="T198" s="62">
        <f t="shared" si="204"/>
        <v>384.30746584920951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2.5812948928271604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2.5812948928271604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68.747569379377126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135.66666666666666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-5.6843418860808015E-14</v>
      </c>
      <c r="O199" s="14">
        <f>N199*VLOOKUP('Données projet'!$B$9,Paramètres!$A$1:$I$89,3,0)*VLOOKUP('Données projet'!$B$9,Paramètres!$A$1:$I$89,5,0)</f>
        <v>-5.1431925385259088E-14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270.84250348555986</v>
      </c>
      <c r="T199" s="62">
        <f t="shared" si="204"/>
        <v>384.30746584920951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2.5306772744132418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2.5306772744132418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68.769296250629537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135.66666666666666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-5.6843418860808015E-14</v>
      </c>
      <c r="O200" s="14">
        <f>N200*VLOOKUP('Données projet'!$B$9,Paramètres!$A$1:$I$89,3,0)*VLOOKUP('Données projet'!$B$9,Paramètres!$A$1:$I$89,5,0)</f>
        <v>-5.1431925385259088E-14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270.84250348555986</v>
      </c>
      <c r="T200" s="62">
        <f t="shared" si="204"/>
        <v>384.30746584920951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2.4810522366227215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2.4810522366227215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68.790646209239725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135.66666666666666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-5.6843418860808015E-14</v>
      </c>
      <c r="O201" s="14">
        <f>N201*VLOOKUP('Données projet'!$B$9,Paramètres!$A$1:$I$89,3,0)*VLOOKUP('Données projet'!$B$9,Paramètres!$A$1:$I$89,5,0)</f>
        <v>-5.1431925385259088E-14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270.84250348555986</v>
      </c>
      <c r="T201" s="62">
        <f t="shared" si="204"/>
        <v>384.30746584920951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2.4324003155549891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2.4324003155549891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68.811625793799379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135.66666666666666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-5.6843418860808015E-14</v>
      </c>
      <c r="O202" s="14">
        <f>N202*VLOOKUP('Données projet'!$B$9,Paramètres!$A$1:$I$89,3,0)*VLOOKUP('Données projet'!$B$9,Paramètres!$A$1:$I$89,5,0)</f>
        <v>-5.1431925385259088E-14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270.84250348555986</v>
      </c>
      <c r="T202" s="62">
        <f t="shared" si="204"/>
        <v>384.30746584920951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2.384702428984653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2.384702428984653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68.832241429470258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32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135.66666666666666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-5.6843418860808015E-14</v>
      </c>
      <c r="O203" s="14">
        <f>N203*VLOOKUP('Données projet'!$B$9,Paramètres!$A$1:$I$89,3,0)*VLOOKUP('Données projet'!$B$9,Paramètres!$A$1:$I$89,5,0)</f>
        <v>-5.1431925385259088E-14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270.84250348555986</v>
      </c>
      <c r="T203" s="62">
        <f t="shared" si="204"/>
        <v>384.30746584920951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2.3379398688771231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2.3379398688771231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68.852499429951905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1.8520446218242204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7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Robinier faux-acacia</v>
      </c>
      <c r="B6" s="155">
        <f>'Données projet'!D9</f>
        <v>5.5</v>
      </c>
      <c r="C6" s="156">
        <f ca="1">IF(OR('Données projet'!B9="",'Données projet'!C9="",'Données projet'!C9=0%),0,Calculateur!S3)</f>
        <v>270.84250348555986</v>
      </c>
      <c r="D6" s="156">
        <f>IF(OR('Données projet'!B9="",'Données projet'!C9="",'Données projet'!C9=0%),0,Calculateur!T3)</f>
        <v>384.30746584920951</v>
      </c>
      <c r="E6" s="156">
        <f ca="1">MIN(C6,D6)</f>
        <v>270.84250348555986</v>
      </c>
      <c r="F6" s="156">
        <f ca="1">E6*B6</f>
        <v>1489.6337691705792</v>
      </c>
      <c r="G6" s="156">
        <f ca="1">F6*(100%-'Données projet'!$C$24)*(100%-'Données projet'!$C$25)*(100%-'Données projet'!$C$26)*(100%-'Données projet'!$C$27)</f>
        <v>1273.636872640845</v>
      </c>
      <c r="H6" s="157">
        <f>IF(OR('Données projet'!B9="",'Données projet'!C9="",'Données projet'!C9=0%),0,AVERAGE(Calculateur!$AC$3:$AC$33)*B6)</f>
        <v>0.15013123632305728</v>
      </c>
      <c r="I6" s="158">
        <f>H6*(100%-'Données projet'!$C$24)*(100%-'Données projet'!$C$25)*(100%-'Données projet'!$C$26)*(100%-'Données projet'!$C$27)</f>
        <v>0.12836220705621396</v>
      </c>
      <c r="J6" s="159">
        <f>IF(OR('Données projet'!B9="",'Données projet'!C9="",'Données projet'!C9=0%),0,SUM(Calculateur!$V$3:$V$33)*VLOOKUP('Données projet'!$B$9,Paramètres!$A$1:$I$89,9,0)*B6)</f>
        <v>88.137499999999989</v>
      </c>
      <c r="K6" s="160">
        <f>J6*(100%-'Données projet'!$C$24)*(100%-'Données projet'!$C$25)*(100%-'Données projet'!$C$26)*(100%-'Données projet'!$C$27)</f>
        <v>75.357562499999986</v>
      </c>
      <c r="L6" s="161">
        <f ca="1">G6+I6+K6</f>
        <v>1349.1227973479013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1489.6337691705792</v>
      </c>
      <c r="G16" s="175">
        <f t="shared" ca="1" si="3"/>
        <v>1273.636872640845</v>
      </c>
      <c r="H16" s="176">
        <f t="shared" si="3"/>
        <v>0.15013123632305728</v>
      </c>
      <c r="I16" s="176">
        <f t="shared" si="3"/>
        <v>0.12836220705621396</v>
      </c>
      <c r="J16" s="177">
        <f t="shared" si="3"/>
        <v>88.137499999999989</v>
      </c>
      <c r="K16" s="177">
        <f t="shared" si="3"/>
        <v>75.357562499999986</v>
      </c>
      <c r="L16" s="178">
        <f t="shared" ca="1" si="3"/>
        <v>1349.1227973479013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Robinier faux-acacia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80" zoomScaleNormal="80" workbookViewId="0">
      <selection activeCell="I24" sqref="I24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5" t="s">
        <v>315</v>
      </c>
      <c r="I4" s="325"/>
      <c r="K4" s="322" t="s">
        <v>253</v>
      </c>
      <c r="L4" s="323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3" t="s">
        <v>310</v>
      </c>
      <c r="S7" s="334"/>
      <c r="T7" s="334"/>
      <c r="U7" s="334"/>
      <c r="V7" s="335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Robinier faux-acacia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37.655158471774484</v>
      </c>
      <c r="U10" s="190">
        <f>'Données projet'!D9</f>
        <v>5.5</v>
      </c>
      <c r="V10" s="189">
        <f>U10*T10</f>
        <v>207.10337159475966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/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/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/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Robinier faux-acacia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/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26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6"/>
      <c r="H16" s="203"/>
      <c r="I16" s="204"/>
      <c r="J16" s="215"/>
      <c r="K16" s="224"/>
      <c r="L16" s="322" t="s">
        <v>254</v>
      </c>
      <c r="M16" s="323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1650</v>
      </c>
      <c r="F17" s="260"/>
      <c r="G17" s="326"/>
      <c r="J17" s="215"/>
      <c r="K17" s="224"/>
      <c r="L17" s="293" t="s">
        <v>289</v>
      </c>
      <c r="M17" s="295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26"/>
      <c r="J18" s="215"/>
      <c r="K18" s="224"/>
      <c r="L18" s="293" t="s">
        <v>255</v>
      </c>
      <c r="M18" s="295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26"/>
      <c r="H19" s="231" t="s">
        <v>178</v>
      </c>
      <c r="I19" s="231" t="s">
        <v>287</v>
      </c>
      <c r="J19" s="259"/>
      <c r="K19" s="183"/>
      <c r="L19" s="322" t="s">
        <v>288</v>
      </c>
      <c r="M19" s="323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26"/>
      <c r="H20" s="203">
        <v>0</v>
      </c>
      <c r="I20" s="204">
        <f>1039.09+450</f>
        <v>1489.09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450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/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5</v>
      </c>
      <c r="B23" s="193">
        <f>'Données projet'!D36</f>
        <v>3.85</v>
      </c>
      <c r="C23" s="206">
        <f>70*'Données projet'!E36+13.8*('Données projet'!F36+'Données projet'!G36)+10*'Données projet'!G36</f>
        <v>0</v>
      </c>
      <c r="D23" s="194">
        <f>B23*C23</f>
        <v>0</v>
      </c>
      <c r="E23" s="206"/>
      <c r="F23" s="260"/>
      <c r="H23" s="203">
        <v>3</v>
      </c>
      <c r="I23" s="204">
        <v>1800</v>
      </c>
      <c r="K23" s="224"/>
      <c r="L23" s="324" t="s">
        <v>260</v>
      </c>
      <c r="M23" s="324"/>
      <c r="N23" s="324"/>
      <c r="O23" s="25"/>
      <c r="P23" s="25"/>
      <c r="Q23" s="264"/>
      <c r="R23" s="25"/>
      <c r="S23" s="185" t="s">
        <v>264</v>
      </c>
      <c r="T23" s="3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-19026.649061180422</v>
      </c>
      <c r="U23" s="338"/>
      <c r="V23" s="338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10</v>
      </c>
      <c r="B24" s="193">
        <f>'Données projet'!D37</f>
        <v>17.95</v>
      </c>
      <c r="C24" s="206">
        <f>70*'Données projet'!E37+13.8*('Données projet'!F37+'Données projet'!G37)+10*'Données projet'!G37</f>
        <v>0</v>
      </c>
      <c r="D24" s="194">
        <f t="shared" ref="D24:D42" si="2">B24*C24</f>
        <v>0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9"/>
      <c r="V24" s="339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15</v>
      </c>
      <c r="B25" s="193">
        <f>'Données projet'!D38</f>
        <v>14.74</v>
      </c>
      <c r="C25" s="206">
        <f>70*'Données projet'!E38+13.8*('Données projet'!F38+'Données projet'!G38)+10*'Données projet'!G38</f>
        <v>0</v>
      </c>
      <c r="D25" s="194">
        <f t="shared" si="2"/>
        <v>0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/>
      <c r="Q25" s="264"/>
      <c r="R25" s="25"/>
      <c r="S25" s="198" t="s">
        <v>266</v>
      </c>
      <c r="T25" s="340">
        <f ca="1">T23-T24</f>
        <v>-19026.649061180422</v>
      </c>
      <c r="U25" s="340"/>
      <c r="V25" s="340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20</v>
      </c>
      <c r="B26" s="193">
        <f>'Données projet'!D39</f>
        <v>11.54</v>
      </c>
      <c r="C26" s="206">
        <f>70*'Données projet'!E39+13.8*('Données projet'!F39+'Données projet'!G39)+10*'Données projet'!G39</f>
        <v>0</v>
      </c>
      <c r="D26" s="194">
        <f t="shared" si="2"/>
        <v>0</v>
      </c>
      <c r="E26" s="206"/>
      <c r="F26" s="263"/>
      <c r="G26" s="258"/>
      <c r="H26" s="203"/>
      <c r="I26" s="204"/>
      <c r="K26" s="224"/>
      <c r="L26" s="327" t="s">
        <v>258</v>
      </c>
      <c r="M26" s="328"/>
      <c r="N26" s="328"/>
      <c r="O26" s="328"/>
      <c r="P26" s="329"/>
      <c r="Q26" s="264"/>
      <c r="R26" s="25"/>
      <c r="S26" s="198" t="s">
        <v>265</v>
      </c>
      <c r="T26" s="337" t="str">
        <f ca="1">IF(T25&lt;0,"Votre projet est additionnel","Votre projet n'est pas additionnel")</f>
        <v>Votre projet est additionnel</v>
      </c>
      <c r="U26" s="337"/>
      <c r="V26" s="337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25</v>
      </c>
      <c r="B27" s="193">
        <f>'Données projet'!D40</f>
        <v>8.9700000000000006</v>
      </c>
      <c r="C27" s="206">
        <f>70*'Données projet'!E40+13.8*('Données projet'!F40+'Données projet'!G40)+10*'Données projet'!G40</f>
        <v>0</v>
      </c>
      <c r="D27" s="194">
        <f t="shared" si="2"/>
        <v>0</v>
      </c>
      <c r="E27" s="206"/>
      <c r="F27" s="263"/>
      <c r="G27" s="258"/>
      <c r="H27" s="203"/>
      <c r="I27" s="204"/>
      <c r="K27" s="224"/>
      <c r="L27" s="330"/>
      <c r="M27" s="331"/>
      <c r="N27" s="331"/>
      <c r="O27" s="331"/>
      <c r="P27" s="332"/>
      <c r="Q27" s="264"/>
      <c r="R27" s="25"/>
      <c r="S27" s="336" t="s">
        <v>267</v>
      </c>
      <c r="T27" s="336"/>
      <c r="U27" s="336"/>
      <c r="V27" s="336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30</v>
      </c>
      <c r="B28" s="193">
        <f>'Données projet'!D41</f>
        <v>7.05</v>
      </c>
      <c r="C28" s="206">
        <f>70*'Données projet'!E41+13.8*('Données projet'!F41+'Données projet'!G41)+10*'Données projet'!G41</f>
        <v>28</v>
      </c>
      <c r="D28" s="194">
        <f t="shared" si="2"/>
        <v>197.4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35</v>
      </c>
      <c r="B29" s="193">
        <f>'Données projet'!D42</f>
        <v>5.77</v>
      </c>
      <c r="C29" s="206">
        <f>70*'Données projet'!E42+13.8*('Données projet'!F42+'Données projet'!G42)+10*'Données projet'!G42</f>
        <v>42</v>
      </c>
      <c r="D29" s="194">
        <f t="shared" si="2"/>
        <v>242.33999999999997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40</v>
      </c>
      <c r="B30" s="193">
        <f>'Données projet'!D43</f>
        <v>4.49</v>
      </c>
      <c r="C30" s="206">
        <f>70*'Données projet'!E43+13.8*('Données projet'!F43+'Données projet'!G43)+10*'Données projet'!G43</f>
        <v>49</v>
      </c>
      <c r="D30" s="194">
        <f t="shared" si="2"/>
        <v>220.01000000000002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45</v>
      </c>
      <c r="B31" s="193">
        <f>'Données projet'!D44</f>
        <v>200</v>
      </c>
      <c r="C31" s="206">
        <f>70*'Données projet'!E44+13.8*('Données projet'!F44+'Données projet'!G44)+10*'Données projet'!G44</f>
        <v>56</v>
      </c>
      <c r="D31" s="194">
        <f t="shared" si="2"/>
        <v>11200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>
        <f>70*'Données projet'!E45+13.8*('Données projet'!F45+'Données projet'!G45)+10*'Données projet'!G45</f>
        <v>0</v>
      </c>
      <c r="D32" s="194">
        <f t="shared" si="2"/>
        <v>0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>
        <f>70*'Données projet'!E46+13.8*('Données projet'!F46+'Données projet'!G46)+10*'Données projet'!G46</f>
        <v>0</v>
      </c>
      <c r="D33" s="194">
        <f t="shared" si="2"/>
        <v>0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>
        <f>70*'Données projet'!E47+13.8*('Données projet'!F47+'Données projet'!G47)+10*'Données projet'!G47</f>
        <v>0</v>
      </c>
      <c r="D34" s="194">
        <f t="shared" si="2"/>
        <v>0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>
        <f>70*'Données projet'!E48+13.8*('Données projet'!F48+'Données projet'!G48)+10*'Données projet'!G48</f>
        <v>0</v>
      </c>
      <c r="D35" s="194">
        <f t="shared" si="2"/>
        <v>0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>
        <f>70*'Données projet'!E49+13.8*('Données projet'!F49+'Données projet'!G49)+10*'Données projet'!G49</f>
        <v>0</v>
      </c>
      <c r="D36" s="194">
        <f t="shared" si="2"/>
        <v>0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>
        <f>70*'Données projet'!E50+13.8*('Données projet'!F50+'Données projet'!G50)+10*'Données projet'!G50</f>
        <v>0</v>
      </c>
      <c r="D37" s="194">
        <f t="shared" si="2"/>
        <v>0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70*'Données projet'!E51+13.8*('Données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70*'Données projet'!E52+13.8*('Données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70*'Données projet'!E53+13.8*('Données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70*'Données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70*'Données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/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>
        <f>225*'Données projet'!E62+13.8*('Données projet'!F62+'Données projet'!G62)+10*'Données projet'!H62</f>
        <v>0</v>
      </c>
      <c r="D54" s="191">
        <f>B54*C54</f>
        <v>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>
        <f>225*'Données projet'!E63+13.8*('Données projet'!F63+'Données projet'!G63)+10*'Données projet'!H63</f>
        <v>0</v>
      </c>
      <c r="D55" s="191">
        <f t="shared" ref="D55:D73" si="4">B55*C55</f>
        <v>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>
        <f>225*'Données projet'!E64+13.8*('Données projet'!F64+'Données projet'!G64)+10*'Données projet'!H64</f>
        <v>0</v>
      </c>
      <c r="D56" s="191">
        <f t="shared" si="4"/>
        <v>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>
        <f>225*'Données projet'!E65+13.8*('Données projet'!F65+'Données projet'!G65)+10*'Données projet'!H65</f>
        <v>0</v>
      </c>
      <c r="D57" s="191">
        <f t="shared" si="4"/>
        <v>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>
        <f>225*'Données projet'!E66+13.8*('Données projet'!F66+'Données projet'!G66)+10*'Données projet'!H66</f>
        <v>0</v>
      </c>
      <c r="D58" s="191">
        <f t="shared" si="4"/>
        <v>0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>
        <f>225*'Données projet'!E67+13.8*('Données projet'!F67+'Données projet'!G67)+10*'Données projet'!H67</f>
        <v>0</v>
      </c>
      <c r="D59" s="191">
        <f t="shared" si="4"/>
        <v>0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>
        <f>225*'Données projet'!E68+13.8*('Données projet'!F68+'Données projet'!G68)+10*'Données projet'!H68</f>
        <v>0</v>
      </c>
      <c r="D60" s="191">
        <f t="shared" si="4"/>
        <v>0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f>225*'Données projet'!E69+13.8*('Données projet'!F69+'Données projet'!G69)+10*'Données projet'!H69</f>
        <v>0</v>
      </c>
      <c r="D61" s="191">
        <f t="shared" si="4"/>
        <v>0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f>225*'Données projet'!E70+13.8*('Données projet'!F70+'Données projet'!G70)+10*'Données projet'!H70</f>
        <v>0</v>
      </c>
      <c r="D62" s="191">
        <f t="shared" si="4"/>
        <v>0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f>225*'Données projet'!E71+13.8*('Données projet'!F71+'Données projet'!G71)+10*'Données projet'!H71</f>
        <v>0</v>
      </c>
      <c r="D63" s="191">
        <f t="shared" si="4"/>
        <v>0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225*'Données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225*'Données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225*'Données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225*'Données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225*'Données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225*'Données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225*'Données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225*'Données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225*'Données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225*'Données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/>
      <c r="F79" s="261"/>
      <c r="G79" s="222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>
        <f>225*'Données projet'!E88+13.8*('Données projet'!F88+'Données projet'!G88)+10*'Données projet'!H88</f>
        <v>0</v>
      </c>
      <c r="D85" s="191">
        <f>B85*C85</f>
        <v>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>
        <f>225*'Données projet'!E89+13.8*('Données projet'!F89+'Données projet'!G89)+10*'Données projet'!H89</f>
        <v>0</v>
      </c>
      <c r="D86" s="191">
        <f t="shared" ref="D86:D104" si="6">B86*C86</f>
        <v>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>
        <f>225*'Données projet'!E90+13.8*('Données projet'!F90+'Données projet'!G90)+10*'Données projet'!H90</f>
        <v>0</v>
      </c>
      <c r="D87" s="191">
        <f t="shared" si="6"/>
        <v>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>
        <f>225*'Données projet'!E91+13.8*('Données projet'!F91+'Données projet'!G91)+10*'Données projet'!H91</f>
        <v>0</v>
      </c>
      <c r="D88" s="191">
        <f t="shared" si="6"/>
        <v>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>
        <f>225*'Données projet'!E92+13.8*('Données projet'!F92+'Données projet'!G92)+10*'Données projet'!H92</f>
        <v>0</v>
      </c>
      <c r="D89" s="191">
        <f t="shared" si="6"/>
        <v>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>
        <f>225*'Données projet'!E93+13.8*('Données projet'!F93+'Données projet'!G93)+10*'Données projet'!H93</f>
        <v>0</v>
      </c>
      <c r="D90" s="191">
        <f t="shared" si="6"/>
        <v>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>
        <f>225*'Données projet'!E94+13.8*('Données projet'!F94+'Données projet'!G94)+10*'Données projet'!H94</f>
        <v>0</v>
      </c>
      <c r="D91" s="191">
        <f t="shared" si="6"/>
        <v>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>
        <f>225*'Données projet'!E95+13.8*('Données projet'!F95+'Données projet'!G95)+10*'Données projet'!H95</f>
        <v>0</v>
      </c>
      <c r="D92" s="191">
        <f t="shared" si="6"/>
        <v>0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>
        <f>225*'Données projet'!E96+13.8*('Données projet'!F96+'Données projet'!G96)+10*'Données projet'!H96</f>
        <v>0</v>
      </c>
      <c r="D93" s="191">
        <f t="shared" si="6"/>
        <v>0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>
        <f>225*'Données projet'!E97+13.8*('Données projet'!F97+'Données projet'!G97)+10*'Données projet'!H97</f>
        <v>0</v>
      </c>
      <c r="D94" s="191">
        <f t="shared" si="6"/>
        <v>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>
        <f>225*'Données projet'!E98+13.8*('Données projet'!F98+'Données projet'!G98)+10*'Données projet'!H98</f>
        <v>0</v>
      </c>
      <c r="D95" s="191">
        <f t="shared" si="6"/>
        <v>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>
        <f>225*'Données projet'!E99+13.8*('Données projet'!F99+'Données projet'!G99)+10*'Données projet'!H99</f>
        <v>0</v>
      </c>
      <c r="D96" s="191">
        <f t="shared" si="6"/>
        <v>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>
        <f>225*'Données projet'!E100+13.8*('Données projet'!F100+'Données projet'!G100)+10*'Données projet'!H100</f>
        <v>0</v>
      </c>
      <c r="D97" s="191">
        <f t="shared" si="6"/>
        <v>0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>
        <f>225*'Données projet'!E101+13.8*('Données projet'!F101+'Données projet'!G101)+10*'Données projet'!H101</f>
        <v>0</v>
      </c>
      <c r="D98" s="191">
        <f t="shared" si="6"/>
        <v>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225*'Données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225*'Données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225*'Données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225*'Données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225*'Données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225*'Données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/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>
        <f>225*'Données projet'!E114+13.8*('Données projet'!F114+'Données projet'!G114)+10*'Données projet'!H114</f>
        <v>0</v>
      </c>
      <c r="D116" s="191">
        <f>B116*C116</f>
        <v>0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>
        <f>225*'Données projet'!E115+13.8*('Données projet'!F115+'Données projet'!G115)+10*'Données projet'!H115</f>
        <v>0</v>
      </c>
      <c r="D117" s="191">
        <f t="shared" ref="D117:D135" si="8">B117*C117</f>
        <v>0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>
        <f>225*'Données projet'!E116+13.8*('Données projet'!F116+'Données projet'!G116)+10*'Données projet'!H116</f>
        <v>0</v>
      </c>
      <c r="D118" s="191">
        <f t="shared" si="8"/>
        <v>0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>
        <f>225*'Données projet'!E117+13.8*('Données projet'!F117+'Données projet'!G117)+10*'Données projet'!H117</f>
        <v>0</v>
      </c>
      <c r="D119" s="191">
        <f t="shared" si="8"/>
        <v>0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>
        <f>225*'Données projet'!E118+13.8*('Données projet'!F118+'Données projet'!G118)+10*'Données projet'!H118</f>
        <v>0</v>
      </c>
      <c r="D120" s="191">
        <f t="shared" si="8"/>
        <v>0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>
        <f>225*'Données projet'!E119+13.8*('Données projet'!F119+'Données projet'!G119)+10*'Données projet'!H119</f>
        <v>0</v>
      </c>
      <c r="D121" s="191">
        <f t="shared" si="8"/>
        <v>0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>
        <f>225*'Données projet'!E120+13.8*('Données projet'!F120+'Données projet'!G120)+10*'Données projet'!H120</f>
        <v>0</v>
      </c>
      <c r="D122" s="191">
        <f t="shared" si="8"/>
        <v>0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>
        <f>225*'Données projet'!E121+13.8*('Données projet'!F121+'Données projet'!G121)+10*'Données projet'!H121</f>
        <v>0</v>
      </c>
      <c r="D123" s="191">
        <f t="shared" si="8"/>
        <v>0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>
        <f>225*'Données projet'!E122+13.8*('Données projet'!F122+'Données projet'!G122)+10*'Données projet'!H122</f>
        <v>0</v>
      </c>
      <c r="D124" s="191">
        <f t="shared" si="8"/>
        <v>0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225*'Données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225*'Données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225*'Données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225*'Données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225*'Données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225*'Données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225*'Données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225*'Données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225*'Données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225*'Données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225*'Données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/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>
        <f>225*'Données projet'!E140+13.8*('Données projet'!F140+'Données projet'!G140)+10*'Données projet'!H140</f>
        <v>0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>
        <f>225*'Données projet'!E141+13.8*('Données projet'!F141+'Données projet'!G141)+10*'Données projet'!H141</f>
        <v>0</v>
      </c>
      <c r="D148" s="194">
        <f t="shared" ref="D148:D166" si="10">B148*C148</f>
        <v>0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>
        <f>225*'Données projet'!E142+13.8*('Données projet'!F142+'Données projet'!G142)+10*'Données projet'!H142</f>
        <v>0</v>
      </c>
      <c r="D149" s="194">
        <f t="shared" si="10"/>
        <v>0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>
        <f>225*'Données projet'!E143+13.8*('Données projet'!F143+'Données projet'!G143)+10*'Données projet'!H143</f>
        <v>0</v>
      </c>
      <c r="D150" s="194">
        <f t="shared" si="10"/>
        <v>0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f>225*'Données projet'!E144+13.8*('Données projet'!F144+'Données projet'!G144)+10*'Données projet'!H144</f>
        <v>0</v>
      </c>
      <c r="D151" s="194">
        <f t="shared" si="10"/>
        <v>0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f>225*'Données projet'!E145+13.8*('Données projet'!F145+'Données projet'!G145)+10*'Données projet'!H145</f>
        <v>0</v>
      </c>
      <c r="D152" s="194">
        <f t="shared" si="10"/>
        <v>0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>
        <f>225*'Données projet'!E146+13.8*('Données projet'!F146+'Données projet'!G146)+10*'Données projet'!H146</f>
        <v>0</v>
      </c>
      <c r="D153" s="194">
        <f t="shared" si="10"/>
        <v>0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>
        <f>225*'Données projet'!E147+13.8*('Données projet'!F147+'Données projet'!G147)+10*'Données projet'!H147</f>
        <v>0</v>
      </c>
      <c r="D154" s="194">
        <f t="shared" si="10"/>
        <v>0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>
        <f>225*'Données projet'!E148+13.8*('Données projet'!F148+'Données projet'!G148)+10*'Données projet'!H148</f>
        <v>0</v>
      </c>
      <c r="D155" s="194">
        <f t="shared" si="10"/>
        <v>0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>
        <f>225*'Données projet'!E149+13.8*('Données projet'!F149+'Données projet'!G149)+10*'Données projet'!H149</f>
        <v>0</v>
      </c>
      <c r="D156" s="194">
        <f t="shared" si="10"/>
        <v>0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>
        <f>225*'Données projet'!E150+13.8*('Données projet'!F150+'Données projet'!G150)+10*'Données projet'!H150</f>
        <v>0</v>
      </c>
      <c r="D157" s="194">
        <f t="shared" si="10"/>
        <v>0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>
        <f>225*'Données projet'!E151+13.8*('Données projet'!F151+'Données projet'!G151)+10*'Données projet'!H151</f>
        <v>0</v>
      </c>
      <c r="D158" s="194">
        <f t="shared" si="10"/>
        <v>0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>
        <f>225*'Données projet'!E152+13.8*('Données projet'!F152+'Données projet'!G152)+10*'Données projet'!H152</f>
        <v>0</v>
      </c>
      <c r="D159" s="194">
        <f t="shared" si="10"/>
        <v>0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>
        <f>225*'Données projet'!E153+13.8*('Données projet'!F153+'Données projet'!G153)+10*'Données projet'!H153</f>
        <v>0</v>
      </c>
      <c r="D160" s="194">
        <f t="shared" si="10"/>
        <v>0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>
        <f>225*'Données projet'!E154+13.8*('Données projet'!F154+'Données projet'!G154)+10*'Données projet'!H154</f>
        <v>0</v>
      </c>
      <c r="D161" s="194">
        <f t="shared" si="10"/>
        <v>0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225*'Données projet'!E155+13.8*('Données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225*'Données projet'!E156+13.8*('Données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225*'Données projet'!E157+13.8*('Données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225*'Données projet'!E158+13.8*('Données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225*'Données projet'!E159+13.8*('Données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2024-09-17T15:24:39Z</dcterms:modified>
</cp:coreProperties>
</file>