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4-2025/DAVAILLAUD - 17469928 LE/"/>
    </mc:Choice>
  </mc:AlternateContent>
  <xr:revisionPtr revIDLastSave="171" documentId="13_ncr:1_{91C62E09-7A97-40C6-8A6D-8C8B5668C142}" xr6:coauthVersionLast="47" xr6:coauthVersionMax="47" xr10:uidLastSave="{C094B883-8ECE-4AF6-BBEF-0359819488DF}"/>
  <bookViews>
    <workbookView xWindow="38280" yWindow="-120" windowWidth="29040" windowHeight="1572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B7" i="2"/>
  <c r="HI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HH20" i="2"/>
  <c r="EC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EX38" i="2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I57" i="2"/>
  <c r="FS57" i="2"/>
  <c r="EV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HH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W85" i="2" s="1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B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C113" i="2"/>
  <c r="EB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V114" i="2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HI122" i="2"/>
  <c r="FS122" i="2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B139" i="2"/>
  <c r="EA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FS141" i="2"/>
  <c r="EA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EB144" i="2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X145" i="2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HH146" i="2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G150" i="2" l="1"/>
  <c r="HH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DI154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FS156" i="2" l="1"/>
  <c r="ED155" i="2"/>
  <c r="EB156" i="2"/>
  <c r="AB156" i="2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HH157" i="2"/>
  <c r="EA157" i="2"/>
  <c r="CN156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D157" i="2"/>
  <c r="HH158" i="2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I160" i="2" l="1"/>
  <c r="ED159" i="2"/>
  <c r="EY159" i="2"/>
  <c r="DG160" i="2"/>
  <c r="FS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D160" i="2"/>
  <c r="EA161" i="2"/>
  <c r="EB161" i="2"/>
  <c r="FS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HG162" i="2"/>
  <c r="EW162" i="2"/>
  <c r="DI161" i="2"/>
  <c r="HH162" i="2"/>
  <c r="EC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HH163" i="2"/>
  <c r="EB163" i="2"/>
  <c r="EA163" i="2"/>
  <c r="EV163" i="2"/>
  <c r="EY163" i="2" s="1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DI163" i="2" l="1"/>
  <c r="ED163" i="2"/>
  <c r="FR164" i="2"/>
  <c r="HH164" i="2"/>
  <c r="DH164" i="2"/>
  <c r="HG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FS166" i="2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B167" i="2"/>
  <c r="DG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I167" i="2"/>
  <c r="HI168" i="2"/>
  <c r="DG168" i="2"/>
  <c r="EC168" i="2"/>
  <c r="EV168" i="2"/>
  <c r="EY168" i="2" s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ED171" i="2"/>
  <c r="EB172" i="2"/>
  <c r="HG172" i="2"/>
  <c r="EW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B175" i="2"/>
  <c r="EW175" i="2"/>
  <c r="EA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ED177" i="2"/>
  <c r="HH178" i="2"/>
  <c r="HG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I179" i="2" l="1"/>
  <c r="EB179" i="2"/>
  <c r="HH179" i="2"/>
  <c r="EV179" i="2"/>
  <c r="EY179" i="2" s="1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X180" i="2" l="1"/>
  <c r="HI180" i="2"/>
  <c r="ED179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DG182" i="2"/>
  <c r="EC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HI185" i="2"/>
  <c r="EB185" i="2"/>
  <c r="HH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HG186" i="2"/>
  <c r="EW186" i="2"/>
  <c r="EB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HH189" i="2" l="1"/>
  <c r="AA189" i="2"/>
  <c r="EB189" i="2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HH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C192" i="2"/>
  <c r="EW192" i="2"/>
  <c r="HG192" i="2"/>
  <c r="EA192" i="2"/>
  <c r="EV192" i="2"/>
  <c r="EY192" i="2" s="1"/>
  <c r="HH192" i="2"/>
  <c r="EB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B193" i="2" l="1"/>
  <c r="EA193" i="2"/>
  <c r="DI192" i="2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G194" i="2" l="1"/>
  <c r="EB194" i="2"/>
  <c r="HI194" i="2"/>
  <c r="ED193" i="2"/>
  <c r="EA194" i="2"/>
  <c r="CN193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X195" i="2" l="1"/>
  <c r="HI195" i="2"/>
  <c r="EB195" i="2"/>
  <c r="EA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FS197" i="2" l="1"/>
  <c r="HH197" i="2"/>
  <c r="EA197" i="2"/>
  <c r="EW197" i="2"/>
  <c r="EC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A199" i="2"/>
  <c r="HH199" i="2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DI200" i="2" l="1"/>
  <c r="ED200" i="2"/>
  <c r="EA201" i="2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/>
  <c r="ED201" i="2" l="1"/>
  <c r="HG202" i="2"/>
  <c r="FR202" i="2"/>
  <c r="EX202" i="2"/>
  <c r="HH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FY190" i="2" a="1"/>
  <c r="FY190" i="2" s="1"/>
  <c r="FY104" i="2" a="1"/>
  <c r="FY104" i="2" s="1"/>
  <c r="BC34" i="2" a="1"/>
  <c r="BC34" i="2" s="1"/>
  <c r="BC114" i="2" a="1"/>
  <c r="BC114" i="2" s="1"/>
  <c r="BC65" i="2" a="1"/>
  <c r="BC65" i="2" s="1"/>
  <c r="BC181" i="2" a="1"/>
  <c r="BC181" i="2" s="1"/>
  <c r="BC117" i="2" a="1"/>
  <c r="BC117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02" i="2" a="1"/>
  <c r="GT102" i="2" s="1"/>
  <c r="GT11" i="2" a="1"/>
  <c r="GT11" i="2" s="1"/>
  <c r="EI166" i="2" a="1"/>
  <c r="EI166" i="2" s="1"/>
  <c r="EI106" i="2" a="1"/>
  <c r="EI106" i="2" s="1"/>
  <c r="EI142" i="2" a="1"/>
  <c r="EI142" i="2" s="1"/>
  <c r="CS129" i="2" a="1"/>
  <c r="CS129" i="2" s="1"/>
  <c r="DN188" i="2" a="1"/>
  <c r="DN188" i="2" s="1"/>
  <c r="EI195" i="2" a="1"/>
  <c r="EI195" i="2" s="1"/>
  <c r="DN103" i="2" a="1"/>
  <c r="DN103" i="2" s="1"/>
  <c r="CS38" i="2" a="1"/>
  <c r="CS38" i="2" s="1"/>
  <c r="FY196" i="2" a="1"/>
  <c r="FY196" i="2" s="1"/>
  <c r="FY30" i="2" a="1"/>
  <c r="FY30" i="2" s="1"/>
  <c r="FY142" i="2" a="1"/>
  <c r="FY142" i="2" s="1"/>
  <c r="FD188" i="2" a="1"/>
  <c r="FD188" i="2" s="1"/>
  <c r="FD48" i="2" a="1"/>
  <c r="FD48" i="2" s="1"/>
  <c r="FD189" i="2" a="1"/>
  <c r="FD189" i="2" s="1"/>
  <c r="FD167" i="2" a="1"/>
  <c r="FD167" i="2" s="1"/>
  <c r="FD159" i="2" a="1"/>
  <c r="FD159" i="2" s="1"/>
  <c r="FD160" i="2" a="1"/>
  <c r="FD160" i="2" s="1"/>
  <c r="BC130" i="2" a="1"/>
  <c r="BC130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38" i="2" a="1"/>
  <c r="BC38" i="2" s="1"/>
  <c r="BC18" i="2" a="1"/>
  <c r="BC18" i="2" s="1"/>
  <c r="GT12" i="2" a="1"/>
  <c r="GT12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38" i="2" a="1"/>
  <c r="DN38" i="2" s="1"/>
  <c r="DN135" i="2" a="1"/>
  <c r="DN135" i="2" s="1"/>
  <c r="DN6" i="2" a="1"/>
  <c r="DN6" i="2" s="1"/>
  <c r="DO6" i="2" s="1"/>
  <c r="FD82" i="2" a="1"/>
  <c r="FD82" i="2" s="1"/>
  <c r="HJ202" i="2"/>
  <c r="AX200" i="2"/>
  <c r="DN50" i="2" l="1" a="1"/>
  <c r="DN50" i="2" s="1"/>
  <c r="DN46" i="2" a="1"/>
  <c r="DN46" i="2" s="1"/>
  <c r="DN137" i="2" a="1"/>
  <c r="DN137" i="2" s="1"/>
  <c r="DN56" i="2" a="1"/>
  <c r="DN56" i="2" s="1"/>
  <c r="DN124" i="2" a="1"/>
  <c r="DN124" i="2" s="1"/>
  <c r="DN129" i="2" a="1"/>
  <c r="DN129" i="2" s="1"/>
  <c r="DN63" i="2" a="1"/>
  <c r="DN63" i="2" s="1"/>
  <c r="DN177" i="2" a="1"/>
  <c r="DN177" i="2" s="1"/>
  <c r="DN30" i="2" a="1"/>
  <c r="DN30" i="2" s="1"/>
  <c r="DN133" i="2" a="1"/>
  <c r="DN133" i="2" s="1"/>
  <c r="DN65" i="2" a="1"/>
  <c r="DN65" i="2" s="1"/>
  <c r="DN115" i="2" a="1"/>
  <c r="DN115" i="2" s="1"/>
  <c r="DN113" i="2" a="1"/>
  <c r="DN113" i="2" s="1"/>
  <c r="DN70" i="2" a="1"/>
  <c r="DN70" i="2" s="1"/>
  <c r="DN86" i="2" a="1"/>
  <c r="DN86" i="2" s="1"/>
  <c r="DN132" i="2" a="1"/>
  <c r="DN132" i="2" s="1"/>
  <c r="DN176" i="2" a="1"/>
  <c r="DN176" i="2" s="1"/>
  <c r="DN164" i="2" a="1"/>
  <c r="DN164" i="2" s="1"/>
  <c r="DN114" i="2" a="1"/>
  <c r="DN114" i="2" s="1"/>
  <c r="CS105" i="2" a="1"/>
  <c r="CS105" i="2" s="1"/>
  <c r="AH163" i="2" a="1"/>
  <c r="AH163" i="2" s="1"/>
  <c r="AH62" i="2" a="1"/>
  <c r="AH62" i="2" s="1"/>
  <c r="AH92" i="2" a="1"/>
  <c r="AH92" i="2" s="1"/>
  <c r="CS161" i="2" a="1"/>
  <c r="CS161" i="2" s="1"/>
  <c r="CS185" i="2" a="1"/>
  <c r="CS185" i="2" s="1"/>
  <c r="CS77" i="2" a="1"/>
  <c r="CS77" i="2" s="1"/>
  <c r="CS120" i="2" a="1"/>
  <c r="CS120" i="2" s="1"/>
  <c r="DN55" i="2" a="1"/>
  <c r="DN55" i="2" s="1"/>
  <c r="DN123" i="2" a="1"/>
  <c r="DN123" i="2" s="1"/>
  <c r="BX107" i="2" a="1"/>
  <c r="BX107" i="2" s="1"/>
  <c r="BC126" i="2" a="1"/>
  <c r="BC126" i="2" s="1"/>
  <c r="CS72" i="2" a="1"/>
  <c r="CS72" i="2" s="1"/>
  <c r="DN167" i="2" a="1"/>
  <c r="DN167" i="2" s="1"/>
  <c r="BC151" i="2" a="1"/>
  <c r="BC151" i="2" s="1"/>
  <c r="DN29" i="2" a="1"/>
  <c r="DN29" i="2" s="1"/>
  <c r="GT152" i="2" a="1"/>
  <c r="GT152" i="2" s="1"/>
  <c r="BC82" i="2" a="1"/>
  <c r="BC82" i="2" s="1"/>
  <c r="DN45" i="2" a="1"/>
  <c r="DN45" i="2" s="1"/>
  <c r="DN16" i="2" a="1"/>
  <c r="DN16" i="2" s="1"/>
  <c r="GT190" i="2" a="1"/>
  <c r="GT190" i="2" s="1"/>
  <c r="BC7" i="2" a="1"/>
  <c r="BC7" i="2" s="1"/>
  <c r="DN150" i="2" a="1"/>
  <c r="DN150" i="2" s="1"/>
  <c r="DN41" i="2" a="1"/>
  <c r="DN41" i="2" s="1"/>
  <c r="GT33" i="2" a="1"/>
  <c r="GT33" i="2" s="1"/>
  <c r="BC47" i="2" a="1"/>
  <c r="BC47" i="2" s="1"/>
  <c r="CS52" i="2" a="1"/>
  <c r="CS52" i="2" s="1"/>
  <c r="CS114" i="2" a="1"/>
  <c r="CS114" i="2" s="1"/>
  <c r="DN187" i="2" a="1"/>
  <c r="DN187" i="2" s="1"/>
  <c r="CS137" i="2" a="1"/>
  <c r="CS137" i="2" s="1"/>
  <c r="DN184" i="2" a="1"/>
  <c r="DN184" i="2" s="1"/>
  <c r="GT107" i="2" a="1"/>
  <c r="GT107" i="2" s="1"/>
  <c r="DN152" i="2" a="1"/>
  <c r="DN152" i="2" s="1"/>
  <c r="GT174" i="2" a="1"/>
  <c r="GT174" i="2" s="1"/>
  <c r="CS116" i="2" a="1"/>
  <c r="CS116" i="2" s="1"/>
  <c r="CS134" i="2" a="1"/>
  <c r="CS134" i="2" s="1"/>
  <c r="DN162" i="2" a="1"/>
  <c r="DN162" i="2" s="1"/>
  <c r="GT191" i="2" a="1"/>
  <c r="GT191" i="2" s="1"/>
  <c r="BC185" i="2" a="1"/>
  <c r="BC185" i="2" s="1"/>
  <c r="DN192" i="2" a="1"/>
  <c r="DN192" i="2" s="1"/>
  <c r="DN43" i="2" a="1"/>
  <c r="DN43" i="2" s="1"/>
  <c r="GT133" i="2" a="1"/>
  <c r="GT133" i="2" s="1"/>
  <c r="BC68" i="2" a="1"/>
  <c r="BC68" i="2" s="1"/>
  <c r="DN25" i="2" a="1"/>
  <c r="DN25" i="2" s="1"/>
  <c r="DN110" i="2" a="1"/>
  <c r="DN110" i="2" s="1"/>
  <c r="DN31" i="2" a="1"/>
  <c r="DN31" i="2" s="1"/>
  <c r="BC83" i="2" a="1"/>
  <c r="BC83" i="2" s="1"/>
  <c r="GT147" i="2" a="1"/>
  <c r="GT147" i="2" s="1"/>
  <c r="CS24" i="2" a="1"/>
  <c r="CS24" i="2" s="1"/>
  <c r="DN49" i="2" a="1"/>
  <c r="DN49" i="2" s="1"/>
  <c r="GT38" i="2" a="1"/>
  <c r="GT38" i="2" s="1"/>
  <c r="BC143" i="2" a="1"/>
  <c r="BC143" i="2" s="1"/>
  <c r="DN66" i="2" a="1"/>
  <c r="DN66" i="2" s="1"/>
  <c r="DN186" i="2" a="1"/>
  <c r="DN186" i="2" s="1"/>
  <c r="GT121" i="2" a="1"/>
  <c r="GT121" i="2" s="1"/>
  <c r="BC58" i="2" a="1"/>
  <c r="BC58" i="2" s="1"/>
  <c r="CS56" i="2" a="1"/>
  <c r="CS56" i="2" s="1"/>
  <c r="DN153" i="2" a="1"/>
  <c r="DN153" i="2" s="1"/>
  <c r="CS66" i="2" a="1"/>
  <c r="CS66" i="2" s="1"/>
  <c r="DN190" i="2" a="1"/>
  <c r="DN190" i="2" s="1"/>
  <c r="DN80" i="2" a="1"/>
  <c r="DN80" i="2" s="1"/>
  <c r="GT21" i="2" a="1"/>
  <c r="GT21" i="2" s="1"/>
  <c r="BC55" i="2" a="1"/>
  <c r="BC55" i="2" s="1"/>
  <c r="AH199" i="2" a="1"/>
  <c r="AH199" i="2" s="1"/>
  <c r="DN170" i="2" a="1"/>
  <c r="DN170" i="2" s="1"/>
  <c r="DN155" i="2" a="1"/>
  <c r="DN155" i="2" s="1"/>
  <c r="GT115" i="2" a="1"/>
  <c r="GT115" i="2" s="1"/>
  <c r="AH166" i="2" a="1"/>
  <c r="AH166" i="2" s="1"/>
  <c r="AH90" i="2" a="1"/>
  <c r="AH90" i="2" s="1"/>
  <c r="AH19" i="2" a="1"/>
  <c r="AH19" i="2" s="1"/>
  <c r="AH151" i="2" a="1"/>
  <c r="AH151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CN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CD23" i="2" l="1"/>
  <c r="CD122" i="2"/>
  <c r="CD49" i="2"/>
  <c r="CD159" i="2"/>
  <c r="CD31" i="2"/>
  <c r="CD84" i="2"/>
  <c r="CD200" i="2"/>
  <c r="CD107" i="2"/>
  <c r="CD172" i="2"/>
  <c r="CD179" i="2"/>
  <c r="CD53" i="2"/>
  <c r="CD38" i="2"/>
  <c r="CD187" i="2"/>
  <c r="CD17" i="2"/>
  <c r="CD167" i="2"/>
  <c r="CD88" i="2"/>
  <c r="CD198" i="2"/>
  <c r="CD140" i="2"/>
  <c r="CD37" i="2"/>
  <c r="CD152" i="2"/>
  <c r="CD68" i="2"/>
  <c r="CD181" i="2"/>
  <c r="CD130" i="2"/>
  <c r="CD105" i="2"/>
  <c r="CD197" i="2"/>
  <c r="CD3" i="2"/>
  <c r="C9" i="4" s="1"/>
  <c r="E9" i="4" s="1"/>
  <c r="F9" i="4" s="1"/>
  <c r="G9" i="4" s="1"/>
  <c r="L9" i="4" s="1"/>
  <c r="CD5" i="2"/>
  <c r="CD62" i="2"/>
  <c r="CD36" i="2"/>
  <c r="CD70" i="2"/>
  <c r="CD120" i="2"/>
  <c r="CD111" i="2"/>
  <c r="CD189" i="2"/>
  <c r="CD126" i="2"/>
  <c r="CD101" i="2"/>
  <c r="CD13" i="2"/>
  <c r="CD176" i="2"/>
  <c r="CD60" i="2"/>
  <c r="CD78" i="2"/>
  <c r="CD133" i="2"/>
  <c r="CD29" i="2"/>
  <c r="CD153" i="2"/>
  <c r="CD103" i="2"/>
  <c r="CD28" i="2"/>
  <c r="CD162" i="2"/>
  <c r="CD180" i="2"/>
  <c r="CD158" i="2"/>
  <c r="CD57" i="2"/>
  <c r="CD128" i="2"/>
  <c r="CD42" i="2"/>
  <c r="CD58" i="2"/>
  <c r="CD125" i="2"/>
  <c r="CD136" i="2"/>
  <c r="CD141" i="2"/>
  <c r="CD146" i="2"/>
  <c r="CD129" i="2"/>
  <c r="CD177" i="2"/>
  <c r="CD46" i="2"/>
  <c r="CD156" i="2"/>
  <c r="CD24" i="2"/>
  <c r="CD148" i="2"/>
  <c r="CD124" i="2"/>
  <c r="CD166" i="2"/>
  <c r="CD118" i="2"/>
  <c r="CD4" i="2"/>
  <c r="CD116" i="2"/>
  <c r="CD82" i="2"/>
  <c r="CD135" i="2"/>
  <c r="CD115" i="2"/>
  <c r="CD48" i="2"/>
  <c r="CD77" i="2"/>
  <c r="CD143" i="2"/>
  <c r="CD67" i="2"/>
  <c r="CD30" i="2"/>
  <c r="CD183" i="2"/>
  <c r="CD119" i="2"/>
  <c r="CD171" i="2"/>
  <c r="CD16" i="2"/>
  <c r="CD81" i="2"/>
  <c r="CD134" i="2"/>
  <c r="CD21" i="2"/>
  <c r="CD104" i="2"/>
  <c r="CD121" i="2"/>
  <c r="CD7" i="2"/>
  <c r="CD45" i="2"/>
  <c r="CD54" i="2"/>
  <c r="CD144" i="2"/>
  <c r="CD173" i="2"/>
  <c r="CD80" i="2"/>
  <c r="CD145" i="2"/>
  <c r="CD73" i="2"/>
  <c r="CD56" i="2"/>
  <c r="CD9" i="2"/>
  <c r="CD8" i="2"/>
  <c r="CD160" i="2"/>
  <c r="CD123" i="2"/>
  <c r="CD71" i="2"/>
  <c r="CD191" i="2"/>
  <c r="CD174" i="2"/>
  <c r="CD154" i="2"/>
  <c r="CD65" i="2"/>
  <c r="CD195" i="2"/>
  <c r="CD59" i="2"/>
  <c r="CD35" i="2"/>
  <c r="CD47" i="2"/>
  <c r="CD109" i="2"/>
  <c r="CD149" i="2"/>
  <c r="CD51" i="2"/>
  <c r="CD188" i="2"/>
  <c r="CD32" i="2"/>
  <c r="CD18" i="2"/>
  <c r="CD163" i="2"/>
  <c r="CD34" i="2"/>
  <c r="CD50" i="2"/>
  <c r="CD74" i="2"/>
  <c r="CD178" i="2"/>
  <c r="CD33" i="2"/>
  <c r="CD112" i="2"/>
  <c r="CD6" i="2"/>
  <c r="CD169" i="2"/>
  <c r="CD117" i="2"/>
  <c r="CD52" i="2"/>
  <c r="CD113" i="2"/>
  <c r="CD87" i="2"/>
  <c r="CD138" i="2"/>
  <c r="CD102" i="2"/>
  <c r="CD131" i="2"/>
  <c r="CD20" i="2"/>
  <c r="CD201" i="2"/>
  <c r="CD137" i="2"/>
  <c r="CD139" i="2"/>
  <c r="CD12" i="2"/>
  <c r="CD175" i="2"/>
  <c r="CD92" i="2"/>
  <c r="CD142" i="2"/>
  <c r="CD108" i="2"/>
  <c r="CD190" i="2"/>
  <c r="CD161" i="2"/>
  <c r="CD75" i="2"/>
  <c r="CD22" i="2"/>
  <c r="CD199" i="2"/>
  <c r="CD19" i="2"/>
  <c r="CD127" i="2"/>
  <c r="CD85" i="2"/>
  <c r="CD76" i="2"/>
  <c r="CD15" i="2"/>
  <c r="CD194" i="2"/>
  <c r="CD164" i="2"/>
  <c r="CD168" i="2"/>
  <c r="CD147" i="2"/>
  <c r="CD41" i="2"/>
  <c r="CD26" i="2"/>
  <c r="CD182" i="2"/>
  <c r="CD86" i="2"/>
  <c r="CD157" i="2"/>
  <c r="CD83" i="2"/>
  <c r="CD110" i="2"/>
  <c r="CD192" i="2"/>
  <c r="CD185" i="2"/>
  <c r="CD44" i="2"/>
  <c r="CD25" i="2"/>
  <c r="CD193" i="2"/>
  <c r="CD100" i="2"/>
  <c r="CD61" i="2"/>
  <c r="CD151" i="2"/>
  <c r="CD14" i="2"/>
  <c r="CD96" i="2"/>
  <c r="CD10" i="2"/>
  <c r="CD11" i="2"/>
  <c r="CD132" i="2"/>
  <c r="CD170" i="2"/>
  <c r="CD150" i="2"/>
  <c r="CD89" i="2"/>
  <c r="CD90" i="2"/>
  <c r="CD66" i="2"/>
  <c r="CD79" i="2"/>
  <c r="CD27" i="2"/>
  <c r="CD43" i="2"/>
  <c r="CD63" i="2"/>
  <c r="CD196" i="2"/>
  <c r="CD114" i="2"/>
  <c r="CD94" i="2"/>
  <c r="CD91" i="2"/>
  <c r="CD155" i="2"/>
  <c r="CD203" i="2"/>
  <c r="CD55" i="2"/>
  <c r="CD184" i="2"/>
  <c r="CD97" i="2"/>
  <c r="CD95" i="2"/>
  <c r="CD72" i="2"/>
  <c r="CD69" i="2"/>
  <c r="CD165" i="2"/>
  <c r="CD39" i="2"/>
  <c r="CD93" i="2"/>
  <c r="CD186" i="2"/>
  <c r="CD202" i="2"/>
  <c r="CD40" i="2"/>
  <c r="CD106" i="2"/>
  <c r="CD99" i="2"/>
  <c r="CD64" i="2"/>
  <c r="CD98" i="2"/>
  <c r="FE148" i="2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AN53" i="2" l="1"/>
  <c r="AN128" i="2"/>
  <c r="AN158" i="2"/>
  <c r="AN63" i="2"/>
  <c r="AN133" i="2"/>
  <c r="AN183" i="2"/>
  <c r="AN165" i="2"/>
  <c r="AN160" i="2"/>
  <c r="AN112" i="2"/>
  <c r="AN12" i="2"/>
  <c r="AN77" i="2"/>
  <c r="AN87" i="2"/>
  <c r="AN139" i="2"/>
  <c r="AN119" i="2"/>
  <c r="AN35" i="2"/>
  <c r="AN166" i="2"/>
  <c r="AN90" i="2"/>
  <c r="AN176" i="2"/>
  <c r="AN30" i="2"/>
  <c r="AN61" i="2"/>
  <c r="AN46" i="2"/>
  <c r="AN14" i="2"/>
  <c r="AN82" i="2"/>
  <c r="AN96" i="2"/>
  <c r="AN171" i="2"/>
  <c r="AN136" i="2"/>
  <c r="AN94" i="2"/>
  <c r="AN185" i="2"/>
  <c r="AN172" i="2"/>
  <c r="AN3" i="2"/>
  <c r="C7" i="4" s="1"/>
  <c r="E7" i="4" s="1"/>
  <c r="F7" i="4" s="1"/>
  <c r="G7" i="4" s="1"/>
  <c r="L7" i="4" s="1"/>
  <c r="AN100" i="2"/>
  <c r="AN25" i="2"/>
  <c r="AN173" i="2"/>
  <c r="AN18" i="2"/>
  <c r="AN7" i="2"/>
  <c r="AN193" i="2"/>
  <c r="AN150" i="2"/>
  <c r="AN110" i="2"/>
  <c r="AN57" i="2"/>
  <c r="AN9" i="2"/>
  <c r="AN120" i="2"/>
  <c r="AN81" i="2"/>
  <c r="AN203" i="2"/>
  <c r="AN19" i="2"/>
  <c r="AN195" i="2"/>
  <c r="AN116" i="2"/>
  <c r="AN27" i="2"/>
  <c r="AN79" i="2"/>
  <c r="AN10" i="2"/>
  <c r="AN170" i="2"/>
  <c r="AN196" i="2"/>
  <c r="AN51" i="2"/>
  <c r="AN154" i="2"/>
  <c r="AN186" i="2"/>
  <c r="AN40" i="2"/>
  <c r="AN74" i="2"/>
  <c r="AN117" i="2"/>
  <c r="AN69" i="2"/>
  <c r="AN84" i="2"/>
  <c r="AN47" i="2"/>
  <c r="AN191" i="2"/>
  <c r="AN58" i="2"/>
  <c r="AN187" i="2"/>
  <c r="AN155" i="2"/>
  <c r="AN184" i="2"/>
  <c r="AN70" i="2"/>
  <c r="AN118" i="2"/>
  <c r="AN157" i="2"/>
  <c r="AN56" i="2"/>
  <c r="AN4" i="2"/>
  <c r="AN54" i="2"/>
  <c r="AN83" i="2"/>
  <c r="AN190" i="2"/>
  <c r="AN49" i="2"/>
  <c r="AN78" i="2"/>
  <c r="AN135" i="2"/>
  <c r="AN71" i="2"/>
  <c r="AN89" i="2"/>
  <c r="AN95" i="2"/>
  <c r="AN22" i="2"/>
  <c r="AN29" i="2"/>
  <c r="AN55" i="2"/>
  <c r="AN127" i="2"/>
  <c r="AN73" i="2"/>
  <c r="AN192" i="2"/>
  <c r="AN159" i="2"/>
  <c r="AN66" i="2"/>
  <c r="AN52" i="2"/>
  <c r="AN125" i="2"/>
  <c r="AN86" i="2"/>
  <c r="AN115" i="2"/>
  <c r="AN142" i="2"/>
  <c r="AN20" i="2"/>
  <c r="AN92" i="2"/>
  <c r="AN41" i="2"/>
  <c r="AN97" i="2"/>
  <c r="AN72" i="2"/>
  <c r="AN148" i="2"/>
  <c r="AN68" i="2"/>
  <c r="AN143" i="2"/>
  <c r="AN197" i="2"/>
  <c r="AN91" i="2"/>
  <c r="AN177" i="2"/>
  <c r="AN42" i="2"/>
  <c r="AN121" i="2"/>
  <c r="AN5" i="2"/>
  <c r="AN43" i="2"/>
  <c r="AN45" i="2"/>
  <c r="AN98" i="2"/>
  <c r="AN6" i="2"/>
  <c r="AN105" i="2"/>
  <c r="AN24" i="2"/>
  <c r="AN17" i="2"/>
  <c r="AN167" i="2"/>
  <c r="AN175" i="2"/>
  <c r="AN28" i="2"/>
  <c r="AN152" i="2"/>
  <c r="AN48" i="2"/>
  <c r="AN182" i="2"/>
  <c r="AN199" i="2"/>
  <c r="AN124" i="2"/>
  <c r="AN134" i="2"/>
  <c r="AN75" i="2"/>
  <c r="AN109" i="2"/>
  <c r="AN31" i="2"/>
  <c r="AN129" i="2"/>
  <c r="AN103" i="2"/>
  <c r="AN106" i="2"/>
  <c r="AN107" i="2"/>
  <c r="AN76" i="2"/>
  <c r="AN164" i="2"/>
  <c r="AN168" i="2"/>
  <c r="AN8" i="2"/>
  <c r="AN188" i="2"/>
  <c r="AN131" i="2"/>
  <c r="AN178" i="2"/>
  <c r="AN13" i="2"/>
  <c r="AN113" i="2"/>
  <c r="AN93" i="2"/>
  <c r="AN67" i="2"/>
  <c r="AN101" i="2"/>
  <c r="AN34" i="2"/>
  <c r="AN162" i="2"/>
  <c r="AN104" i="2"/>
  <c r="AN137" i="2"/>
  <c r="AN145" i="2"/>
  <c r="AN37" i="2"/>
  <c r="AN146" i="2"/>
  <c r="AN102" i="2"/>
  <c r="AN99" i="2"/>
  <c r="AN202" i="2"/>
  <c r="AN147" i="2"/>
  <c r="AN39" i="2"/>
  <c r="AN26" i="2"/>
  <c r="AN108" i="2"/>
  <c r="AN62" i="2"/>
  <c r="AN65" i="2"/>
  <c r="AN32" i="2"/>
  <c r="AN36" i="2"/>
  <c r="AN194" i="2"/>
  <c r="AN111" i="2"/>
  <c r="AN21" i="2"/>
  <c r="AN122" i="2"/>
  <c r="AN60" i="2"/>
  <c r="AN169" i="2"/>
  <c r="AN11" i="2"/>
  <c r="AN189" i="2"/>
  <c r="AN44" i="2"/>
  <c r="AN15" i="2"/>
  <c r="AN161" i="2"/>
  <c r="AN85" i="2"/>
  <c r="AN88" i="2"/>
  <c r="AN179" i="2"/>
  <c r="AN114" i="2"/>
  <c r="AN123" i="2"/>
  <c r="AN16" i="2"/>
  <c r="AN174" i="2"/>
  <c r="AN23" i="2"/>
  <c r="AN64" i="2"/>
  <c r="AN126" i="2"/>
  <c r="AN80" i="2"/>
  <c r="AN201" i="2"/>
  <c r="AN180" i="2"/>
  <c r="AN198" i="2"/>
  <c r="AN140" i="2"/>
  <c r="AN141" i="2"/>
  <c r="AN38" i="2"/>
  <c r="AN156" i="2"/>
  <c r="AN163" i="2"/>
  <c r="AN59" i="2"/>
  <c r="AN50" i="2"/>
  <c r="AN200" i="2"/>
  <c r="AN149" i="2"/>
  <c r="AN138" i="2"/>
  <c r="AN181" i="2"/>
  <c r="AN144" i="2"/>
  <c r="AN130" i="2"/>
  <c r="AN33" i="2"/>
  <c r="AN132" i="2"/>
  <c r="AN153" i="2"/>
  <c r="AN151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3" i="2"/>
  <c r="C8" i="4" s="1"/>
  <c r="E8" i="4" s="1"/>
  <c r="F8" i="4" s="1"/>
  <c r="G8" i="4" s="1"/>
  <c r="L8" i="4" s="1"/>
  <c r="BI84" i="2"/>
  <c r="BI115" i="2"/>
  <c r="BI152" i="2"/>
  <c r="BI169" i="2"/>
  <c r="BI30" i="2"/>
  <c r="BI116" i="2"/>
  <c r="BI161" i="2"/>
  <c r="BI146" i="2"/>
  <c r="BI59" i="2"/>
  <c r="BI10" i="2"/>
  <c r="BI24" i="2"/>
  <c r="BI180" i="2"/>
  <c r="BI201" i="2"/>
  <c r="BI174" i="2"/>
  <c r="BI8" i="2"/>
  <c r="BI108" i="2"/>
  <c r="BI167" i="2"/>
  <c r="BI143" i="2"/>
  <c r="BI62" i="2"/>
  <c r="BI23" i="2"/>
  <c r="BI109" i="2"/>
  <c r="BI4" i="2"/>
  <c r="BI52" i="2"/>
  <c r="BI99" i="2"/>
  <c r="BI13" i="2"/>
  <c r="BI124" i="2"/>
  <c r="BI98" i="2"/>
  <c r="BI133" i="2"/>
  <c r="BI85" i="2"/>
  <c r="BI66" i="2"/>
  <c r="BI168" i="2"/>
  <c r="BI88" i="2"/>
  <c r="BI61" i="2"/>
  <c r="BI100" i="2"/>
  <c r="BI196" i="2"/>
  <c r="BI64" i="2"/>
  <c r="BI94" i="2"/>
  <c r="BI111" i="2"/>
  <c r="BI130" i="2"/>
  <c r="BI96" i="2"/>
  <c r="BI156" i="2"/>
  <c r="BI6" i="2"/>
  <c r="BI194" i="2"/>
  <c r="BI60" i="2"/>
  <c r="BI50" i="2"/>
  <c r="BI92" i="2"/>
  <c r="BI203" i="2"/>
  <c r="BI16" i="2"/>
  <c r="BI40" i="2"/>
  <c r="BI173" i="2"/>
  <c r="BI186" i="2"/>
  <c r="BI28" i="2"/>
  <c r="BI17" i="2"/>
  <c r="BI90" i="2"/>
  <c r="BI65" i="2"/>
  <c r="BI43" i="2"/>
  <c r="BI149" i="2"/>
  <c r="BI83" i="2"/>
  <c r="BI114" i="2"/>
  <c r="BI73" i="2"/>
  <c r="BI158" i="2"/>
  <c r="BI81" i="2"/>
  <c r="BI120" i="2"/>
  <c r="BI198" i="2"/>
  <c r="BI29" i="2"/>
  <c r="BI104" i="2"/>
  <c r="BI25" i="2"/>
  <c r="BI160" i="2"/>
  <c r="BI48" i="2"/>
  <c r="BI166" i="2"/>
  <c r="BI67" i="2"/>
  <c r="BI75" i="2"/>
  <c r="BI97" i="2"/>
  <c r="BI20" i="2"/>
  <c r="BI89" i="2"/>
  <c r="BI86" i="2"/>
  <c r="BI31" i="2"/>
  <c r="BI22" i="2"/>
  <c r="BI131" i="2"/>
  <c r="BI181" i="2"/>
  <c r="BI37" i="2"/>
  <c r="BI70" i="2"/>
  <c r="BI26" i="2"/>
  <c r="BI112" i="2"/>
  <c r="BI91" i="2"/>
  <c r="BI148" i="2"/>
  <c r="BI197" i="2"/>
  <c r="BI187" i="2"/>
  <c r="BI68" i="2"/>
  <c r="BI54" i="2"/>
  <c r="BI142" i="2"/>
  <c r="BI105" i="2"/>
  <c r="BI19" i="2"/>
  <c r="BI151" i="2"/>
  <c r="BI12" i="2"/>
  <c r="BI82" i="2"/>
  <c r="BI95" i="2"/>
  <c r="BI78" i="2"/>
  <c r="BI46" i="2"/>
  <c r="BI122" i="2"/>
  <c r="BI72" i="2"/>
  <c r="BI63" i="2"/>
  <c r="BI195" i="2"/>
  <c r="BI190" i="2"/>
  <c r="BI137" i="2"/>
  <c r="BI164" i="2"/>
  <c r="BI55" i="2"/>
  <c r="BI21" i="2"/>
  <c r="BI80" i="2"/>
  <c r="BI51" i="2"/>
  <c r="BI171" i="2"/>
  <c r="BI58" i="2"/>
  <c r="BI176" i="2"/>
  <c r="BI192" i="2"/>
  <c r="BI121" i="2"/>
  <c r="BI202" i="2"/>
  <c r="BI179" i="2"/>
  <c r="BI79" i="2"/>
  <c r="BI141" i="2"/>
  <c r="BI103" i="2"/>
  <c r="BI136" i="2"/>
  <c r="BI35" i="2"/>
  <c r="BI185" i="2"/>
  <c r="BI145" i="2"/>
  <c r="BI157" i="2"/>
  <c r="BI69" i="2"/>
  <c r="BI170" i="2"/>
  <c r="BI39" i="2"/>
  <c r="BI188" i="2"/>
  <c r="BI15" i="2"/>
  <c r="BI127" i="2"/>
  <c r="BI172" i="2"/>
  <c r="BI42" i="2"/>
  <c r="BI165" i="2"/>
  <c r="BI7" i="2"/>
  <c r="BI123" i="2"/>
  <c r="BI41" i="2"/>
  <c r="BI53" i="2"/>
  <c r="BI38" i="2"/>
  <c r="BI153" i="2"/>
  <c r="BI126" i="2"/>
  <c r="BI56" i="2"/>
  <c r="BI118" i="2"/>
  <c r="BI74" i="2"/>
  <c r="BI163" i="2"/>
  <c r="BI135" i="2"/>
  <c r="BI101" i="2"/>
  <c r="BI189" i="2"/>
  <c r="BI34" i="2"/>
  <c r="BI177" i="2"/>
  <c r="BI106" i="2"/>
  <c r="BI175" i="2"/>
  <c r="BI147" i="2"/>
  <c r="BI155" i="2"/>
  <c r="BI102" i="2"/>
  <c r="BI49" i="2"/>
  <c r="BI110" i="2"/>
  <c r="BI184" i="2"/>
  <c r="BI154" i="2"/>
  <c r="BI138" i="2"/>
  <c r="BI200" i="2"/>
  <c r="BI76" i="2"/>
  <c r="BI18" i="2"/>
  <c r="BI199" i="2"/>
  <c r="BI9" i="2"/>
  <c r="BI182" i="2"/>
  <c r="BI139" i="2"/>
  <c r="BI144" i="2"/>
  <c r="BI129" i="2"/>
  <c r="BI113" i="2"/>
  <c r="BI33" i="2"/>
  <c r="BI128" i="2"/>
  <c r="BI150" i="2"/>
  <c r="BI159" i="2"/>
  <c r="BI162" i="2"/>
  <c r="BI27" i="2"/>
  <c r="BI36" i="2"/>
  <c r="BI57" i="2"/>
  <c r="BI32" i="2"/>
  <c r="BI5" i="2"/>
  <c r="BI93" i="2"/>
  <c r="BI132" i="2"/>
  <c r="BI71" i="2"/>
  <c r="BI44" i="2"/>
  <c r="BI45" i="2"/>
  <c r="BI117" i="2"/>
  <c r="BI107" i="2"/>
  <c r="BI119" i="2"/>
  <c r="BI11" i="2"/>
  <c r="BI178" i="2"/>
  <c r="BI87" i="2"/>
  <c r="BI134" i="2"/>
  <c r="BI183" i="2"/>
  <c r="BI125" i="2"/>
  <c r="BI191" i="2"/>
  <c r="BI140" i="2"/>
  <c r="BI14" i="2"/>
  <c r="BI77" i="2"/>
  <c r="BI193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<sst xmlns="http://schemas.openxmlformats.org/spreadsheetml/2006/main" count="1177" uniqueCount="328">
  <si>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</si>
  <si>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</si>
  <si>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</si>
  <si>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</si>
  <si>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</si>
  <si>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</si>
  <si>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</si>
  <si>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</si>
  <si>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</si>
  <si>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</si>
  <si>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</si>
  <si>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</si>
  <si>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</si>
  <si>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</si>
  <si>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</si>
  <si>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</si>
  <si>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</si>
  <si>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</si>
  <si>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</si>
  <si>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</si>
  <si>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</si>
  <si>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</si>
  <si>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</si>
  <si>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</si>
  <si>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</si>
  <si>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</si>
  <si>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</si>
  <si>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</si>
  <si>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</si>
  <si>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</si>
  <si>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</si>
  <si>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</si>
  <si>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</si>
  <si>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</si>
  <si>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</si>
  <si>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</si>
  <si>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</si>
  <si>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</si>
  <si>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</si>
  <si>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</si>
  <si>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</si>
  <si>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</si>
  <si>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</si>
  <si>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</si>
  <si>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</si>
  <si>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</si>
  <si>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</si>
  <si>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</si>
  <si>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</si>
  <si>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</si>
  <si>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</si>
  <si>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</si>
  <si>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</si>
  <si>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</si>
  <si>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</si>
  <si>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</si>
  <si>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</si>
  <si>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</si>
  <si>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</si>
  <si>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</si>
  <si>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</si>
  <si>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</si>
  <si>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</si>
  <si>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</si>
  <si>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</si>
  <si>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</si>
  <si>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</si>
  <si>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</si>
  <si>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</si>
  <si>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</si>
  <si>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</si>
  <si>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</si>
  <si>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</si>
  <si>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</si>
  <si>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</si>
  <si>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</si>
  <si>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</si>
  <si>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</si>
  <si>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</si>
  <si>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</si>
  <si>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</si>
  <si>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</si>
  <si>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</si>
  <si>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</si>
  <si>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</si>
  <si>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</si>
  <si>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</si>
  <si>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</si>
  <si>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</si>
  <si>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</si>
  <si>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</si>
  <si>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</si>
  <si>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</si>
  <si>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</si>
  <si>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</si>
  <si>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</si>
  <si>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</si>
  <si>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</si>
  <si>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</si>
  <si>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</si>
  <si>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</si>
  <si>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</si>
  <si>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</si>
  <si>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</si>
  <si>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</si>
  <si>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</si>
  <si>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</si>
  <si>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</si>
  <si>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</si>
  <si>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</si>
  <si>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</si>
  <si>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</si>
  <si>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</si>
  <si>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</si>
  <si>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</si>
  <si>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</si>
  <si>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</si>
  <si>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</si>
  <si>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</si>
  <si>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</si>
  <si>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</si>
  <si>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</si>
  <si>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</si>
  <si>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</si>
  <si>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</si>
  <si>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</si>
  <si>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</si>
  <si>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</si>
  <si>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</si>
  <si>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</si>
  <si>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</si>
  <si>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</si>
  <si>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</si>
  <si>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</si>
  <si>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</si>
  <si>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</si>
  <si>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</si>
  <si>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</si>
  <si>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</si>
  <si>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</si>
  <si>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</si>
  <si>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</si>
  <si>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</si>
  <si>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</si>
  <si>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</si>
  <si>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</si>
  <si>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</si>
  <si>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</si>
  <si>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</si>
  <si>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</si>
  <si>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</si>
  <si>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</si>
  <si>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</si>
  <si>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</si>
  <si>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</si>
  <si>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</si>
  <si>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</si>
  <si>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</si>
  <si>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</si>
  <si>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</si>
  <si>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</si>
  <si>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</si>
  <si>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</si>
  <si>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</si>
  <si>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</si>
  <si>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</si>
  <si>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</si>
  <si>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</si>
  <si>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</si>
  <si>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</si>
  <si>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</si>
  <si>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</si>
  <si>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</si>
  <si>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</si>
  <si>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</si>
  <si>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</si>
  <si>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</si>
  <si>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</si>
  <si>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</si>
  <si>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</si>
  <si>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</si>
  <si>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</si>
  <si>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</si>
  <si>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</si>
  <si>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</si>
  <si>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</si>
  <si>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</si>
  <si>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</si>
  <si>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</si>
  <si>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</si>
  <si>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</si>
  <si>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</si>
  <si>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</si>
  <si>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</si>
  <si>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</si>
  <si>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</si>
  <si>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</si>
  <si>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</si>
  <si>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</si>
  <si>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</si>
  <si>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</si>
  <si>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</si>
  <si>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</si>
  <si>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</si>
  <si>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</si>
  <si>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</si>
  <si>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</si>
  <si>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</si>
  <si>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</si>
  <si>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</si>
  <si>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</si>
  <si>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</si>
  <si>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</si>
  <si>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</si>
  <si>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</si>
  <si>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</si>
  <si>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</si>
  <si>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</si>
  <si>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</si>
  <si>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</si>
  <si>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</si>
  <si>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</si>
  <si>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</si>
  <si>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</si>
  <si>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</si>
  <si>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</si>
  <si>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</si>
  <si>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</si>
  <si>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</si>
  <si>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</si>
  <si>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</si>
  <si>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</si>
  <si>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</si>
  <si>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</si>
  <si>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</si>
  <si>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</si>
  <si>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</si>
  <si>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</si>
  <si>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</si>
  <si>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</si>
  <si>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</si>
  <si>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</si>
  <si>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</si>
  <si>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</si>
  <si>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</si>
  <si>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</si>
  <si>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</si>
  <si>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</si>
  <si>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</si>
  <si>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</si>
  <si>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</si>
  <si>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</si>
  <si>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</si>
  <si>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</si>
  <si>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</si>
  <si>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</si>
  <si>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</si>
  <si>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</si>
  <si>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</si>
  <si>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</si>
  <si>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</si>
  <si>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</si>
  <si>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</si>
  <si>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</si>
  <si>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</si>
  <si>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</si>
  <si>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</si>
  <si>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</si>
  <si>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</si>
  <si>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</si>
  <si>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</si>
  <si>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</si>
  <si>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</si>
  <si>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</si>
  <si>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</si>
  <si>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</si>
  <si>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</si>
  <si>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</si>
  <si>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</si>
  <si>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</si>
  <si>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</si>
  <si>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</si>
  <si>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</si>
  <si>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</si>
  <si>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</si>
  <si>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</si>
  <si>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</si>
  <si>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</si>
  <si>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</si>
  <si>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</si>
  <si>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</si>
  <si>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</si>
  <si>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</si>
  <si>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</si>
  <si>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</si>
  <si>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</si>
  <si>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</si>
  <si>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</si>
  <si>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</si>
  <si>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</si>
  <si>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</si>
  <si>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</si>
  <si>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</si>
  <si>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</si>
  <si>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</si>
  <si>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</si>
  <si>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</si>
  <si>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</si>
  <si>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</si>
  <si>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</si>
  <si>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</si>
  <si>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</si>
  <si>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</si>
  <si>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</si>
  <si>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</si>
  <si>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</si>
  <si>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</si>
  <si>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</si>
  <si>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</si>
  <si>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</si>
  <si>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</si>
  <si>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</si>
  <si>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</si>
  <si>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</si>
  <si>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J.J JANSEN_F6</t>
  </si>
  <si>
    <t>ONF_CHS_F2</t>
  </si>
  <si>
    <t>ONF_CHS_F3</t>
  </si>
  <si>
    <t>ONF_CHP_F2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</si>
</sst>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8" fontId="0" fillId="0" borderId="0" xfId="0" applyNumberFormat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3.3607023068976729</c:v>
                </c:pt>
                <c:pt idx="2">
                  <c:v>4.2547221455608728</c:v>
                </c:pt>
                <c:pt idx="3">
                  <c:v>5.3874913175360541</c:v>
                </c:pt>
                <c:pt idx="4">
                  <c:v>6.822999493748207</c:v>
                </c:pt>
                <c:pt idx="5">
                  <c:v>8.6424447671064257</c:v>
                </c:pt>
                <c:pt idx="6">
                  <c:v>10.948875863598902</c:v>
                </c:pt>
                <c:pt idx="7">
                  <c:v>13.873090242281457</c:v>
                </c:pt>
                <c:pt idx="8">
                  <c:v>17.581128737253849</c:v>
                </c:pt>
                <c:pt idx="9">
                  <c:v>22.283800014650385</c:v>
                </c:pt>
                <c:pt idx="10">
                  <c:v>28.248785974087401</c:v>
                </c:pt>
                <c:pt idx="11">
                  <c:v>37.044761351668747</c:v>
                </c:pt>
                <c:pt idx="12">
                  <c:v>45.783421279666953</c:v>
                </c:pt>
                <c:pt idx="13">
                  <c:v>54.477343172934816</c:v>
                </c:pt>
                <c:pt idx="14">
                  <c:v>63.134713140647797</c:v>
                </c:pt>
                <c:pt idx="15">
                  <c:v>71.761269961795847</c:v>
                </c:pt>
                <c:pt idx="16">
                  <c:v>83.617060344493396</c:v>
                </c:pt>
                <c:pt idx="17">
                  <c:v>95.430378362145419</c:v>
                </c:pt>
                <c:pt idx="18">
                  <c:v>107.20723543568683</c:v>
                </c:pt>
                <c:pt idx="19">
                  <c:v>118.9522086529156</c:v>
                </c:pt>
                <c:pt idx="20">
                  <c:v>130.66889437805216</c:v>
                </c:pt>
                <c:pt idx="21">
                  <c:v>99.850701125907904</c:v>
                </c:pt>
                <c:pt idx="22">
                  <c:v>111.61512570313761</c:v>
                </c:pt>
                <c:pt idx="23">
                  <c:v>123.3491121177467</c:v>
                </c:pt>
                <c:pt idx="24">
                  <c:v>135.05596788582679</c:v>
                </c:pt>
                <c:pt idx="25">
                  <c:v>146.73837885160424</c:v>
                </c:pt>
                <c:pt idx="26">
                  <c:v>130.66889437805222</c:v>
                </c:pt>
                <c:pt idx="27">
                  <c:v>142.36018960459288</c:v>
                </c:pt>
                <c:pt idx="28">
                  <c:v>154.02847557165751</c:v>
                </c:pt>
                <c:pt idx="29">
                  <c:v>165.67574259607389</c:v>
                </c:pt>
                <c:pt idx="30">
                  <c:v>177.30367784131445</c:v>
                </c:pt>
                <c:pt idx="31">
                  <c:v>158.68980415698181</c:v>
                </c:pt>
                <c:pt idx="32">
                  <c:v>169.16608298395553</c:v>
                </c:pt>
                <c:pt idx="33">
                  <c:v>179.62707610009167</c:v>
                </c:pt>
                <c:pt idx="34">
                  <c:v>190.07380002073512</c:v>
                </c:pt>
                <c:pt idx="35">
                  <c:v>200.50715025518218</c:v>
                </c:pt>
                <c:pt idx="36">
                  <c:v>181.65947157363226</c:v>
                </c:pt>
                <c:pt idx="37">
                  <c:v>191.81359784117478</c:v>
                </c:pt>
                <c:pt idx="38">
                  <c:v>201.95521485937351</c:v>
                </c:pt>
                <c:pt idx="39">
                  <c:v>212.08503993201165</c:v>
                </c:pt>
                <c:pt idx="40">
                  <c:v>222.20371616988226</c:v>
                </c:pt>
                <c:pt idx="41">
                  <c:v>202.53437324255785</c:v>
                </c:pt>
                <c:pt idx="42">
                  <c:v>211.79577397903063</c:v>
                </c:pt>
                <c:pt idx="43">
                  <c:v>221.04784133997921</c:v>
                </c:pt>
                <c:pt idx="44">
                  <c:v>230.2910214517143</c:v>
                </c:pt>
                <c:pt idx="45">
                  <c:v>239.52572166460229</c:v>
                </c:pt>
                <c:pt idx="46">
                  <c:v>220.75885097534115</c:v>
                </c:pt>
                <c:pt idx="47">
                  <c:v>229.42483959070205</c:v>
                </c:pt>
                <c:pt idx="48">
                  <c:v>238.08334323928753</c:v>
                </c:pt>
                <c:pt idx="49">
                  <c:v>246.73467280489569</c:v>
                </c:pt>
                <c:pt idx="50">
                  <c:v>255.37911556611792</c:v>
                </c:pt>
                <c:pt idx="51">
                  <c:v>236.9292971220211</c:v>
                </c:pt>
                <c:pt idx="52">
                  <c:v>244.42833642786528</c:v>
                </c:pt>
                <c:pt idx="53">
                  <c:v>251.9221473953688</c:v>
                </c:pt>
                <c:pt idx="54">
                  <c:v>259.41090767814842</c:v>
                </c:pt>
                <c:pt idx="55">
                  <c:v>266.89478382272017</c:v>
                </c:pt>
                <c:pt idx="56">
                  <c:v>249.61690536823653</c:v>
                </c:pt>
                <c:pt idx="57">
                  <c:v>256.81920545571325</c:v>
                </c:pt>
                <c:pt idx="58">
                  <c:v>264.01693774461648</c:v>
                </c:pt>
                <c:pt idx="59">
                  <c:v>271.21024448496547</c:v>
                </c:pt>
                <c:pt idx="60">
                  <c:v>278.39925975574312</c:v>
                </c:pt>
                <c:pt idx="61">
                  <c:v>261.71415155067552</c:v>
                </c:pt>
                <c:pt idx="62">
                  <c:v>268.04572597702128</c:v>
                </c:pt>
                <c:pt idx="63">
                  <c:v>274.37393226183292</c:v>
                </c:pt>
                <c:pt idx="64">
                  <c:v>280.69885915498259</c:v>
                </c:pt>
                <c:pt idx="65">
                  <c:v>287.02059107494546</c:v>
                </c:pt>
                <c:pt idx="66">
                  <c:v>271.49788662587986</c:v>
                </c:pt>
                <c:pt idx="67">
                  <c:v>277.53680025840237</c:v>
                </c:pt>
                <c:pt idx="68">
                  <c:v>283.5727648129357</c:v>
                </c:pt>
                <c:pt idx="69">
                  <c:v>289.60585200572694</c:v>
                </c:pt>
                <c:pt idx="70">
                  <c:v>295.63613031709252</c:v>
                </c:pt>
                <c:pt idx="71">
                  <c:v>280.41143241335362</c:v>
                </c:pt>
                <c:pt idx="72">
                  <c:v>285.29679456567902</c:v>
                </c:pt>
                <c:pt idx="73">
                  <c:v>290.18028419185146</c:v>
                </c:pt>
                <c:pt idx="74">
                  <c:v>295.06193730222367</c:v>
                </c:pt>
                <c:pt idx="75">
                  <c:v>299.94178861650352</c:v>
                </c:pt>
                <c:pt idx="76">
                  <c:v>287.30786792948942</c:v>
                </c:pt>
                <c:pt idx="77">
                  <c:v>291.90342847509879</c:v>
                </c:pt>
                <c:pt idx="78">
                  <c:v>296.49737320370468</c:v>
                </c:pt>
                <c:pt idx="79">
                  <c:v>301.08973072459509</c:v>
                </c:pt>
                <c:pt idx="80">
                  <c:v>305.68052870172897</c:v>
                </c:pt>
                <c:pt idx="81">
                  <c:v>293.91347640596678</c:v>
                </c:pt>
                <c:pt idx="82">
                  <c:v>297.93265411137128</c:v>
                </c:pt>
                <c:pt idx="83">
                  <c:v>301.95062331967574</c:v>
                </c:pt>
                <c:pt idx="84">
                  <c:v>305.96740240919087</c:v>
                </c:pt>
                <c:pt idx="85">
                  <c:v>309.98300923549431</c:v>
                </c:pt>
                <c:pt idx="86">
                  <c:v>299.65478781030816</c:v>
                </c:pt>
                <c:pt idx="87">
                  <c:v>303.67224474828663</c:v>
                </c:pt>
                <c:pt idx="88">
                  <c:v>307.68851928258727</c:v>
                </c:pt>
                <c:pt idx="89">
                  <c:v>311.70362905144191</c:v>
                </c:pt>
                <c:pt idx="90">
                  <c:v>315.71759120085159</c:v>
                </c:pt>
                <c:pt idx="91">
                  <c:v>305.39364900712383</c:v>
                </c:pt>
                <c:pt idx="92">
                  <c:v>309.4094222256216</c:v>
                </c:pt>
                <c:pt idx="93">
                  <c:v>313.42403808604359</c:v>
                </c:pt>
                <c:pt idx="94">
                  <c:v>317.43751352960925</c:v>
                </c:pt>
                <c:pt idx="95">
                  <c:v>321.44986503349952</c:v>
                </c:pt>
                <c:pt idx="96">
                  <c:v>309.98300923549442</c:v>
                </c:pt>
                <c:pt idx="97">
                  <c:v>314.2841639743362</c:v>
                </c:pt>
                <c:pt idx="98">
                  <c:v>318.58401365201161</c:v>
                </c:pt>
                <c:pt idx="99">
                  <c:v>322.88257839605905</c:v>
                </c:pt>
                <c:pt idx="100">
                  <c:v>327.17987775354362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11.21936353999692</c:v>
                </c:pt>
                <c:pt idx="2">
                  <c:v>21.954916875530131</c:v>
                </c:pt>
                <c:pt idx="3">
                  <c:v>32.534223800774619</c:v>
                </c:pt>
                <c:pt idx="4">
                  <c:v>43.017216803264176</c:v>
                </c:pt>
                <c:pt idx="5">
                  <c:v>53.43105925106601</c:v>
                </c:pt>
                <c:pt idx="6">
                  <c:v>63.791246263427929</c:v>
                </c:pt>
                <c:pt idx="7">
                  <c:v>74.107766944601494</c:v>
                </c:pt>
                <c:pt idx="8">
                  <c:v>84.387579100067484</c:v>
                </c:pt>
                <c:pt idx="9">
                  <c:v>94.635796805364691</c:v>
                </c:pt>
                <c:pt idx="10">
                  <c:v>104.85633100415481</c:v>
                </c:pt>
                <c:pt idx="11">
                  <c:v>115.05226518819575</c:v>
                </c:pt>
                <c:pt idx="12">
                  <c:v>125.22609005820887</c:v>
                </c:pt>
                <c:pt idx="13">
                  <c:v>135.37985752641779</c:v>
                </c:pt>
                <c:pt idx="14">
                  <c:v>145.51528589365526</c:v>
                </c:pt>
                <c:pt idx="15">
                  <c:v>155.63383407963096</c:v>
                </c:pt>
                <c:pt idx="16">
                  <c:v>165.73675547638342</c:v>
                </c:pt>
                <c:pt idx="17">
                  <c:v>175.82513794670311</c:v>
                </c:pt>
                <c:pt idx="18">
                  <c:v>185.89993413962137</c:v>
                </c:pt>
                <c:pt idx="19">
                  <c:v>195.9619848759867</c:v>
                </c:pt>
                <c:pt idx="20">
                  <c:v>206.01203747031221</c:v>
                </c:pt>
                <c:pt idx="21">
                  <c:v>216.0507602841175</c:v>
                </c:pt>
                <c:pt idx="22">
                  <c:v>226.07875442866418</c:v>
                </c:pt>
                <c:pt idx="23">
                  <c:v>236.09656327977396</c:v>
                </c:pt>
                <c:pt idx="24">
                  <c:v>246.10468029120352</c:v>
                </c:pt>
                <c:pt idx="25">
                  <c:v>256.10355546909562</c:v>
                </c:pt>
                <c:pt idx="26">
                  <c:v>266.09360078135933</c:v>
                </c:pt>
                <c:pt idx="27">
                  <c:v>276.07519471142831</c:v>
                </c:pt>
                <c:pt idx="28">
                  <c:v>286.04868611842517</c:v>
                </c:pt>
                <c:pt idx="29">
                  <c:v>296.01439753037624</c:v>
                </c:pt>
                <c:pt idx="30">
                  <c:v>305.97262797042794</c:v>
                </c:pt>
                <c:pt idx="31">
                  <c:v>315.92365539564975</c:v>
                </c:pt>
                <c:pt idx="32">
                  <c:v>325.86773881231227</c:v>
                </c:pt>
                <c:pt idx="33">
                  <c:v>335.80512011932797</c:v>
                </c:pt>
                <c:pt idx="34">
                  <c:v>345.7360257219666</c:v>
                </c:pt>
                <c:pt idx="35">
                  <c:v>355.66066795038699</c:v>
                </c:pt>
                <c:pt idx="36">
                  <c:v>365.5792463114937</c:v>
                </c:pt>
                <c:pt idx="37">
                  <c:v>375.49194859778851</c:v>
                </c:pt>
                <c:pt idx="38">
                  <c:v>385.39895187297543</c:v>
                </c:pt>
                <c:pt idx="39">
                  <c:v>395.3004233508982</c:v>
                </c:pt>
                <c:pt idx="40">
                  <c:v>405.19652118179442</c:v>
                </c:pt>
                <c:pt idx="41">
                  <c:v>415.08739515771134</c:v>
                </c:pt>
                <c:pt idx="42">
                  <c:v>424.97318734716208</c:v>
                </c:pt>
                <c:pt idx="43">
                  <c:v>434.85403266763655</c:v>
                </c:pt>
                <c:pt idx="44">
                  <c:v>444.73005940335389</c:v>
                </c:pt>
                <c:pt idx="45">
                  <c:v>299.89205652717806</c:v>
                </c:pt>
                <c:pt idx="46">
                  <c:v>320.89876739425608</c:v>
                </c:pt>
                <c:pt idx="47">
                  <c:v>341.87506328037369</c:v>
                </c:pt>
                <c:pt idx="48">
                  <c:v>362.82307182574874</c:v>
                </c:pt>
                <c:pt idx="49">
                  <c:v>383.74465500857906</c:v>
                </c:pt>
                <c:pt idx="50">
                  <c:v>404.64145529089478</c:v>
                </c:pt>
                <c:pt idx="51">
                  <c:v>425.51493173134213</c:v>
                </c:pt>
                <c:pt idx="52">
                  <c:v>339.93142553591974</c:v>
                </c:pt>
                <c:pt idx="53">
                  <c:v>359.74100068197072</c:v>
                </c:pt>
                <c:pt idx="54">
                  <c:v>379.5267219560107</c:v>
                </c:pt>
                <c:pt idx="55">
                  <c:v>399.29000722161567</c:v>
                </c:pt>
                <c:pt idx="56">
                  <c:v>419.03212259053709</c:v>
                </c:pt>
                <c:pt idx="57">
                  <c:v>438.75420519575647</c:v>
                </c:pt>
                <c:pt idx="58">
                  <c:v>458.45728165638326</c:v>
                </c:pt>
                <c:pt idx="59">
                  <c:v>478.14228320317744</c:v>
                </c:pt>
                <c:pt idx="60">
                  <c:v>382.93733134543209</c:v>
                </c:pt>
                <c:pt idx="61">
                  <c:v>401.43185050388144</c:v>
                </c:pt>
                <c:pt idx="62">
                  <c:v>419.90793923037648</c:v>
                </c:pt>
                <c:pt idx="63">
                  <c:v>438.36652219454209</c:v>
                </c:pt>
                <c:pt idx="64">
                  <c:v>456.80843987795924</c:v>
                </c:pt>
                <c:pt idx="65">
                  <c:v>475.23445939829816</c:v>
                </c:pt>
                <c:pt idx="66">
                  <c:v>493.64528356761986</c:v>
                </c:pt>
                <c:pt idx="67">
                  <c:v>512.04155852933161</c:v>
                </c:pt>
                <c:pt idx="68">
                  <c:v>434.79626121235066</c:v>
                </c:pt>
                <c:pt idx="69">
                  <c:v>452.55529237549763</c:v>
                </c:pt>
                <c:pt idx="70">
                  <c:v>470.29942839897154</c:v>
                </c:pt>
                <c:pt idx="71">
                  <c:v>488.02931008367153</c:v>
                </c:pt>
                <c:pt idx="72">
                  <c:v>505.74552789757109</c:v>
                </c:pt>
                <c:pt idx="73">
                  <c:v>523.44862759004468</c:v>
                </c:pt>
                <c:pt idx="74">
                  <c:v>541.13911500743507</c:v>
                </c:pt>
                <c:pt idx="75">
                  <c:v>558.81746024641382</c:v>
                </c:pt>
                <c:pt idx="76">
                  <c:v>483.12693289260943</c:v>
                </c:pt>
                <c:pt idx="77">
                  <c:v>500.35587855423017</c:v>
                </c:pt>
                <c:pt idx="78">
                  <c:v>517.57227062709774</c:v>
                </c:pt>
                <c:pt idx="79">
                  <c:v>534.77658524907031</c:v>
                </c:pt>
                <c:pt idx="80">
                  <c:v>551.96926544188204</c:v>
                </c:pt>
                <c:pt idx="81">
                  <c:v>569.15072439533094</c:v>
                </c:pt>
                <c:pt idx="82">
                  <c:v>586.32134833446219</c:v>
                </c:pt>
                <c:pt idx="83">
                  <c:v>603.48149903359752</c:v>
                </c:pt>
                <c:pt idx="84">
                  <c:v>620.63151602971357</c:v>
                </c:pt>
                <c:pt idx="85">
                  <c:v>530.746538186978</c:v>
                </c:pt>
                <c:pt idx="86">
                  <c:v>547.2511674427509</c:v>
                </c:pt>
                <c:pt idx="87">
                  <c:v>563.74535740562453</c:v>
                </c:pt>
                <c:pt idx="88">
                  <c:v>580.22945634457619</c:v>
                </c:pt>
                <c:pt idx="89">
                  <c:v>596.70379113882188</c:v>
                </c:pt>
                <c:pt idx="90">
                  <c:v>613.16866915792525</c:v>
                </c:pt>
                <c:pt idx="91">
                  <c:v>629.62437992958405</c:v>
                </c:pt>
                <c:pt idx="92">
                  <c:v>646.07119662410435</c:v>
                </c:pt>
                <c:pt idx="93">
                  <c:v>662.5093773799565</c:v>
                </c:pt>
                <c:pt idx="94">
                  <c:v>587.29055314987238</c:v>
                </c:pt>
                <c:pt idx="95">
                  <c:v>603.82141240441149</c:v>
                </c:pt>
                <c:pt idx="96">
                  <c:v>620.34287329662993</c:v>
                </c:pt>
                <c:pt idx="97">
                  <c:v>636.85522121156635</c:v>
                </c:pt>
                <c:pt idx="98">
                  <c:v>653.35872553937293</c:v>
                </c:pt>
                <c:pt idx="99">
                  <c:v>669.85364096143076</c:v>
                </c:pt>
                <c:pt idx="100">
                  <c:v>686.34020860329326</c:v>
                </c:pt>
                <c:pt idx="101">
                  <c:v>702.81865707117277</c:v>
                </c:pt>
                <c:pt idx="102">
                  <c:v>719.28920338624596</c:v>
                </c:pt>
                <c:pt idx="103">
                  <c:v>735.75205382900504</c:v>
                </c:pt>
                <c:pt idx="104">
                  <c:v>630.59975276639818</c:v>
                </c:pt>
                <c:pt idx="105">
                  <c:v>646.65369141267468</c:v>
                </c:pt>
                <c:pt idx="106">
                  <c:v>662.69940988096016</c:v>
                </c:pt>
                <c:pt idx="107">
                  <c:v>678.73713509426807</c:v>
                </c:pt>
                <c:pt idx="108">
                  <c:v>694.76708238556512</c:v>
                </c:pt>
                <c:pt idx="109">
                  <c:v>710.78945634896718</c:v>
                </c:pt>
                <c:pt idx="110">
                  <c:v>726.8044516102542</c:v>
                </c:pt>
                <c:pt idx="111">
                  <c:v>742.8122535260004</c:v>
                </c:pt>
                <c:pt idx="112">
                  <c:v>758.81303881935548</c:v>
                </c:pt>
                <c:pt idx="113">
                  <c:v>774.80697615946235</c:v>
                </c:pt>
                <c:pt idx="114">
                  <c:v>694.24801931553395</c:v>
                </c:pt>
                <c:pt idx="115">
                  <c:v>710.99271831103772</c:v>
                </c:pt>
                <c:pt idx="116">
                  <c:v>727.72936093843055</c:v>
                </c:pt>
                <c:pt idx="117">
                  <c:v>744.45815841661818</c:v>
                </c:pt>
                <c:pt idx="118">
                  <c:v>761.17931170659324</c:v>
                </c:pt>
                <c:pt idx="119">
                  <c:v>777.89301222860593</c:v>
                </c:pt>
                <c:pt idx="120">
                  <c:v>794.59944251455056</c:v>
                </c:pt>
                <c:pt idx="121">
                  <c:v>811.29877680269283</c:v>
                </c:pt>
                <c:pt idx="122">
                  <c:v>827.99118158093313</c:v>
                </c:pt>
                <c:pt idx="123">
                  <c:v>844.67681608402984</c:v>
                </c:pt>
                <c:pt idx="124">
                  <c:v>861.35583274953603</c:v>
                </c:pt>
                <c:pt idx="125">
                  <c:v>878.02837763662365</c:v>
                </c:pt>
                <c:pt idx="126">
                  <c:v>745.73265426642558</c:v>
                </c:pt>
                <c:pt idx="127">
                  <c:v>762.31129404784781</c:v>
                </c:pt>
                <c:pt idx="128">
                  <c:v>778.88261951557251</c:v>
                </c:pt>
                <c:pt idx="129">
                  <c:v>795.44680806037604</c:v>
                </c:pt>
                <c:pt idx="130">
                  <c:v>812.00402909008051</c:v>
                </c:pt>
                <c:pt idx="131">
                  <c:v>828.55444454756787</c:v>
                </c:pt>
                <c:pt idx="132">
                  <c:v>845.09820938530208</c:v>
                </c:pt>
                <c:pt idx="133">
                  <c:v>861.63547200079586</c:v>
                </c:pt>
                <c:pt idx="134">
                  <c:v>878.16637463695145</c:v>
                </c:pt>
                <c:pt idx="135">
                  <c:v>894.69105375072013</c:v>
                </c:pt>
                <c:pt idx="136">
                  <c:v>911.20964035314239</c:v>
                </c:pt>
                <c:pt idx="137">
                  <c:v>927.72226032348033</c:v>
                </c:pt>
                <c:pt idx="138">
                  <c:v>785.25593322278803</c:v>
                </c:pt>
                <c:pt idx="139">
                  <c:v>801.42394098378327</c:v>
                </c:pt>
                <c:pt idx="140">
                  <c:v>817.58536497363457</c:v>
                </c:pt>
                <c:pt idx="141">
                  <c:v>833.74035354133321</c:v>
                </c:pt>
                <c:pt idx="142">
                  <c:v>849.88904882402142</c:v>
                </c:pt>
                <c:pt idx="143">
                  <c:v>866.03158712259574</c:v>
                </c:pt>
                <c:pt idx="144">
                  <c:v>882.16809924788106</c:v>
                </c:pt>
                <c:pt idx="145">
                  <c:v>898.2987108401876</c:v>
                </c:pt>
                <c:pt idx="146">
                  <c:v>914.42354266474968</c:v>
                </c:pt>
                <c:pt idx="147">
                  <c:v>930.54271088526423</c:v>
                </c:pt>
                <c:pt idx="148">
                  <c:v>946.65632731751714</c:v>
                </c:pt>
                <c:pt idx="149">
                  <c:v>962.76449966486143</c:v>
                </c:pt>
                <c:pt idx="150">
                  <c:v>596.50942260650129</c:v>
                </c:pt>
                <c:pt idx="151">
                  <c:v>606.35637537581465</c:v>
                </c:pt>
                <c:pt idx="152">
                  <c:v>616.20000827229467</c:v>
                </c:pt>
                <c:pt idx="153">
                  <c:v>626.04038179910856</c:v>
                </c:pt>
                <c:pt idx="154">
                  <c:v>411.15068213018611</c:v>
                </c:pt>
                <c:pt idx="155">
                  <c:v>417.14022388803693</c:v>
                </c:pt>
                <c:pt idx="156">
                  <c:v>423.12791196327316</c:v>
                </c:pt>
                <c:pt idx="157">
                  <c:v>429.11377630993303</c:v>
                </c:pt>
                <c:pt idx="158">
                  <c:v>287.58871771868377</c:v>
                </c:pt>
                <c:pt idx="159">
                  <c:v>291.32167844108614</c:v>
                </c:pt>
                <c:pt idx="160">
                  <c:v>295.05357061160629</c:v>
                </c:pt>
                <c:pt idx="161">
                  <c:v>298.78440967759451</c:v>
                </c:pt>
                <c:pt idx="162">
                  <c:v>1.2708191092240986E-11</c:v>
                </c:pt>
                <c:pt idx="163">
                  <c:v>1.2708191092240986E-11</c:v>
                </c:pt>
                <c:pt idx="164">
                  <c:v>1.2708191092240986E-11</c:v>
                </c:pt>
                <c:pt idx="165">
                  <c:v>1.2708191092240986E-11</c:v>
                </c:pt>
                <c:pt idx="166">
                  <c:v>1.2708191092240986E-11</c:v>
                </c:pt>
                <c:pt idx="167">
                  <c:v>1.2708191092240986E-11</c:v>
                </c:pt>
                <c:pt idx="168">
                  <c:v>1.2708191092240986E-11</c:v>
                </c:pt>
                <c:pt idx="169">
                  <c:v>1.2708191092240986E-11</c:v>
                </c:pt>
                <c:pt idx="170">
                  <c:v>1.2708191092240986E-11</c:v>
                </c:pt>
                <c:pt idx="171">
                  <c:v>1.2708191092240986E-11</c:v>
                </c:pt>
                <c:pt idx="172">
                  <c:v>1.2708191092240986E-11</c:v>
                </c:pt>
                <c:pt idx="173">
                  <c:v>1.2708191092240986E-11</c:v>
                </c:pt>
                <c:pt idx="174">
                  <c:v>1.2708191092240986E-11</c:v>
                </c:pt>
                <c:pt idx="175">
                  <c:v>1.2708191092240986E-11</c:v>
                </c:pt>
                <c:pt idx="176">
                  <c:v>1.2708191092240986E-11</c:v>
                </c:pt>
                <c:pt idx="177">
                  <c:v>1.2708191092240986E-11</c:v>
                </c:pt>
                <c:pt idx="178">
                  <c:v>1.2708191092240986E-11</c:v>
                </c:pt>
                <c:pt idx="179">
                  <c:v>1.2708191092240986E-11</c:v>
                </c:pt>
                <c:pt idx="180">
                  <c:v>1.2708191092240986E-11</c:v>
                </c:pt>
                <c:pt idx="181">
                  <c:v>1.2708191092240986E-11</c:v>
                </c:pt>
                <c:pt idx="182">
                  <c:v>1.2708191092240986E-11</c:v>
                </c:pt>
                <c:pt idx="183">
                  <c:v>1.2708191092240986E-11</c:v>
                </c:pt>
                <c:pt idx="184">
                  <c:v>1.2708191092240986E-11</c:v>
                </c:pt>
                <c:pt idx="185">
                  <c:v>1.2708191092240986E-11</c:v>
                </c:pt>
                <c:pt idx="186">
                  <c:v>1.2708191092240986E-11</c:v>
                </c:pt>
                <c:pt idx="187">
                  <c:v>1.2708191092240986E-11</c:v>
                </c:pt>
                <c:pt idx="188">
                  <c:v>1.2708191092240986E-11</c:v>
                </c:pt>
                <c:pt idx="189">
                  <c:v>1.2708191092240986E-11</c:v>
                </c:pt>
                <c:pt idx="190">
                  <c:v>1.2708191092240986E-11</c:v>
                </c:pt>
                <c:pt idx="191">
                  <c:v>1.2708191092240986E-11</c:v>
                </c:pt>
                <c:pt idx="192">
                  <c:v>1.2708191092240986E-11</c:v>
                </c:pt>
                <c:pt idx="193">
                  <c:v>1.2708191092240986E-11</c:v>
                </c:pt>
                <c:pt idx="194">
                  <c:v>1.2708191092240986E-11</c:v>
                </c:pt>
                <c:pt idx="195">
                  <c:v>1.2708191092240986E-11</c:v>
                </c:pt>
                <c:pt idx="196">
                  <c:v>1.2708191092240986E-11</c:v>
                </c:pt>
                <c:pt idx="197">
                  <c:v>1.2708191092240986E-11</c:v>
                </c:pt>
                <c:pt idx="198">
                  <c:v>1.2708191092240986E-11</c:v>
                </c:pt>
                <c:pt idx="199">
                  <c:v>1.2708191092240986E-11</c:v>
                </c:pt>
                <c:pt idx="200">
                  <c:v>1.2708191092240986E-11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9.2921937322638239</c:v>
                </c:pt>
                <c:pt idx="2">
                  <c:v>18.177089899913412</c:v>
                </c:pt>
                <c:pt idx="3">
                  <c:v>26.930449399251376</c:v>
                </c:pt>
                <c:pt idx="4">
                  <c:v>35.602726635721403</c:v>
                </c:pt>
                <c:pt idx="5">
                  <c:v>44.216789199875343</c:v>
                </c:pt>
                <c:pt idx="6">
                  <c:v>52.785681720112542</c:v>
                </c:pt>
                <c:pt idx="7">
                  <c:v>61.317813563984139</c:v>
                </c:pt>
                <c:pt idx="8">
                  <c:v>69.819042187991144</c:v>
                </c:pt>
                <c:pt idx="9">
                  <c:v>78.293672897174659</c:v>
                </c:pt>
                <c:pt idx="10">
                  <c:v>86.744998135170761</c:v>
                </c:pt>
                <c:pt idx="11">
                  <c:v>95.175613751905487</c:v>
                </c:pt>
                <c:pt idx="12">
                  <c:v>103.58761655378898</c:v>
                </c:pt>
                <c:pt idx="13">
                  <c:v>111.98273395137143</c:v>
                </c:pt>
                <c:pt idx="14">
                  <c:v>120.36241250311315</c:v>
                </c:pt>
                <c:pt idx="15">
                  <c:v>128.7278804064338</c:v>
                </c:pt>
                <c:pt idx="16">
                  <c:v>137.08019283445722</c:v>
                </c:pt>
                <c:pt idx="17">
                  <c:v>145.42026560884469</c:v>
                </c:pt>
                <c:pt idx="18">
                  <c:v>153.74890072101104</c:v>
                </c:pt>
                <c:pt idx="19">
                  <c:v>162.06680601936617</c:v>
                </c:pt>
                <c:pt idx="20">
                  <c:v>170.37461063363551</c:v>
                </c:pt>
                <c:pt idx="21">
                  <c:v>178.67287722665</c:v>
                </c:pt>
                <c:pt idx="22">
                  <c:v>186.96211184634055</c:v>
                </c:pt>
                <c:pt idx="23">
                  <c:v>195.24277193582597</c:v>
                </c:pt>
                <c:pt idx="24">
                  <c:v>203.51527291113393</c:v>
                </c:pt>
                <c:pt idx="25">
                  <c:v>211.77999361174412</c:v>
                </c:pt>
                <c:pt idx="26">
                  <c:v>220.03728085449575</c:v>
                </c:pt>
                <c:pt idx="27">
                  <c:v>228.28745326718865</c:v>
                </c:pt>
                <c:pt idx="28">
                  <c:v>236.53080453827673</c:v>
                </c:pt>
                <c:pt idx="29">
                  <c:v>244.76760618927483</c:v>
                </c:pt>
                <c:pt idx="30">
                  <c:v>252.99810995402035</c:v>
                </c:pt>
                <c:pt idx="31">
                  <c:v>261.22254983178902</c:v>
                </c:pt>
                <c:pt idx="32">
                  <c:v>269.44114386805046</c:v>
                </c:pt>
                <c:pt idx="33">
                  <c:v>277.65409570637627</c:v>
                </c:pt>
                <c:pt idx="34">
                  <c:v>285.86159594695238</c:v>
                </c:pt>
                <c:pt idx="35">
                  <c:v>294.06382334077597</c:v>
                </c:pt>
                <c:pt idx="36">
                  <c:v>302.26094584353649</c:v>
                </c:pt>
                <c:pt idx="37">
                  <c:v>310.45312154910624</c:v>
                </c:pt>
                <c:pt idx="38">
                  <c:v>318.64049951927569</c:v>
                </c:pt>
                <c:pt idx="39">
                  <c:v>326.82322052369108</c:v>
                </c:pt>
                <c:pt idx="40">
                  <c:v>335.00141770176555</c:v>
                </c:pt>
                <c:pt idx="41">
                  <c:v>343.17521715653567</c:v>
                </c:pt>
                <c:pt idx="42">
                  <c:v>351.34473848895027</c:v>
                </c:pt>
                <c:pt idx="43">
                  <c:v>359.5100952798403</c:v>
                </c:pt>
                <c:pt idx="44">
                  <c:v>367.6713955257913</c:v>
                </c:pt>
                <c:pt idx="45">
                  <c:v>375.82874203427474</c:v>
                </c:pt>
                <c:pt idx="46">
                  <c:v>383.98223278266511</c:v>
                </c:pt>
                <c:pt idx="47">
                  <c:v>392.13196124515889</c:v>
                </c:pt>
                <c:pt idx="48">
                  <c:v>400.27801669108413</c:v>
                </c:pt>
                <c:pt idx="49">
                  <c:v>408.42048445765022</c:v>
                </c:pt>
                <c:pt idx="50">
                  <c:v>416.55944619980323</c:v>
                </c:pt>
                <c:pt idx="51">
                  <c:v>424.69498011952811</c:v>
                </c:pt>
                <c:pt idx="52">
                  <c:v>432.82716117665836</c:v>
                </c:pt>
                <c:pt idx="53">
                  <c:v>440.95606128301159</c:v>
                </c:pt>
                <c:pt idx="54">
                  <c:v>449.08174948145785</c:v>
                </c:pt>
                <c:pt idx="55">
                  <c:v>457.20429211135001</c:v>
                </c:pt>
                <c:pt idx="56">
                  <c:v>465.32375296158119</c:v>
                </c:pt>
                <c:pt idx="57">
                  <c:v>473.44019341240033</c:v>
                </c:pt>
                <c:pt idx="58">
                  <c:v>481.55367256699475</c:v>
                </c:pt>
                <c:pt idx="59">
                  <c:v>489.66424737373995</c:v>
                </c:pt>
                <c:pt idx="60">
                  <c:v>497.77197273992761</c:v>
                </c:pt>
                <c:pt idx="61">
                  <c:v>337.99381912917073</c:v>
                </c:pt>
                <c:pt idx="62">
                  <c:v>354.75361283544322</c:v>
                </c:pt>
                <c:pt idx="63">
                  <c:v>371.4960677901409</c:v>
                </c:pt>
                <c:pt idx="64">
                  <c:v>388.22207520036437</c:v>
                </c:pt>
                <c:pt idx="65">
                  <c:v>404.93244323061884</c:v>
                </c:pt>
                <c:pt idx="66">
                  <c:v>421.6279079194253</c:v>
                </c:pt>
                <c:pt idx="67">
                  <c:v>438.30914227662203</c:v>
                </c:pt>
                <c:pt idx="68">
                  <c:v>454.97676392363013</c:v>
                </c:pt>
                <c:pt idx="69">
                  <c:v>471.63134155593411</c:v>
                </c:pt>
                <c:pt idx="70">
                  <c:v>385.77341475380621</c:v>
                </c:pt>
                <c:pt idx="71">
                  <c:v>402.12352873367144</c:v>
                </c:pt>
                <c:pt idx="72">
                  <c:v>418.45926535082413</c:v>
                </c:pt>
                <c:pt idx="73">
                  <c:v>434.78126470985643</c:v>
                </c:pt>
                <c:pt idx="74">
                  <c:v>451.09011494954387</c:v>
                </c:pt>
                <c:pt idx="75">
                  <c:v>467.38635822676127</c:v>
                </c:pt>
                <c:pt idx="76">
                  <c:v>483.67049582249541</c:v>
                </c:pt>
                <c:pt idx="77">
                  <c:v>499.94299252456011</c:v>
                </c:pt>
                <c:pt idx="78">
                  <c:v>434.22346793695078</c:v>
                </c:pt>
                <c:pt idx="79">
                  <c:v>450.53443732842976</c:v>
                </c:pt>
                <c:pt idx="80">
                  <c:v>466.83277937674598</c:v>
                </c:pt>
                <c:pt idx="81">
                  <c:v>483.11899683366778</c:v>
                </c:pt>
                <c:pt idx="82">
                  <c:v>499.39355580421892</c:v>
                </c:pt>
                <c:pt idx="83">
                  <c:v>515.65688954981795</c:v>
                </c:pt>
                <c:pt idx="84">
                  <c:v>531.90940178680432</c:v>
                </c:pt>
                <c:pt idx="85">
                  <c:v>548.15146956098692</c:v>
                </c:pt>
                <c:pt idx="86">
                  <c:v>564.38344576390512</c:v>
                </c:pt>
                <c:pt idx="87">
                  <c:v>490.22008003438185</c:v>
                </c:pt>
                <c:pt idx="88">
                  <c:v>506.52720231700965</c:v>
                </c:pt>
                <c:pt idx="89">
                  <c:v>522.82322886599707</c:v>
                </c:pt>
                <c:pt idx="90">
                  <c:v>539.10855405682867</c:v>
                </c:pt>
                <c:pt idx="91">
                  <c:v>555.38354650797817</c:v>
                </c:pt>
                <c:pt idx="92">
                  <c:v>571.64855148415324</c:v>
                </c:pt>
                <c:pt idx="93">
                  <c:v>587.90389301192556</c:v>
                </c:pt>
                <c:pt idx="94">
                  <c:v>604.14987574932786</c:v>
                </c:pt>
                <c:pt idx="95">
                  <c:v>620.38678664400345</c:v>
                </c:pt>
                <c:pt idx="96">
                  <c:v>535.20146005564482</c:v>
                </c:pt>
                <c:pt idx="97">
                  <c:v>551.5216935459855</c:v>
                </c:pt>
                <c:pt idx="98">
                  <c:v>567.83180658091271</c:v>
                </c:pt>
                <c:pt idx="99">
                  <c:v>584.13213062540228</c:v>
                </c:pt>
                <c:pt idx="100">
                  <c:v>600.42297714807262</c:v>
                </c:pt>
                <c:pt idx="101">
                  <c:v>616.70463934847601</c:v>
                </c:pt>
                <c:pt idx="102">
                  <c:v>632.97739369260296</c:v>
                </c:pt>
                <c:pt idx="103">
                  <c:v>649.24150128237454</c:v>
                </c:pt>
                <c:pt idx="104">
                  <c:v>665.49720908086226</c:v>
                </c:pt>
                <c:pt idx="105">
                  <c:v>587.42577263819874</c:v>
                </c:pt>
                <c:pt idx="106">
                  <c:v>603.96300828048697</c:v>
                </c:pt>
                <c:pt idx="107">
                  <c:v>620.49084073562256</c:v>
                </c:pt>
                <c:pt idx="108">
                  <c:v>637.00955557694726</c:v>
                </c:pt>
                <c:pt idx="109">
                  <c:v>653.51942237008052</c:v>
                </c:pt>
                <c:pt idx="110">
                  <c:v>670.02069596024683</c:v>
                </c:pt>
                <c:pt idx="111">
                  <c:v>686.51361762628574</c:v>
                </c:pt>
                <c:pt idx="112">
                  <c:v>702.99841611808426</c:v>
                </c:pt>
                <c:pt idx="113">
                  <c:v>719.47530859171786</c:v>
                </c:pt>
                <c:pt idx="114">
                  <c:v>636.44956471430385</c:v>
                </c:pt>
                <c:pt idx="115">
                  <c:v>653.24757170569728</c:v>
                </c:pt>
                <c:pt idx="116">
                  <c:v>670.0366788968978</c:v>
                </c:pt>
                <c:pt idx="117">
                  <c:v>686.81714052237476</c:v>
                </c:pt>
                <c:pt idx="118">
                  <c:v>703.58919739092244</c:v>
                </c:pt>
                <c:pt idx="119">
                  <c:v>720.35307790432523</c:v>
                </c:pt>
                <c:pt idx="120">
                  <c:v>737.10899897634272</c:v>
                </c:pt>
                <c:pt idx="121">
                  <c:v>753.85716686386866</c:v>
                </c:pt>
                <c:pt idx="122">
                  <c:v>770.5977779204519</c:v>
                </c:pt>
                <c:pt idx="123">
                  <c:v>677.92250701858995</c:v>
                </c:pt>
                <c:pt idx="124">
                  <c:v>694.96703714366186</c:v>
                </c:pt>
                <c:pt idx="125">
                  <c:v>712.00300777439281</c:v>
                </c:pt>
                <c:pt idx="126">
                  <c:v>729.03065237867622</c:v>
                </c:pt>
                <c:pt idx="127">
                  <c:v>746.05019263912936</c:v>
                </c:pt>
                <c:pt idx="128">
                  <c:v>763.06183930876557</c:v>
                </c:pt>
                <c:pt idx="129">
                  <c:v>780.06579298646784</c:v>
                </c:pt>
                <c:pt idx="130">
                  <c:v>797.06224482139839</c:v>
                </c:pt>
                <c:pt idx="131">
                  <c:v>814.05137715426144</c:v>
                </c:pt>
                <c:pt idx="132">
                  <c:v>831.03336410230793</c:v>
                </c:pt>
                <c:pt idx="133">
                  <c:v>732.17890267223913</c:v>
                </c:pt>
                <c:pt idx="134">
                  <c:v>749.73396149321979</c:v>
                </c:pt>
                <c:pt idx="135">
                  <c:v>767.28066763444167</c:v>
                </c:pt>
                <c:pt idx="136">
                  <c:v>784.81923882471767</c:v>
                </c:pt>
                <c:pt idx="137">
                  <c:v>802.34988227819213</c:v>
                </c:pt>
                <c:pt idx="138">
                  <c:v>819.87279542542262</c:v>
                </c:pt>
                <c:pt idx="139">
                  <c:v>837.38816657878067</c:v>
                </c:pt>
                <c:pt idx="140">
                  <c:v>854.89617553934602</c:v>
                </c:pt>
                <c:pt idx="141">
                  <c:v>872.39699415155883</c:v>
                </c:pt>
                <c:pt idx="142">
                  <c:v>889.89078681110277</c:v>
                </c:pt>
                <c:pt idx="143">
                  <c:v>907.37771093082313</c:v>
                </c:pt>
                <c:pt idx="144">
                  <c:v>924.85791736890758</c:v>
                </c:pt>
                <c:pt idx="145">
                  <c:v>797.409042492558</c:v>
                </c:pt>
                <c:pt idx="146">
                  <c:v>815.36791546575341</c:v>
                </c:pt>
                <c:pt idx="147">
                  <c:v>833.31881835529202</c:v>
                </c:pt>
                <c:pt idx="148">
                  <c:v>851.26194683884012</c:v>
                </c:pt>
                <c:pt idx="149">
                  <c:v>869.19748768192801</c:v>
                </c:pt>
                <c:pt idx="150">
                  <c:v>887.12561932309336</c:v>
                </c:pt>
                <c:pt idx="151">
                  <c:v>905.04651240931889</c:v>
                </c:pt>
                <c:pt idx="152">
                  <c:v>922.96033028691181</c:v>
                </c:pt>
                <c:pt idx="153">
                  <c:v>940.86722945233839</c:v>
                </c:pt>
                <c:pt idx="154">
                  <c:v>958.76735996699881</c:v>
                </c:pt>
                <c:pt idx="155">
                  <c:v>976.66086583945616</c:v>
                </c:pt>
                <c:pt idx="156">
                  <c:v>994.54788537823799</c:v>
                </c:pt>
                <c:pt idx="157">
                  <c:v>856.37124988532958</c:v>
                </c:pt>
                <c:pt idx="158">
                  <c:v>874.68419914242725</c:v>
                </c:pt>
                <c:pt idx="159">
                  <c:v>892.98947746092699</c:v>
                </c:pt>
                <c:pt idx="160">
                  <c:v>911.28726404279223</c:v>
                </c:pt>
                <c:pt idx="161">
                  <c:v>929.57773031589704</c:v>
                </c:pt>
                <c:pt idx="162">
                  <c:v>947.86104042068712</c:v>
                </c:pt>
                <c:pt idx="163">
                  <c:v>966.13735165739001</c:v>
                </c:pt>
                <c:pt idx="164">
                  <c:v>984.40681489767428</c:v>
                </c:pt>
                <c:pt idx="165">
                  <c:v>1002.6695749642014</c:v>
                </c:pt>
                <c:pt idx="166">
                  <c:v>1020.9257709811267</c:v>
                </c:pt>
                <c:pt idx="167">
                  <c:v>1039.1755366982613</c:v>
                </c:pt>
                <c:pt idx="168">
                  <c:v>1057.4190007913146</c:v>
                </c:pt>
                <c:pt idx="169">
                  <c:v>905.91427234119362</c:v>
                </c:pt>
                <c:pt idx="170">
                  <c:v>924.23069005295258</c:v>
                </c:pt>
                <c:pt idx="171">
                  <c:v>942.53988555489889</c:v>
                </c:pt>
                <c:pt idx="172">
                  <c:v>960.84201872187566</c:v>
                </c:pt>
                <c:pt idx="173">
                  <c:v>979.13724284962302</c:v>
                </c:pt>
                <c:pt idx="174">
                  <c:v>997.42570504586217</c:v>
                </c:pt>
                <c:pt idx="175">
                  <c:v>1015.7075465912441</c:v>
                </c:pt>
                <c:pt idx="176">
                  <c:v>1033.9829032730006</c:v>
                </c:pt>
                <c:pt idx="177">
                  <c:v>1052.2519056938124</c:v>
                </c:pt>
                <c:pt idx="178">
                  <c:v>1070.5146795581438</c:v>
                </c:pt>
                <c:pt idx="179">
                  <c:v>1088.7713459380532</c:v>
                </c:pt>
                <c:pt idx="180">
                  <c:v>1107.0220215202758</c:v>
                </c:pt>
                <c:pt idx="181">
                  <c:v>699.95320311844034</c:v>
                </c:pt>
                <c:pt idx="182">
                  <c:v>711.44270042631854</c:v>
                </c:pt>
                <c:pt idx="183">
                  <c:v>722.92840698891132</c:v>
                </c:pt>
                <c:pt idx="184">
                  <c:v>734.41039149114465</c:v>
                </c:pt>
                <c:pt idx="185">
                  <c:v>498.74292576727026</c:v>
                </c:pt>
                <c:pt idx="186">
                  <c:v>506.17753727481869</c:v>
                </c:pt>
                <c:pt idx="187">
                  <c:v>513.60984023935839</c:v>
                </c:pt>
                <c:pt idx="188">
                  <c:v>521.03987279064233</c:v>
                </c:pt>
                <c:pt idx="189">
                  <c:v>351.17297949147724</c:v>
                </c:pt>
                <c:pt idx="190">
                  <c:v>355.96857950935151</c:v>
                </c:pt>
                <c:pt idx="191">
                  <c:v>360.76276478117251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10.456419929936711</c:v>
                </c:pt>
                <c:pt idx="2">
                  <c:v>20.459167029721723</c:v>
                </c:pt>
                <c:pt idx="3">
                  <c:v>30.315400578319224</c:v>
                </c:pt>
                <c:pt idx="4">
                  <c:v>40.081319764970452</c:v>
                </c:pt>
                <c:pt idx="5">
                  <c:v>49.782395904570798</c:v>
                </c:pt>
                <c:pt idx="6">
                  <c:v>59.433158898593696</c:v>
                </c:pt>
                <c:pt idx="7">
                  <c:v>69.042975612712198</c:v>
                </c:pt>
                <c:pt idx="8">
                  <c:v>78.618370438671249</c:v>
                </c:pt>
                <c:pt idx="9">
                  <c:v>88.164138887400284</c:v>
                </c:pt>
                <c:pt idx="10">
                  <c:v>97.683948283117005</c:v>
                </c:pt>
                <c:pt idx="11">
                  <c:v>107.18069004154528</c:v>
                </c:pt>
                <c:pt idx="12">
                  <c:v>116.6566997133511</c:v>
                </c:pt>
                <c:pt idx="13">
                  <c:v>126.1139013935974</c:v>
                </c:pt>
                <c:pt idx="14">
                  <c:v>135.55390634718643</c:v>
                </c:pt>
                <c:pt idx="15">
                  <c:v>144.97808261519626</c:v>
                </c:pt>
                <c:pt idx="16">
                  <c:v>154.3876055137076</c:v>
                </c:pt>
                <c:pt idx="17">
                  <c:v>163.78349514065653</c:v>
                </c:pt>
                <c:pt idx="18">
                  <c:v>173.16664480291877</c:v>
                </c:pt>
                <c:pt idx="19">
                  <c:v>182.53784294515813</c:v>
                </c:pt>
                <c:pt idx="20">
                  <c:v>191.89779033037416</c:v>
                </c:pt>
                <c:pt idx="21">
                  <c:v>201.24711368669179</c:v>
                </c:pt>
                <c:pt idx="22">
                  <c:v>210.58637668111251</c:v>
                </c:pt>
                <c:pt idx="23">
                  <c:v>219.91608884163847</c:v>
                </c:pt>
                <c:pt idx="24">
                  <c:v>229.2367128839384</c:v>
                </c:pt>
                <c:pt idx="25">
                  <c:v>238.54867078249427</c:v>
                </c:pt>
                <c:pt idx="26">
                  <c:v>247.85234884302153</c:v>
                </c:pt>
                <c:pt idx="27">
                  <c:v>257.14810197256651</c:v>
                </c:pt>
                <c:pt idx="28">
                  <c:v>266.43625729921371</c:v>
                </c:pt>
                <c:pt idx="29">
                  <c:v>275.71711726016053</c:v>
                </c:pt>
                <c:pt idx="30">
                  <c:v>284.99096225188504</c:v>
                </c:pt>
                <c:pt idx="31">
                  <c:v>294.25805291702977</c:v>
                </c:pt>
                <c:pt idx="32">
                  <c:v>303.51863212791704</c:v>
                </c:pt>
                <c:pt idx="33">
                  <c:v>312.77292671515772</c:v>
                </c:pt>
                <c:pt idx="34">
                  <c:v>322.02114898084585</c:v>
                </c:pt>
                <c:pt idx="35">
                  <c:v>331.26349802872716</c:v>
                </c:pt>
                <c:pt idx="36">
                  <c:v>340.50016093807625</c:v>
                </c:pt>
                <c:pt idx="37">
                  <c:v>349.73131380347536</c:v>
                </c:pt>
                <c:pt idx="38">
                  <c:v>358.95712265902421</c:v>
                </c:pt>
                <c:pt idx="39">
                  <c:v>216.41332970439461</c:v>
                </c:pt>
                <c:pt idx="40">
                  <c:v>239.17720708947249</c:v>
                </c:pt>
                <c:pt idx="41">
                  <c:v>261.89173640603332</c:v>
                </c:pt>
                <c:pt idx="42">
                  <c:v>284.56179835243455</c:v>
                </c:pt>
                <c:pt idx="43">
                  <c:v>307.1914321187167</c:v>
                </c:pt>
                <c:pt idx="44">
                  <c:v>329.78403311245108</c:v>
                </c:pt>
                <c:pt idx="45">
                  <c:v>352.3424935764595</c:v>
                </c:pt>
                <c:pt idx="46">
                  <c:v>279.36746368278273</c:v>
                </c:pt>
                <c:pt idx="47">
                  <c:v>302.4407068263049</c:v>
                </c:pt>
                <c:pt idx="48">
                  <c:v>325.47478505586827</c:v>
                </c:pt>
                <c:pt idx="49">
                  <c:v>348.47285814544199</c:v>
                </c:pt>
                <c:pt idx="50">
                  <c:v>371.43763484501079</c:v>
                </c:pt>
                <c:pt idx="51">
                  <c:v>394.3714617444582</c:v>
                </c:pt>
                <c:pt idx="52">
                  <c:v>417.27639037381169</c:v>
                </c:pt>
                <c:pt idx="53">
                  <c:v>338.09991414791068</c:v>
                </c:pt>
                <c:pt idx="54">
                  <c:v>360.80716410152644</c:v>
                </c:pt>
                <c:pt idx="55">
                  <c:v>383.48317271005044</c:v>
                </c:pt>
                <c:pt idx="56">
                  <c:v>406.13004575875283</c:v>
                </c:pt>
                <c:pt idx="57">
                  <c:v>428.74963514762658</c:v>
                </c:pt>
                <c:pt idx="58">
                  <c:v>451.34358155451793</c:v>
                </c:pt>
                <c:pt idx="59">
                  <c:v>473.91334810944858</c:v>
                </c:pt>
                <c:pt idx="60">
                  <c:v>400.6124929737191</c:v>
                </c:pt>
                <c:pt idx="61">
                  <c:v>422.94030373624128</c:v>
                </c:pt>
                <c:pt idx="62">
                  <c:v>445.24275110321702</c:v>
                </c:pt>
                <c:pt idx="63">
                  <c:v>467.52128319675768</c:v>
                </c:pt>
                <c:pt idx="64">
                  <c:v>489.77719896917915</c:v>
                </c:pt>
                <c:pt idx="65">
                  <c:v>512.01166978636945</c:v>
                </c:pt>
                <c:pt idx="66">
                  <c:v>534.22575706797772</c:v>
                </c:pt>
                <c:pt idx="67">
                  <c:v>556.42042684202681</c:v>
                </c:pt>
                <c:pt idx="68">
                  <c:v>481.48157884405776</c:v>
                </c:pt>
                <c:pt idx="69">
                  <c:v>503.50450353369575</c:v>
                </c:pt>
                <c:pt idx="70">
                  <c:v>525.50705871911032</c:v>
                </c:pt>
                <c:pt idx="71">
                  <c:v>547.49021645825394</c:v>
                </c:pt>
                <c:pt idx="72">
                  <c:v>569.45486445269285</c:v>
                </c:pt>
                <c:pt idx="73">
                  <c:v>591.40181640504818</c:v>
                </c:pt>
                <c:pt idx="74">
                  <c:v>613.3318207599699</c:v>
                </c:pt>
                <c:pt idx="75">
                  <c:v>635.24556813081563</c:v>
                </c:pt>
                <c:pt idx="76">
                  <c:v>557.9303011671384</c:v>
                </c:pt>
                <c:pt idx="77">
                  <c:v>579.49437061279025</c:v>
                </c:pt>
                <c:pt idx="78">
                  <c:v>601.0417083219902</c:v>
                </c:pt>
                <c:pt idx="79">
                  <c:v>622.57299794008793</c:v>
                </c:pt>
                <c:pt idx="80">
                  <c:v>644.08887201809068</c:v>
                </c:pt>
                <c:pt idx="81">
                  <c:v>665.58991744488594</c:v>
                </c:pt>
                <c:pt idx="82">
                  <c:v>687.07668014164062</c:v>
                </c:pt>
                <c:pt idx="83">
                  <c:v>708.54966913897795</c:v>
                </c:pt>
                <c:pt idx="84">
                  <c:v>616.28352096154731</c:v>
                </c:pt>
                <c:pt idx="85">
                  <c:v>637.3280408187228</c:v>
                </c:pt>
                <c:pt idx="86">
                  <c:v>658.35820887283887</c:v>
                </c:pt>
                <c:pt idx="87">
                  <c:v>679.37454761631727</c:v>
                </c:pt>
                <c:pt idx="88">
                  <c:v>700.3775446144391</c:v>
                </c:pt>
                <c:pt idx="89">
                  <c:v>721.36765583853776</c:v>
                </c:pt>
                <c:pt idx="90">
                  <c:v>742.34530859144991</c:v>
                </c:pt>
                <c:pt idx="91">
                  <c:v>763.31090408544162</c:v>
                </c:pt>
                <c:pt idx="92">
                  <c:v>784.2648197224903</c:v>
                </c:pt>
                <c:pt idx="93">
                  <c:v>805.2074111184703</c:v>
                </c:pt>
                <c:pt idx="94">
                  <c:v>672.99221629850854</c:v>
                </c:pt>
                <c:pt idx="95">
                  <c:v>693.37648961420962</c:v>
                </c:pt>
                <c:pt idx="96">
                  <c:v>713.74849014684048</c:v>
                </c:pt>
                <c:pt idx="97">
                  <c:v>734.10861712397957</c:v>
                </c:pt>
                <c:pt idx="98">
                  <c:v>754.45724584792481</c:v>
                </c:pt>
                <c:pt idx="99">
                  <c:v>774.79472974909584</c:v>
                </c:pt>
                <c:pt idx="100">
                  <c:v>795.1214022128637</c:v>
                </c:pt>
                <c:pt idx="101">
                  <c:v>815.43757821007432</c:v>
                </c:pt>
                <c:pt idx="102">
                  <c:v>835.74355575682057</c:v>
                </c:pt>
                <c:pt idx="103">
                  <c:v>856.03961722513759</c:v>
                </c:pt>
                <c:pt idx="104">
                  <c:v>722.77047081753142</c:v>
                </c:pt>
                <c:pt idx="105">
                  <c:v>742.57144072777692</c:v>
                </c:pt>
                <c:pt idx="106">
                  <c:v>762.36167151861753</c:v>
                </c:pt>
                <c:pt idx="107">
                  <c:v>782.14148090873778</c:v>
                </c:pt>
                <c:pt idx="108">
                  <c:v>801.91116925557162</c:v>
                </c:pt>
                <c:pt idx="109">
                  <c:v>821.67102091720653</c:v>
                </c:pt>
                <c:pt idx="110">
                  <c:v>841.42130547662589</c:v>
                </c:pt>
                <c:pt idx="111">
                  <c:v>861.16227884517014</c:v>
                </c:pt>
                <c:pt idx="112">
                  <c:v>880.89418425967813</c:v>
                </c:pt>
                <c:pt idx="113">
                  <c:v>900.61725318575793</c:v>
                </c:pt>
                <c:pt idx="114">
                  <c:v>765.32229398494985</c:v>
                </c:pt>
                <c:pt idx="115">
                  <c:v>784.98311437515633</c:v>
                </c:pt>
                <c:pt idx="116">
                  <c:v>804.63397494404364</c:v>
                </c:pt>
                <c:pt idx="117">
                  <c:v>824.27515289823998</c:v>
                </c:pt>
                <c:pt idx="118">
                  <c:v>843.90691117254892</c:v>
                </c:pt>
                <c:pt idx="119">
                  <c:v>863.52949948630805</c:v>
                </c:pt>
                <c:pt idx="120">
                  <c:v>883.14315529885516</c:v>
                </c:pt>
                <c:pt idx="121">
                  <c:v>902.74810467581119</c:v>
                </c:pt>
                <c:pt idx="122">
                  <c:v>922.34456307629682</c:v>
                </c:pt>
                <c:pt idx="123">
                  <c:v>941.93273606986043</c:v>
                </c:pt>
                <c:pt idx="124">
                  <c:v>491.57338077028345</c:v>
                </c:pt>
                <c:pt idx="125">
                  <c:v>502.63253330701883</c:v>
                </c:pt>
                <c:pt idx="126">
                  <c:v>348.67801506682321</c:v>
                </c:pt>
                <c:pt idx="127">
                  <c:v>356.31618749430459</c:v>
                </c:pt>
                <c:pt idx="128">
                  <c:v>255.82716222376891</c:v>
                </c:pt>
                <c:pt idx="129">
                  <c:v>261.46337808167078</c:v>
                </c:pt>
                <c:pt idx="130">
                  <c:v>267.09685096483059</c:v>
                </c:pt>
                <c:pt idx="131">
                  <c:v>6.88254062580301E-12</c:v>
                </c:pt>
                <c:pt idx="132">
                  <c:v>6.88254062580301E-12</c:v>
                </c:pt>
                <c:pt idx="133">
                  <c:v>6.88254062580301E-12</c:v>
                </c:pt>
                <c:pt idx="134">
                  <c:v>6.88254062580301E-12</c:v>
                </c:pt>
                <c:pt idx="135">
                  <c:v>6.88254062580301E-12</c:v>
                </c:pt>
                <c:pt idx="136">
                  <c:v>6.88254062580301E-12</c:v>
                </c:pt>
                <c:pt idx="137">
                  <c:v>6.88254062580301E-12</c:v>
                </c:pt>
                <c:pt idx="138">
                  <c:v>6.88254062580301E-12</c:v>
                </c:pt>
                <c:pt idx="139">
                  <c:v>6.88254062580301E-12</c:v>
                </c:pt>
                <c:pt idx="140">
                  <c:v>6.88254062580301E-12</c:v>
                </c:pt>
                <c:pt idx="141">
                  <c:v>6.88254062580301E-12</c:v>
                </c:pt>
                <c:pt idx="142">
                  <c:v>6.88254062580301E-12</c:v>
                </c:pt>
                <c:pt idx="143">
                  <c:v>6.88254062580301E-12</c:v>
                </c:pt>
                <c:pt idx="144">
                  <c:v>6.88254062580301E-12</c:v>
                </c:pt>
                <c:pt idx="145">
                  <c:v>6.88254062580301E-12</c:v>
                </c:pt>
                <c:pt idx="146">
                  <c:v>6.88254062580301E-12</c:v>
                </c:pt>
                <c:pt idx="147">
                  <c:v>6.88254062580301E-12</c:v>
                </c:pt>
                <c:pt idx="148">
                  <c:v>6.88254062580301E-12</c:v>
                </c:pt>
                <c:pt idx="149">
                  <c:v>6.88254062580301E-12</c:v>
                </c:pt>
                <c:pt idx="150">
                  <c:v>6.88254062580301E-12</c:v>
                </c:pt>
                <c:pt idx="151">
                  <c:v>6.88254062580301E-12</c:v>
                </c:pt>
                <c:pt idx="152">
                  <c:v>6.88254062580301E-12</c:v>
                </c:pt>
                <c:pt idx="153">
                  <c:v>6.88254062580301E-12</c:v>
                </c:pt>
                <c:pt idx="154">
                  <c:v>6.88254062580301E-12</c:v>
                </c:pt>
                <c:pt idx="155">
                  <c:v>6.88254062580301E-12</c:v>
                </c:pt>
                <c:pt idx="156">
                  <c:v>6.88254062580301E-12</c:v>
                </c:pt>
                <c:pt idx="157">
                  <c:v>6.88254062580301E-12</c:v>
                </c:pt>
                <c:pt idx="158">
                  <c:v>6.88254062580301E-12</c:v>
                </c:pt>
                <c:pt idx="159">
                  <c:v>6.88254062580301E-12</c:v>
                </c:pt>
                <c:pt idx="160">
                  <c:v>6.88254062580301E-12</c:v>
                </c:pt>
                <c:pt idx="161">
                  <c:v>6.88254062580301E-12</c:v>
                </c:pt>
                <c:pt idx="162">
                  <c:v>6.88254062580301E-12</c:v>
                </c:pt>
                <c:pt idx="163">
                  <c:v>6.88254062580301E-12</c:v>
                </c:pt>
                <c:pt idx="164">
                  <c:v>6.88254062580301E-12</c:v>
                </c:pt>
                <c:pt idx="165">
                  <c:v>6.88254062580301E-12</c:v>
                </c:pt>
                <c:pt idx="166">
                  <c:v>6.88254062580301E-12</c:v>
                </c:pt>
                <c:pt idx="167">
                  <c:v>6.88254062580301E-12</c:v>
                </c:pt>
                <c:pt idx="168">
                  <c:v>6.88254062580301E-12</c:v>
                </c:pt>
                <c:pt idx="169">
                  <c:v>6.88254062580301E-12</c:v>
                </c:pt>
                <c:pt idx="170">
                  <c:v>6.88254062580301E-12</c:v>
                </c:pt>
                <c:pt idx="171">
                  <c:v>6.88254062580301E-12</c:v>
                </c:pt>
                <c:pt idx="172">
                  <c:v>6.88254062580301E-12</c:v>
                </c:pt>
                <c:pt idx="173">
                  <c:v>6.88254062580301E-12</c:v>
                </c:pt>
                <c:pt idx="174">
                  <c:v>6.88254062580301E-12</c:v>
                </c:pt>
                <c:pt idx="175">
                  <c:v>6.88254062580301E-12</c:v>
                </c:pt>
                <c:pt idx="176">
                  <c:v>6.88254062580301E-12</c:v>
                </c:pt>
                <c:pt idx="177">
                  <c:v>6.88254062580301E-12</c:v>
                </c:pt>
                <c:pt idx="178">
                  <c:v>6.88254062580301E-12</c:v>
                </c:pt>
                <c:pt idx="179">
                  <c:v>6.88254062580301E-12</c:v>
                </c:pt>
                <c:pt idx="180">
                  <c:v>6.88254062580301E-12</c:v>
                </c:pt>
                <c:pt idx="181">
                  <c:v>6.88254062580301E-12</c:v>
                </c:pt>
                <c:pt idx="182">
                  <c:v>6.88254062580301E-12</c:v>
                </c:pt>
                <c:pt idx="183">
                  <c:v>6.88254062580301E-12</c:v>
                </c:pt>
                <c:pt idx="184">
                  <c:v>6.88254062580301E-12</c:v>
                </c:pt>
                <c:pt idx="185">
                  <c:v>6.88254062580301E-12</c:v>
                </c:pt>
                <c:pt idx="186">
                  <c:v>6.88254062580301E-12</c:v>
                </c:pt>
                <c:pt idx="187">
                  <c:v>6.88254062580301E-12</c:v>
                </c:pt>
                <c:pt idx="188">
                  <c:v>6.88254062580301E-12</c:v>
                </c:pt>
                <c:pt idx="189">
                  <c:v>6.88254062580301E-12</c:v>
                </c:pt>
                <c:pt idx="190">
                  <c:v>6.88254062580301E-12</c:v>
                </c:pt>
                <c:pt idx="191">
                  <c:v>6.88254062580301E-12</c:v>
                </c:pt>
                <c:pt idx="192">
                  <c:v>6.88254062580301E-12</c:v>
                </c:pt>
                <c:pt idx="193">
                  <c:v>6.88254062580301E-12</c:v>
                </c:pt>
                <c:pt idx="194">
                  <c:v>6.88254062580301E-12</c:v>
                </c:pt>
                <c:pt idx="195">
                  <c:v>6.88254062580301E-12</c:v>
                </c:pt>
                <c:pt idx="196">
                  <c:v>6.88254062580301E-12</c:v>
                </c:pt>
                <c:pt idx="197">
                  <c:v>6.88254062580301E-12</c:v>
                </c:pt>
                <c:pt idx="198">
                  <c:v>6.88254062580301E-12</c:v>
                </c:pt>
                <c:pt idx="199">
                  <c:v>6.88254062580301E-12</c:v>
                </c:pt>
                <c:pt idx="200">
                  <c:v>6.88254062580301E-12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8" sqref="B18:M31"/>
    </sheetView>
  </sheetViews>
  <sheetFormatPr baseColWidth="10" defaultRowHeight="14.25" x14ac:dyDescent="0.45"/>
  <cols>
    <col min="1" max="1" width="6.59765625" customWidth="1"/>
    <col min="2" max="13" width="15.9296875" customWidth="1"/>
  </cols>
  <sheetData>
    <row r="12" spans="2:13" ht="15" customHeight="1" x14ac:dyDescent="0.45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45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45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45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45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45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45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45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45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45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45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45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45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45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45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4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4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45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45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F30" sqref="F30"/>
    </sheetView>
  </sheetViews>
  <sheetFormatPr baseColWidth="10" defaultColWidth="11.46484375" defaultRowHeight="14.25" x14ac:dyDescent="0.45"/>
  <cols>
    <col min="1" max="1" width="13.59765625" style="23" customWidth="1"/>
    <col min="2" max="2" width="36.06640625" style="23" customWidth="1"/>
    <col min="3" max="3" width="14.9296875" style="23" bestFit="1" customWidth="1"/>
    <col min="4" max="4" width="16.46484375" style="23" customWidth="1"/>
    <col min="5" max="5" width="23.33203125" style="23" customWidth="1"/>
    <col min="6" max="6" width="28.9296875" style="23" bestFit="1" customWidth="1"/>
    <col min="7" max="8" width="14.59765625" style="23" customWidth="1"/>
    <col min="9" max="9" width="17" style="23" customWidth="1"/>
    <col min="10" max="10" width="13.9296875" style="23" customWidth="1"/>
    <col min="11" max="16384" width="11.46484375" style="23"/>
  </cols>
  <sheetData>
    <row r="1" spans="1:38" x14ac:dyDescent="0.45">
      <c r="A1" s="4"/>
      <c r="B1" s="4"/>
      <c r="C1" s="263" t="s">
        <v>190</v>
      </c>
      <c r="D1" s="263"/>
      <c r="E1" s="26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65" thickBot="1" x14ac:dyDescent="0.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5.9" thickBot="1" x14ac:dyDescent="0.5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5" x14ac:dyDescent="0.4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5" x14ac:dyDescent="0.45">
      <c r="A5" s="269" t="s">
        <v>231</v>
      </c>
      <c r="B5" s="269"/>
      <c r="C5" s="24">
        <v>3.75</v>
      </c>
      <c r="D5" s="270" t="s">
        <v>229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5" x14ac:dyDescent="0.45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5">
      <c r="A9" s="30" t="s">
        <v>165</v>
      </c>
      <c r="B9" s="31" t="s">
        <v>9</v>
      </c>
      <c r="C9" s="32">
        <v>0.39250000000000002</v>
      </c>
      <c r="D9" s="33">
        <f t="shared" ref="D9:D18" si="0">C9*$C$5</f>
        <v>1.471875</v>
      </c>
      <c r="E9" s="34">
        <v>100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5">
      <c r="A10" s="30" t="s">
        <v>166</v>
      </c>
      <c r="B10" s="31" t="s">
        <v>12</v>
      </c>
      <c r="C10" s="32">
        <v>0.47416666666666668</v>
      </c>
      <c r="D10" s="33">
        <f t="shared" si="0"/>
        <v>1.778125</v>
      </c>
      <c r="E10" s="34">
        <v>161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5">
      <c r="A11" s="30" t="s">
        <v>167</v>
      </c>
      <c r="B11" s="31" t="s">
        <v>16</v>
      </c>
      <c r="C11" s="32">
        <v>6.6666666666666666E-2</v>
      </c>
      <c r="D11" s="33">
        <f t="shared" si="0"/>
        <v>0.25</v>
      </c>
      <c r="E11" s="34">
        <v>191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5">
      <c r="A12" s="30" t="s">
        <v>168</v>
      </c>
      <c r="B12" s="31" t="s">
        <v>52</v>
      </c>
      <c r="C12" s="32">
        <v>6.6666666666666666E-2</v>
      </c>
      <c r="D12" s="33">
        <f t="shared" si="0"/>
        <v>0.25</v>
      </c>
      <c r="E12" s="34">
        <v>130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5">
      <c r="A19" s="78"/>
      <c r="B19" s="36" t="s">
        <v>175</v>
      </c>
      <c r="C19" s="37">
        <f>SUM(C9:C18)</f>
        <v>1</v>
      </c>
      <c r="D19" s="38">
        <f>SUM(D9:D18)</f>
        <v>3.75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65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45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5">
      <c r="A31" s="4"/>
      <c r="B31" s="4"/>
      <c r="C31" s="23" t="s">
        <v>324</v>
      </c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5">
      <c r="A32" s="46" t="s">
        <v>165</v>
      </c>
      <c r="B32" s="47" t="str">
        <f>IF(B9="","",B9)</f>
        <v>Chêne chevelu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5" x14ac:dyDescent="0.4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5">
      <c r="A36" s="50">
        <v>10</v>
      </c>
      <c r="B36" s="60">
        <v>11.538461538461538</v>
      </c>
      <c r="C36" s="60">
        <v>0</v>
      </c>
      <c r="D36" s="60">
        <v>0</v>
      </c>
      <c r="E36" s="51">
        <v>0</v>
      </c>
      <c r="F36" s="51">
        <v>0.5</v>
      </c>
      <c r="G36" s="51">
        <v>0</v>
      </c>
      <c r="H36" s="51">
        <v>0.5</v>
      </c>
      <c r="I36" s="49">
        <f>IFERROR(B36/A36,"")</f>
        <v>1.1538461538461537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5">
      <c r="A37" s="50">
        <v>15</v>
      </c>
      <c r="B37" s="60">
        <v>30.128205128205128</v>
      </c>
      <c r="C37" s="60">
        <v>0</v>
      </c>
      <c r="D37" s="60">
        <v>0</v>
      </c>
      <c r="E37" s="51">
        <v>0</v>
      </c>
      <c r="F37" s="51">
        <v>0.5</v>
      </c>
      <c r="G37" s="51">
        <v>0</v>
      </c>
      <c r="H37" s="51">
        <v>0.5</v>
      </c>
      <c r="I37" s="53">
        <f t="shared" ref="I37:I55" si="1">IF(A37&lt;&gt;0,(B37-(B36-D36))/(A37-A36),"")</f>
        <v>3.7179487179487181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5">
      <c r="A38" s="50">
        <v>20</v>
      </c>
      <c r="B38" s="60">
        <v>55.769230769230759</v>
      </c>
      <c r="C38" s="60">
        <v>1</v>
      </c>
      <c r="D38" s="60">
        <v>18.589743589743588</v>
      </c>
      <c r="E38" s="51">
        <v>0</v>
      </c>
      <c r="F38" s="51">
        <v>0.5</v>
      </c>
      <c r="G38" s="51">
        <v>0</v>
      </c>
      <c r="H38" s="51">
        <v>0.5</v>
      </c>
      <c r="I38" s="53">
        <f t="shared" si="1"/>
        <v>5.128205128205126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5">
      <c r="A39" s="50">
        <v>25</v>
      </c>
      <c r="B39" s="60">
        <v>62.820512820512818</v>
      </c>
      <c r="C39" s="60">
        <v>2</v>
      </c>
      <c r="D39" s="60">
        <v>12.179487179487179</v>
      </c>
      <c r="E39" s="51">
        <v>0</v>
      </c>
      <c r="F39" s="51">
        <v>0.5</v>
      </c>
      <c r="G39" s="51">
        <v>0</v>
      </c>
      <c r="H39" s="51">
        <v>0.5</v>
      </c>
      <c r="I39" s="49">
        <f t="shared" si="1"/>
        <v>5.1282051282051295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5">
      <c r="A40" s="50">
        <v>30</v>
      </c>
      <c r="B40" s="60">
        <v>76.282051282051285</v>
      </c>
      <c r="C40" s="60">
        <v>3</v>
      </c>
      <c r="D40" s="60">
        <v>12.820512820512819</v>
      </c>
      <c r="E40" s="51">
        <v>0</v>
      </c>
      <c r="F40" s="51">
        <v>0.5</v>
      </c>
      <c r="G40" s="51">
        <v>0</v>
      </c>
      <c r="H40" s="51">
        <v>0.5</v>
      </c>
      <c r="I40" s="49">
        <f t="shared" si="1"/>
        <v>5.1282051282051295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5">
      <c r="A41" s="50">
        <v>35</v>
      </c>
      <c r="B41" s="60">
        <v>86.538461538461533</v>
      </c>
      <c r="C41" s="60">
        <v>4</v>
      </c>
      <c r="D41" s="60">
        <v>12.820512820512819</v>
      </c>
      <c r="E41" s="51">
        <v>0</v>
      </c>
      <c r="F41" s="51">
        <v>0.5</v>
      </c>
      <c r="G41" s="51">
        <v>0</v>
      </c>
      <c r="H41" s="51">
        <v>0.5</v>
      </c>
      <c r="I41" s="53">
        <f t="shared" si="1"/>
        <v>4.6153846153846132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5">
      <c r="A42" s="50">
        <v>40</v>
      </c>
      <c r="B42" s="60">
        <v>96.153846153846146</v>
      </c>
      <c r="C42" s="60">
        <v>5</v>
      </c>
      <c r="D42" s="60">
        <v>12.820512820512819</v>
      </c>
      <c r="E42" s="51">
        <v>0</v>
      </c>
      <c r="F42" s="51">
        <v>0.5</v>
      </c>
      <c r="G42" s="51">
        <v>0</v>
      </c>
      <c r="H42" s="51">
        <v>0.5</v>
      </c>
      <c r="I42" s="53">
        <f t="shared" si="1"/>
        <v>4.4871794871794863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5">
      <c r="A43" s="50">
        <v>45</v>
      </c>
      <c r="B43" s="60">
        <v>103.84615384615384</v>
      </c>
      <c r="C43" s="60">
        <v>6</v>
      </c>
      <c r="D43" s="60">
        <v>12.179487179487179</v>
      </c>
      <c r="E43" s="51">
        <v>0</v>
      </c>
      <c r="F43" s="51">
        <v>0.5</v>
      </c>
      <c r="G43" s="51">
        <v>0</v>
      </c>
      <c r="H43" s="51">
        <v>0.5</v>
      </c>
      <c r="I43" s="49">
        <f t="shared" si="1"/>
        <v>4.1025641025641022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5">
      <c r="A44" s="50">
        <v>50</v>
      </c>
      <c r="B44" s="60">
        <v>110.89743589743588</v>
      </c>
      <c r="C44" s="60">
        <v>7</v>
      </c>
      <c r="D44" s="60">
        <v>11.538461538461538</v>
      </c>
      <c r="E44" s="51">
        <v>0</v>
      </c>
      <c r="F44" s="51">
        <v>0.5</v>
      </c>
      <c r="G44" s="51">
        <v>0</v>
      </c>
      <c r="H44" s="51">
        <v>0.5</v>
      </c>
      <c r="I44" s="49">
        <f t="shared" si="1"/>
        <v>3.8461538461538454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5">
      <c r="A45" s="50">
        <v>55</v>
      </c>
      <c r="B45" s="60">
        <v>116.02564102564102</v>
      </c>
      <c r="C45" s="60">
        <v>8</v>
      </c>
      <c r="D45" s="60">
        <v>10.897435897435898</v>
      </c>
      <c r="E45" s="51">
        <v>0</v>
      </c>
      <c r="F45" s="51">
        <v>0.5</v>
      </c>
      <c r="G45" s="51">
        <v>0</v>
      </c>
      <c r="H45" s="51">
        <v>0.5</v>
      </c>
      <c r="I45" s="49">
        <f t="shared" si="1"/>
        <v>3.3333333333333344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5">
      <c r="A46" s="50">
        <v>60</v>
      </c>
      <c r="B46" s="60">
        <v>121.15384615384616</v>
      </c>
      <c r="C46" s="60">
        <v>9</v>
      </c>
      <c r="D46" s="60">
        <v>10.256410256410255</v>
      </c>
      <c r="E46" s="51">
        <v>0</v>
      </c>
      <c r="F46" s="51">
        <v>0.5</v>
      </c>
      <c r="G46" s="51">
        <v>0</v>
      </c>
      <c r="H46" s="51">
        <v>0.5</v>
      </c>
      <c r="I46" s="49">
        <f t="shared" si="1"/>
        <v>3.2051282051282071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5">
      <c r="A47" s="50">
        <v>65</v>
      </c>
      <c r="B47" s="60">
        <v>125</v>
      </c>
      <c r="C47" s="60">
        <v>10</v>
      </c>
      <c r="D47" s="60">
        <v>9.615384615384615</v>
      </c>
      <c r="E47" s="51">
        <v>0.1</v>
      </c>
      <c r="F47" s="51">
        <v>0.5</v>
      </c>
      <c r="G47" s="51">
        <v>0</v>
      </c>
      <c r="H47" s="51">
        <v>0.4</v>
      </c>
      <c r="I47" s="49">
        <f t="shared" si="1"/>
        <v>2.8205128205128176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5">
      <c r="A48" s="50">
        <v>70</v>
      </c>
      <c r="B48" s="60">
        <v>128.84615384615384</v>
      </c>
      <c r="C48" s="60">
        <v>11</v>
      </c>
      <c r="D48" s="60">
        <v>8.9743589743589745</v>
      </c>
      <c r="E48" s="51">
        <v>0.1</v>
      </c>
      <c r="F48" s="51">
        <v>0.5</v>
      </c>
      <c r="G48" s="51">
        <v>0</v>
      </c>
      <c r="H48" s="51">
        <v>0.4</v>
      </c>
      <c r="I48" s="49">
        <f t="shared" si="1"/>
        <v>2.6923076923076907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5">
      <c r="A49" s="50">
        <v>75</v>
      </c>
      <c r="B49" s="60">
        <v>130.76923076923075</v>
      </c>
      <c r="C49" s="60">
        <v>12</v>
      </c>
      <c r="D49" s="60">
        <v>7.6923076923076916</v>
      </c>
      <c r="E49" s="51">
        <v>0.1</v>
      </c>
      <c r="F49" s="51">
        <v>0.5</v>
      </c>
      <c r="G49" s="51">
        <v>0</v>
      </c>
      <c r="H49" s="51">
        <v>0.4</v>
      </c>
      <c r="I49" s="49">
        <f t="shared" si="1"/>
        <v>2.1794871794871766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5">
      <c r="A50" s="50">
        <v>80</v>
      </c>
      <c r="B50" s="50">
        <v>133.33333333333334</v>
      </c>
      <c r="C50" s="50">
        <v>13</v>
      </c>
      <c r="D50" s="50">
        <v>7.0512820512820511</v>
      </c>
      <c r="E50" s="51">
        <v>0.1</v>
      </c>
      <c r="F50" s="51">
        <v>0.5</v>
      </c>
      <c r="G50" s="51">
        <v>0</v>
      </c>
      <c r="H50" s="51">
        <v>0.4</v>
      </c>
      <c r="I50" s="49">
        <f t="shared" si="1"/>
        <v>2.0512820512820582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5">
      <c r="A51" s="50">
        <v>85</v>
      </c>
      <c r="B51" s="50">
        <v>135.25641025641025</v>
      </c>
      <c r="C51" s="50">
        <v>14</v>
      </c>
      <c r="D51" s="50">
        <v>6.4102564102564097</v>
      </c>
      <c r="E51" s="51">
        <v>0.1</v>
      </c>
      <c r="F51" s="51">
        <v>0.5</v>
      </c>
      <c r="G51" s="51">
        <v>0</v>
      </c>
      <c r="H51" s="51">
        <v>0.4</v>
      </c>
      <c r="I51" s="49">
        <f t="shared" si="1"/>
        <v>1.7948717948717898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5">
      <c r="A52" s="50">
        <v>90</v>
      </c>
      <c r="B52" s="50">
        <v>137.82051282051282</v>
      </c>
      <c r="C52" s="50">
        <v>15</v>
      </c>
      <c r="D52" s="50">
        <v>6.4102564102564097</v>
      </c>
      <c r="E52" s="51">
        <v>0.1</v>
      </c>
      <c r="F52" s="51">
        <v>0.5</v>
      </c>
      <c r="G52" s="51">
        <v>0</v>
      </c>
      <c r="H52" s="51">
        <v>0.4</v>
      </c>
      <c r="I52" s="49">
        <f t="shared" si="1"/>
        <v>1.7948717948717956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5">
      <c r="A53" s="50">
        <v>95</v>
      </c>
      <c r="B53" s="50">
        <v>140.38461538461539</v>
      </c>
      <c r="C53" s="50">
        <v>16</v>
      </c>
      <c r="D53" s="50">
        <v>7.0512820512820511</v>
      </c>
      <c r="E53" s="51">
        <v>0.1</v>
      </c>
      <c r="F53" s="51">
        <v>0.5</v>
      </c>
      <c r="G53" s="51">
        <v>0</v>
      </c>
      <c r="H53" s="51">
        <v>0.4</v>
      </c>
      <c r="I53" s="49">
        <f t="shared" si="1"/>
        <v>1.7948717948717956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5">
      <c r="A54" s="50">
        <v>100</v>
      </c>
      <c r="B54" s="50">
        <v>142.94871794871796</v>
      </c>
      <c r="C54" s="50">
        <v>17</v>
      </c>
      <c r="D54" s="50">
        <v>142.94871794871796</v>
      </c>
      <c r="E54" s="51">
        <v>0.1</v>
      </c>
      <c r="F54" s="51">
        <v>0.5</v>
      </c>
      <c r="G54" s="51">
        <v>0</v>
      </c>
      <c r="H54" s="51">
        <v>0.4</v>
      </c>
      <c r="I54" s="49">
        <f t="shared" si="1"/>
        <v>1.9230769230769227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5">
      <c r="A57" s="4"/>
      <c r="B57" s="4"/>
      <c r="C57" s="23" t="s">
        <v>325</v>
      </c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5">
      <c r="A58" s="46" t="s">
        <v>166</v>
      </c>
      <c r="B58" s="52" t="str">
        <f>IF(B10="","",B10)</f>
        <v>Chêne pubescent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5" x14ac:dyDescent="0.4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5">
      <c r="A62" s="50">
        <v>44</v>
      </c>
      <c r="B62" s="60">
        <v>201.77</v>
      </c>
      <c r="C62" s="60">
        <v>1</v>
      </c>
      <c r="D62" s="60">
        <v>76.680000000000007</v>
      </c>
      <c r="E62" s="51">
        <v>0</v>
      </c>
      <c r="F62" s="51">
        <v>0.8</v>
      </c>
      <c r="G62" s="51">
        <v>0.2</v>
      </c>
      <c r="H62" s="51">
        <v>0</v>
      </c>
      <c r="I62" s="53">
        <f>IFERROR(B62/A62,"")</f>
        <v>4.5856818181818184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5">
      <c r="A63" s="50">
        <v>51</v>
      </c>
      <c r="B63" s="60">
        <v>192.85</v>
      </c>
      <c r="C63" s="60">
        <v>2</v>
      </c>
      <c r="D63" s="60">
        <v>48.769999999999982</v>
      </c>
      <c r="E63" s="51">
        <v>0</v>
      </c>
      <c r="F63" s="51">
        <v>0.8</v>
      </c>
      <c r="G63" s="51">
        <v>0.2</v>
      </c>
      <c r="H63" s="51">
        <v>0</v>
      </c>
      <c r="I63" s="49">
        <f>IF(A63&lt;&gt;0,(B63-(B62-D62))/(A63-A62),"")</f>
        <v>9.6799999999999979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5">
      <c r="A64" s="50">
        <v>59</v>
      </c>
      <c r="B64" s="60">
        <v>217.3</v>
      </c>
      <c r="C64" s="60">
        <v>3</v>
      </c>
      <c r="D64" s="60">
        <v>52.75</v>
      </c>
      <c r="E64" s="51">
        <v>0.35</v>
      </c>
      <c r="F64" s="51">
        <v>0.2</v>
      </c>
      <c r="G64" s="51">
        <v>0.1</v>
      </c>
      <c r="H64" s="51">
        <v>0.35</v>
      </c>
      <c r="I64" s="49">
        <f>IF(A64&lt;&gt;0,(B64-(B63-D63))/(A64-A63),"")</f>
        <v>9.1524999999999999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5">
      <c r="A65" s="50">
        <v>67</v>
      </c>
      <c r="B65" s="60">
        <v>233.08</v>
      </c>
      <c r="C65" s="60">
        <v>4</v>
      </c>
      <c r="D65" s="60">
        <v>44.170000000000016</v>
      </c>
      <c r="E65" s="51">
        <v>0.35</v>
      </c>
      <c r="F65" s="51">
        <v>0.2</v>
      </c>
      <c r="G65" s="51">
        <v>0.1</v>
      </c>
      <c r="H65" s="51">
        <v>0.35</v>
      </c>
      <c r="I65" s="49">
        <f>IF(A65&lt;&gt;0,(B65-(B64-D64))/(A65-A64),"")</f>
        <v>8.5662500000000001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5">
      <c r="A66" s="50">
        <v>75</v>
      </c>
      <c r="B66" s="60">
        <v>254.89</v>
      </c>
      <c r="C66" s="60">
        <v>5</v>
      </c>
      <c r="D66" s="60">
        <v>43.289999999999992</v>
      </c>
      <c r="E66" s="51">
        <v>0.35</v>
      </c>
      <c r="F66" s="51">
        <v>0.2</v>
      </c>
      <c r="G66" s="51">
        <v>0.1</v>
      </c>
      <c r="H66" s="51">
        <v>0.35</v>
      </c>
      <c r="I66" s="49">
        <f t="shared" ref="I66:I81" si="2">IF(A66&lt;&gt;0,(B66-(B65-D65))/(A66-A65),"")</f>
        <v>8.2474999999999987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5">
      <c r="A67" s="50">
        <v>84</v>
      </c>
      <c r="B67" s="60">
        <v>283.77</v>
      </c>
      <c r="C67" s="60">
        <v>6</v>
      </c>
      <c r="D67" s="60">
        <v>49.669999999999987</v>
      </c>
      <c r="E67" s="51">
        <v>0.35</v>
      </c>
      <c r="F67" s="51">
        <v>0.2</v>
      </c>
      <c r="G67" s="51">
        <v>0.1</v>
      </c>
      <c r="H67" s="51">
        <v>0.35</v>
      </c>
      <c r="I67" s="49">
        <f t="shared" si="2"/>
        <v>8.0188888888888883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5">
      <c r="A68" s="50">
        <v>93</v>
      </c>
      <c r="B68" s="60">
        <v>303.37</v>
      </c>
      <c r="C68" s="60">
        <v>7</v>
      </c>
      <c r="D68" s="60">
        <v>42.910000000000025</v>
      </c>
      <c r="E68" s="51">
        <v>0.35</v>
      </c>
      <c r="F68" s="51">
        <v>0.2</v>
      </c>
      <c r="G68" s="51">
        <v>0.1</v>
      </c>
      <c r="H68" s="51">
        <v>0.35</v>
      </c>
      <c r="I68" s="49">
        <f t="shared" si="2"/>
        <v>7.6966666666666681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5">
      <c r="A69" s="50">
        <v>103</v>
      </c>
      <c r="B69" s="50">
        <v>337.71</v>
      </c>
      <c r="C69" s="50">
        <v>8</v>
      </c>
      <c r="D69" s="50">
        <v>56.789999999999964</v>
      </c>
      <c r="E69" s="51">
        <v>0.35</v>
      </c>
      <c r="F69" s="51">
        <v>0.2</v>
      </c>
      <c r="G69" s="51">
        <v>0.1</v>
      </c>
      <c r="H69" s="51">
        <v>0.35</v>
      </c>
      <c r="I69" s="49">
        <f t="shared" si="2"/>
        <v>7.7249999999999996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5">
      <c r="A70" s="50">
        <v>113</v>
      </c>
      <c r="B70" s="50">
        <v>356.05</v>
      </c>
      <c r="C70" s="50">
        <v>9</v>
      </c>
      <c r="D70" s="50">
        <v>45.660000000000025</v>
      </c>
      <c r="E70" s="51">
        <v>0.5</v>
      </c>
      <c r="F70" s="51">
        <v>0.2</v>
      </c>
      <c r="G70" s="51">
        <v>0</v>
      </c>
      <c r="H70" s="51">
        <v>0.3</v>
      </c>
      <c r="I70" s="49">
        <f t="shared" si="2"/>
        <v>7.5129999999999999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5">
      <c r="A71" s="50">
        <v>125</v>
      </c>
      <c r="B71" s="50">
        <v>404.61</v>
      </c>
      <c r="C71" s="50">
        <v>10</v>
      </c>
      <c r="D71" s="50">
        <v>70</v>
      </c>
      <c r="E71" s="51">
        <v>0.5</v>
      </c>
      <c r="F71" s="51">
        <v>0.2</v>
      </c>
      <c r="G71" s="51">
        <v>0</v>
      </c>
      <c r="H71" s="51">
        <v>0.3</v>
      </c>
      <c r="I71" s="49">
        <f t="shared" si="2"/>
        <v>7.8516666666666692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5">
      <c r="A72" s="50">
        <v>137</v>
      </c>
      <c r="B72" s="50">
        <v>428.03</v>
      </c>
      <c r="C72" s="50">
        <v>11</v>
      </c>
      <c r="D72" s="50">
        <v>74.669999999999959</v>
      </c>
      <c r="E72" s="51">
        <v>0.5</v>
      </c>
      <c r="F72" s="51">
        <v>0.2</v>
      </c>
      <c r="G72" s="51">
        <v>0</v>
      </c>
      <c r="H72" s="51">
        <v>0.3</v>
      </c>
      <c r="I72" s="49">
        <f t="shared" si="2"/>
        <v>7.7849999999999966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5">
      <c r="A73" s="50">
        <v>149</v>
      </c>
      <c r="B73" s="50">
        <v>444.56</v>
      </c>
      <c r="C73" s="50">
        <v>12</v>
      </c>
      <c r="D73" s="50">
        <v>176.67000000000002</v>
      </c>
      <c r="E73" s="51">
        <v>0.45</v>
      </c>
      <c r="F73" s="51">
        <v>0.05</v>
      </c>
      <c r="G73" s="51">
        <v>0.05</v>
      </c>
      <c r="H73" s="51">
        <v>0.45</v>
      </c>
      <c r="I73" s="49">
        <f t="shared" si="2"/>
        <v>7.5999999999999988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5">
      <c r="A74" s="50">
        <v>153</v>
      </c>
      <c r="B74" s="50">
        <v>286.3</v>
      </c>
      <c r="C74" s="50">
        <v>13</v>
      </c>
      <c r="D74" s="50">
        <v>102.89000000000001</v>
      </c>
      <c r="E74" s="51">
        <v>0.45</v>
      </c>
      <c r="F74" s="51">
        <v>0.05</v>
      </c>
      <c r="G74" s="51">
        <v>0.05</v>
      </c>
      <c r="H74" s="51">
        <v>0.45</v>
      </c>
      <c r="I74" s="49">
        <f t="shared" si="2"/>
        <v>4.6025000000000063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5">
      <c r="A75" s="50">
        <v>157</v>
      </c>
      <c r="B75" s="50">
        <v>194.52</v>
      </c>
      <c r="C75" s="50">
        <v>14</v>
      </c>
      <c r="D75" s="50">
        <v>67.13000000000001</v>
      </c>
      <c r="E75" s="51">
        <v>0.45</v>
      </c>
      <c r="F75" s="51">
        <v>0.05</v>
      </c>
      <c r="G75" s="51">
        <v>0.05</v>
      </c>
      <c r="H75" s="51">
        <v>0.45</v>
      </c>
      <c r="I75" s="49">
        <f t="shared" si="2"/>
        <v>2.7775000000000034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5">
      <c r="A76" s="50">
        <v>161</v>
      </c>
      <c r="B76" s="50">
        <v>134.26</v>
      </c>
      <c r="C76" s="50">
        <v>15</v>
      </c>
      <c r="D76" s="50">
        <v>134.26</v>
      </c>
      <c r="E76" s="51">
        <v>0.45</v>
      </c>
      <c r="F76" s="51">
        <v>0.05</v>
      </c>
      <c r="G76" s="51">
        <v>0.05</v>
      </c>
      <c r="H76" s="51">
        <v>0.45</v>
      </c>
      <c r="I76" s="49">
        <f t="shared" si="2"/>
        <v>1.7174999999999976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5">
      <c r="A83" s="4"/>
      <c r="B83" s="4"/>
      <c r="C83" s="23" t="s">
        <v>326</v>
      </c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5">
      <c r="A84" s="46" t="s">
        <v>167</v>
      </c>
      <c r="B84" s="52" t="str">
        <f>IF(B11="","",B11)</f>
        <v>Chêne vert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5" x14ac:dyDescent="0.4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5">
      <c r="A88" s="50">
        <v>60</v>
      </c>
      <c r="B88" s="60">
        <v>201.62</v>
      </c>
      <c r="C88" s="60">
        <v>1</v>
      </c>
      <c r="D88" s="60">
        <v>72.87</v>
      </c>
      <c r="E88" s="51">
        <v>0</v>
      </c>
      <c r="F88" s="51">
        <v>0.8</v>
      </c>
      <c r="G88" s="51">
        <v>0.2</v>
      </c>
      <c r="H88" s="87">
        <v>0</v>
      </c>
      <c r="I88" s="53">
        <f>IFERROR(B88/A88,"")</f>
        <v>3.3603333333333336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5">
      <c r="A89" s="50">
        <v>69</v>
      </c>
      <c r="B89" s="60">
        <v>190.79</v>
      </c>
      <c r="C89" s="60">
        <v>2</v>
      </c>
      <c r="D89" s="60">
        <v>42.22</v>
      </c>
      <c r="E89" s="51">
        <v>0</v>
      </c>
      <c r="F89" s="51">
        <v>0.8</v>
      </c>
      <c r="G89" s="51">
        <v>0.2</v>
      </c>
      <c r="H89" s="87">
        <v>0</v>
      </c>
      <c r="I89" s="53">
        <f t="shared" ref="I89:I107" si="3">IF(A89&lt;&gt;0,(B89-(B88-D88))/(A89-A88),"")</f>
        <v>6.8933333333333326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5">
      <c r="A90" s="50">
        <v>77</v>
      </c>
      <c r="B90" s="60">
        <v>202.52</v>
      </c>
      <c r="C90" s="60">
        <v>3</v>
      </c>
      <c r="D90" s="60">
        <v>33.950000000000017</v>
      </c>
      <c r="E90" s="87">
        <v>0</v>
      </c>
      <c r="F90" s="87">
        <v>0.8</v>
      </c>
      <c r="G90" s="87">
        <v>0.2</v>
      </c>
      <c r="H90" s="87">
        <v>0</v>
      </c>
      <c r="I90" s="53">
        <f t="shared" si="3"/>
        <v>6.7437500000000021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5">
      <c r="A91" s="50">
        <v>86</v>
      </c>
      <c r="B91" s="60">
        <v>229.27</v>
      </c>
      <c r="C91" s="60">
        <v>4</v>
      </c>
      <c r="D91" s="60">
        <v>37.54000000000002</v>
      </c>
      <c r="E91" s="87">
        <v>0.35</v>
      </c>
      <c r="F91" s="87">
        <v>0.2</v>
      </c>
      <c r="G91" s="87">
        <v>0.1</v>
      </c>
      <c r="H91" s="87">
        <v>0.35</v>
      </c>
      <c r="I91" s="53">
        <f t="shared" si="3"/>
        <v>6.7444444444444462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5">
      <c r="A92" s="50">
        <v>95</v>
      </c>
      <c r="B92" s="60">
        <v>252.57</v>
      </c>
      <c r="C92" s="60">
        <v>5</v>
      </c>
      <c r="D92" s="60">
        <v>42.199999999999989</v>
      </c>
      <c r="E92" s="87">
        <v>0.35</v>
      </c>
      <c r="F92" s="87">
        <v>0.2</v>
      </c>
      <c r="G92" s="87">
        <v>0.1</v>
      </c>
      <c r="H92" s="87">
        <v>0.35</v>
      </c>
      <c r="I92" s="53">
        <f t="shared" si="3"/>
        <v>6.7600000000000007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5">
      <c r="A93" s="50">
        <v>104</v>
      </c>
      <c r="B93" s="60">
        <v>271.37</v>
      </c>
      <c r="C93" s="60">
        <v>6</v>
      </c>
      <c r="D93" s="60">
        <v>39.400000000000006</v>
      </c>
      <c r="E93" s="87">
        <v>0.35</v>
      </c>
      <c r="F93" s="87">
        <v>0.2</v>
      </c>
      <c r="G93" s="87">
        <v>0.1</v>
      </c>
      <c r="H93" s="87">
        <v>0.35</v>
      </c>
      <c r="I93" s="53">
        <f t="shared" si="3"/>
        <v>6.7777777777777777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5">
      <c r="A94" s="50">
        <v>113</v>
      </c>
      <c r="B94" s="60">
        <v>293.89999999999998</v>
      </c>
      <c r="C94" s="60">
        <v>7</v>
      </c>
      <c r="D94" s="60">
        <v>41.639999999999986</v>
      </c>
      <c r="E94" s="87">
        <v>0.35</v>
      </c>
      <c r="F94" s="87">
        <v>0.2</v>
      </c>
      <c r="G94" s="87">
        <v>0.1</v>
      </c>
      <c r="H94" s="87">
        <v>0.35</v>
      </c>
      <c r="I94" s="53">
        <f t="shared" si="3"/>
        <v>6.8811111111111085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5">
      <c r="A95" s="60">
        <v>122</v>
      </c>
      <c r="B95" s="60">
        <v>315.27</v>
      </c>
      <c r="C95" s="60">
        <v>8</v>
      </c>
      <c r="D95" s="60">
        <v>45.829999999999984</v>
      </c>
      <c r="E95" s="87">
        <v>0.35</v>
      </c>
      <c r="F95" s="87">
        <v>0.2</v>
      </c>
      <c r="G95" s="87">
        <v>0.1</v>
      </c>
      <c r="H95" s="87">
        <v>0.35</v>
      </c>
      <c r="I95" s="53">
        <f t="shared" si="3"/>
        <v>7.0011111111111104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5">
      <c r="A96" s="60">
        <v>132</v>
      </c>
      <c r="B96" s="60">
        <v>340.57</v>
      </c>
      <c r="C96" s="60">
        <v>9</v>
      </c>
      <c r="D96" s="60">
        <v>48.699999999999989</v>
      </c>
      <c r="E96" s="87">
        <v>0.35</v>
      </c>
      <c r="F96" s="87">
        <v>0.2</v>
      </c>
      <c r="G96" s="87">
        <v>0.1</v>
      </c>
      <c r="H96" s="87">
        <v>0.35</v>
      </c>
      <c r="I96" s="53">
        <f t="shared" si="3"/>
        <v>7.1129999999999995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5">
      <c r="A97" s="60">
        <v>144</v>
      </c>
      <c r="B97" s="60">
        <v>379.92</v>
      </c>
      <c r="C97" s="60">
        <v>10</v>
      </c>
      <c r="D97" s="60">
        <v>60.949999999999989</v>
      </c>
      <c r="E97" s="87">
        <v>0.35</v>
      </c>
      <c r="F97" s="87">
        <v>0.2</v>
      </c>
      <c r="G97" s="87">
        <v>0.1</v>
      </c>
      <c r="H97" s="87">
        <v>0.35</v>
      </c>
      <c r="I97" s="53">
        <f t="shared" si="3"/>
        <v>7.3375000000000012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5">
      <c r="A98" s="60">
        <v>156</v>
      </c>
      <c r="B98" s="60">
        <v>409.2</v>
      </c>
      <c r="C98" s="60">
        <v>11</v>
      </c>
      <c r="D98" s="60">
        <v>65.69</v>
      </c>
      <c r="E98" s="87">
        <v>0.5</v>
      </c>
      <c r="F98" s="87">
        <v>0.2</v>
      </c>
      <c r="G98" s="87">
        <v>0</v>
      </c>
      <c r="H98" s="87">
        <v>0.3</v>
      </c>
      <c r="I98" s="53">
        <f t="shared" si="3"/>
        <v>7.5191666666666634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5">
      <c r="A99" s="60">
        <v>168</v>
      </c>
      <c r="B99" s="60">
        <v>435.65</v>
      </c>
      <c r="C99" s="60">
        <v>12</v>
      </c>
      <c r="D99" s="60">
        <v>71.37</v>
      </c>
      <c r="E99" s="87">
        <v>0.5</v>
      </c>
      <c r="F99" s="87">
        <v>0.2</v>
      </c>
      <c r="G99" s="87">
        <v>0</v>
      </c>
      <c r="H99" s="87">
        <v>0.3</v>
      </c>
      <c r="I99" s="53">
        <f t="shared" si="3"/>
        <v>7.6783333333333319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5">
      <c r="A100" s="60">
        <v>180</v>
      </c>
      <c r="B100" s="60">
        <v>456.54</v>
      </c>
      <c r="C100" s="60">
        <v>13</v>
      </c>
      <c r="D100" s="60">
        <v>175.59000000000003</v>
      </c>
      <c r="E100" s="65">
        <v>0.5</v>
      </c>
      <c r="F100" s="65">
        <v>0.2</v>
      </c>
      <c r="G100" s="65">
        <v>0</v>
      </c>
      <c r="H100" s="65">
        <v>0.3</v>
      </c>
      <c r="I100" s="53">
        <f t="shared" si="3"/>
        <v>7.688333333333337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5">
      <c r="A101" s="60">
        <v>184</v>
      </c>
      <c r="B101" s="60">
        <v>300.14</v>
      </c>
      <c r="C101" s="60">
        <v>14</v>
      </c>
      <c r="D101" s="60">
        <v>101.19999999999999</v>
      </c>
      <c r="E101" s="65">
        <v>0.5</v>
      </c>
      <c r="F101" s="65">
        <v>0.2</v>
      </c>
      <c r="G101" s="65">
        <v>0</v>
      </c>
      <c r="H101" s="65">
        <v>0.3</v>
      </c>
      <c r="I101" s="53">
        <f t="shared" si="3"/>
        <v>4.7974999999999994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5">
      <c r="A102" s="60">
        <v>188</v>
      </c>
      <c r="B102" s="50">
        <v>211.27</v>
      </c>
      <c r="C102" s="60">
        <v>15</v>
      </c>
      <c r="D102" s="50">
        <v>72.180000000000007</v>
      </c>
      <c r="E102" s="54">
        <v>0.5</v>
      </c>
      <c r="F102" s="54">
        <v>0.2</v>
      </c>
      <c r="G102" s="54">
        <v>0</v>
      </c>
      <c r="H102" s="54">
        <v>0.3</v>
      </c>
      <c r="I102" s="53">
        <f t="shared" si="3"/>
        <v>3.0825000000000031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5">
      <c r="A103" s="60">
        <v>191</v>
      </c>
      <c r="B103" s="50">
        <v>145.01</v>
      </c>
      <c r="C103" s="60">
        <v>16</v>
      </c>
      <c r="D103" s="50">
        <v>145.01</v>
      </c>
      <c r="E103" s="54">
        <v>0.45</v>
      </c>
      <c r="F103" s="54">
        <v>0.05</v>
      </c>
      <c r="G103" s="54">
        <v>0.05</v>
      </c>
      <c r="H103" s="54">
        <v>0.45</v>
      </c>
      <c r="I103" s="53">
        <f t="shared" si="3"/>
        <v>1.9733333333333292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5">
      <c r="A109" s="4"/>
      <c r="B109" s="4"/>
      <c r="C109" s="23" t="s">
        <v>327</v>
      </c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5">
      <c r="A110" s="46" t="s">
        <v>168</v>
      </c>
      <c r="B110" s="52" t="str">
        <f>IF(B12="","",B12)</f>
        <v>Cormier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5" x14ac:dyDescent="0.4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5">
      <c r="A114" s="50">
        <v>38</v>
      </c>
      <c r="B114" s="60">
        <v>152.63</v>
      </c>
      <c r="C114" s="50">
        <v>1</v>
      </c>
      <c r="D114" s="60">
        <v>71.569999999999993</v>
      </c>
      <c r="E114" s="51">
        <v>0</v>
      </c>
      <c r="F114" s="51">
        <v>0.8</v>
      </c>
      <c r="G114" s="51">
        <v>0.2</v>
      </c>
      <c r="H114" s="51">
        <v>0</v>
      </c>
      <c r="I114" s="53">
        <f>IFERROR(B114/A114,"")</f>
        <v>4.016578947368421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5">
      <c r="A115" s="50">
        <v>45</v>
      </c>
      <c r="B115" s="60">
        <v>149.75</v>
      </c>
      <c r="C115" s="50">
        <v>2</v>
      </c>
      <c r="D115" s="60">
        <v>41.69</v>
      </c>
      <c r="E115" s="51">
        <v>0</v>
      </c>
      <c r="F115" s="51">
        <v>0.8</v>
      </c>
      <c r="G115" s="51">
        <v>0.2</v>
      </c>
      <c r="H115" s="51">
        <v>0</v>
      </c>
      <c r="I115" s="53">
        <f t="shared" ref="I115:I133" si="4">IF(A115&lt;&gt;0,(B115-(B114-D114))/(A115-A114),"")</f>
        <v>9.8128571428571423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5">
      <c r="A116" s="50">
        <v>52</v>
      </c>
      <c r="B116" s="60">
        <v>178.07</v>
      </c>
      <c r="C116" s="50">
        <v>3</v>
      </c>
      <c r="D116" s="60">
        <v>44.400000000000006</v>
      </c>
      <c r="E116" s="51">
        <v>0.35</v>
      </c>
      <c r="F116" s="51">
        <v>0.2</v>
      </c>
      <c r="G116" s="51">
        <v>0.1</v>
      </c>
      <c r="H116" s="51">
        <v>0.35</v>
      </c>
      <c r="I116" s="53">
        <f t="shared" si="4"/>
        <v>10.001428571428571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5">
      <c r="A117" s="50">
        <v>59</v>
      </c>
      <c r="B117" s="60">
        <v>202.85</v>
      </c>
      <c r="C117" s="50">
        <v>4</v>
      </c>
      <c r="D117" s="60">
        <v>41.81</v>
      </c>
      <c r="E117" s="51">
        <v>0.35</v>
      </c>
      <c r="F117" s="51">
        <v>0.2</v>
      </c>
      <c r="G117" s="51">
        <v>0.1</v>
      </c>
      <c r="H117" s="51">
        <v>0.35</v>
      </c>
      <c r="I117" s="53">
        <f t="shared" si="4"/>
        <v>9.8828571428571443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5">
      <c r="A118" s="50">
        <v>67</v>
      </c>
      <c r="B118" s="60">
        <v>239.06</v>
      </c>
      <c r="C118" s="50">
        <v>5</v>
      </c>
      <c r="D118" s="60">
        <v>42.550000000000011</v>
      </c>
      <c r="E118" s="51">
        <v>0.35</v>
      </c>
      <c r="F118" s="51">
        <v>0.2</v>
      </c>
      <c r="G118" s="51">
        <v>0.1</v>
      </c>
      <c r="H118" s="51">
        <v>0.35</v>
      </c>
      <c r="I118" s="53">
        <f t="shared" si="4"/>
        <v>9.7525000000000013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5">
      <c r="A119" s="50">
        <v>75</v>
      </c>
      <c r="B119" s="60">
        <v>273.76</v>
      </c>
      <c r="C119" s="50">
        <v>6</v>
      </c>
      <c r="D119" s="60">
        <v>43.519999999999982</v>
      </c>
      <c r="E119" s="51">
        <v>0.35</v>
      </c>
      <c r="F119" s="51">
        <v>0.2</v>
      </c>
      <c r="G119" s="51">
        <v>0.1</v>
      </c>
      <c r="H119" s="51">
        <v>0.35</v>
      </c>
      <c r="I119" s="53">
        <f t="shared" si="4"/>
        <v>9.65625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5">
      <c r="A120" s="60">
        <v>83</v>
      </c>
      <c r="B120" s="60">
        <v>306.11</v>
      </c>
      <c r="C120" s="60">
        <v>7</v>
      </c>
      <c r="D120" s="60">
        <v>49.980000000000018</v>
      </c>
      <c r="E120" s="87">
        <v>0.35</v>
      </c>
      <c r="F120" s="87">
        <v>0.2</v>
      </c>
      <c r="G120" s="87">
        <v>0.1</v>
      </c>
      <c r="H120" s="87">
        <v>0.35</v>
      </c>
      <c r="I120" s="53">
        <f t="shared" si="4"/>
        <v>9.4837500000000006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5">
      <c r="A121" s="60">
        <v>93</v>
      </c>
      <c r="B121" s="60">
        <v>348.87</v>
      </c>
      <c r="C121" s="60">
        <v>8</v>
      </c>
      <c r="D121" s="60">
        <v>67.45999999999998</v>
      </c>
      <c r="E121" s="87">
        <v>0.5</v>
      </c>
      <c r="F121" s="87">
        <v>0.2</v>
      </c>
      <c r="G121" s="87">
        <v>0</v>
      </c>
      <c r="H121" s="87">
        <v>0.3</v>
      </c>
      <c r="I121" s="53">
        <f t="shared" si="4"/>
        <v>9.2740000000000009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5">
      <c r="A122" s="60">
        <v>103</v>
      </c>
      <c r="B122" s="60">
        <v>371.4</v>
      </c>
      <c r="C122" s="60">
        <v>9</v>
      </c>
      <c r="D122" s="60">
        <v>67.759999999999991</v>
      </c>
      <c r="E122" s="87">
        <v>0.5</v>
      </c>
      <c r="F122" s="87">
        <v>0.2</v>
      </c>
      <c r="G122" s="87">
        <v>0</v>
      </c>
      <c r="H122" s="87">
        <v>0.3</v>
      </c>
      <c r="I122" s="53">
        <f t="shared" si="4"/>
        <v>8.9989999999999952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5">
      <c r="A123" s="60">
        <v>113</v>
      </c>
      <c r="B123" s="60">
        <v>391.18</v>
      </c>
      <c r="C123" s="60">
        <v>10</v>
      </c>
      <c r="D123" s="60">
        <v>68.670000000000016</v>
      </c>
      <c r="E123" s="87">
        <v>0.5</v>
      </c>
      <c r="F123" s="87">
        <v>0.2</v>
      </c>
      <c r="G123" s="87">
        <v>0</v>
      </c>
      <c r="H123" s="87">
        <v>0.3</v>
      </c>
      <c r="I123" s="53">
        <f t="shared" si="4"/>
        <v>8.7540000000000013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5">
      <c r="A124" s="60">
        <v>123</v>
      </c>
      <c r="B124" s="60">
        <v>409.53</v>
      </c>
      <c r="C124" s="60">
        <v>11</v>
      </c>
      <c r="D124" s="60">
        <v>203.78999999999996</v>
      </c>
      <c r="E124" s="87">
        <v>0.45</v>
      </c>
      <c r="F124" s="87">
        <v>0.05</v>
      </c>
      <c r="G124" s="87">
        <v>0.05</v>
      </c>
      <c r="H124" s="87">
        <v>0.45</v>
      </c>
      <c r="I124" s="53">
        <f t="shared" si="4"/>
        <v>8.7019999999999982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5">
      <c r="A125" s="60">
        <v>125</v>
      </c>
      <c r="B125" s="60">
        <v>215.44</v>
      </c>
      <c r="C125" s="60">
        <v>12</v>
      </c>
      <c r="D125" s="60">
        <v>70.609999999999985</v>
      </c>
      <c r="E125" s="87">
        <v>0.45</v>
      </c>
      <c r="F125" s="87">
        <v>0.05</v>
      </c>
      <c r="G125" s="87">
        <v>0.05</v>
      </c>
      <c r="H125" s="87">
        <v>0.45</v>
      </c>
      <c r="I125" s="53">
        <f t="shared" si="4"/>
        <v>4.8499999999999943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5">
      <c r="A126" s="60">
        <v>127</v>
      </c>
      <c r="B126" s="60">
        <v>151.47999999999999</v>
      </c>
      <c r="C126" s="60">
        <v>13</v>
      </c>
      <c r="D126" s="60">
        <v>46.039999999999992</v>
      </c>
      <c r="E126" s="65">
        <v>0.45</v>
      </c>
      <c r="F126" s="65">
        <v>0.05</v>
      </c>
      <c r="G126" s="65">
        <v>0.05</v>
      </c>
      <c r="H126" s="65">
        <v>0.45</v>
      </c>
      <c r="I126" s="53">
        <f t="shared" si="4"/>
        <v>3.3249999999999886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5">
      <c r="A127" s="60">
        <v>130</v>
      </c>
      <c r="B127" s="60">
        <v>112.75</v>
      </c>
      <c r="C127" s="60">
        <v>14</v>
      </c>
      <c r="D127" s="60">
        <v>112.75</v>
      </c>
      <c r="E127" s="65">
        <v>0.45</v>
      </c>
      <c r="F127" s="65">
        <v>0.05</v>
      </c>
      <c r="G127" s="65">
        <v>0.05</v>
      </c>
      <c r="H127" s="65">
        <v>0.45</v>
      </c>
      <c r="I127" s="53">
        <f t="shared" si="4"/>
        <v>2.4366666666666674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5" x14ac:dyDescent="0.4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5" x14ac:dyDescent="0.4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5" x14ac:dyDescent="0.4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5" x14ac:dyDescent="0.4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5" x14ac:dyDescent="0.4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5" x14ac:dyDescent="0.4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3" zoomScaleNormal="100" workbookViewId="0">
      <selection activeCell="C23" sqref="C23"/>
    </sheetView>
  </sheetViews>
  <sheetFormatPr baseColWidth="10" defaultColWidth="11.46484375" defaultRowHeight="14.25" x14ac:dyDescent="0.45"/>
  <cols>
    <col min="1" max="1" width="5.9296875" style="1" customWidth="1"/>
    <col min="2" max="2" width="14.06640625" style="1" customWidth="1"/>
    <col min="3" max="3" width="62.06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6484375" style="1"/>
    <col min="11" max="11" width="12.53125" style="1" customWidth="1"/>
    <col min="12" max="16384" width="11.46484375" style="1"/>
  </cols>
  <sheetData>
    <row r="1" spans="1:38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5.9" thickBot="1" x14ac:dyDescent="0.8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5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5">
      <c r="C104" s="4"/>
      <c r="F104" s="4"/>
    </row>
    <row r="105" spans="3:35" x14ac:dyDescent="0.45">
      <c r="C105" s="4"/>
      <c r="F105" s="4"/>
    </row>
    <row r="106" spans="3:35" x14ac:dyDescent="0.45">
      <c r="C106" s="4"/>
      <c r="F106" s="4"/>
    </row>
    <row r="107" spans="3:35" x14ac:dyDescent="0.45">
      <c r="C107" s="4"/>
      <c r="F107" s="4"/>
    </row>
    <row r="108" spans="3:35" x14ac:dyDescent="0.45">
      <c r="C108" s="4"/>
      <c r="F108" s="4"/>
    </row>
    <row r="109" spans="3:35" x14ac:dyDescent="0.45">
      <c r="C109" s="4"/>
      <c r="F109" s="4"/>
    </row>
    <row r="110" spans="3:35" x14ac:dyDescent="0.45">
      <c r="C110" s="4"/>
      <c r="F110" s="4"/>
    </row>
    <row r="111" spans="3:35" x14ac:dyDescent="0.45">
      <c r="C111" s="4"/>
      <c r="F111" s="4"/>
    </row>
    <row r="112" spans="3:35" x14ac:dyDescent="0.45">
      <c r="C112" s="4"/>
      <c r="F112" s="4"/>
    </row>
    <row r="113" spans="3:6" x14ac:dyDescent="0.45">
      <c r="C113" s="4"/>
      <c r="F113" s="4"/>
    </row>
    <row r="114" spans="3:6" x14ac:dyDescent="0.45">
      <c r="C114" s="4"/>
      <c r="F114" s="4"/>
    </row>
    <row r="115" spans="3:6" x14ac:dyDescent="0.45">
      <c r="C115" s="4"/>
      <c r="F115" s="4"/>
    </row>
    <row r="116" spans="3:6" x14ac:dyDescent="0.45">
      <c r="C116" s="4"/>
      <c r="F116" s="4"/>
    </row>
    <row r="117" spans="3:6" x14ac:dyDescent="0.45">
      <c r="C117" s="4"/>
      <c r="F117" s="4"/>
    </row>
    <row r="118" spans="3:6" x14ac:dyDescent="0.45">
      <c r="C118" s="4"/>
      <c r="F118" s="4"/>
    </row>
    <row r="119" spans="3:6" x14ac:dyDescent="0.45">
      <c r="C119" s="4"/>
      <c r="F119" s="4"/>
    </row>
    <row r="120" spans="3:6" x14ac:dyDescent="0.45">
      <c r="C120" s="4"/>
      <c r="F120" s="4"/>
    </row>
    <row r="121" spans="3:6" x14ac:dyDescent="0.45">
      <c r="C121" s="4"/>
      <c r="F121" s="4"/>
    </row>
    <row r="122" spans="3:6" x14ac:dyDescent="0.45">
      <c r="C122" s="4"/>
      <c r="F122" s="4"/>
    </row>
    <row r="123" spans="3:6" x14ac:dyDescent="0.45">
      <c r="C123" s="4"/>
      <c r="F123" s="4"/>
    </row>
    <row r="124" spans="3:6" x14ac:dyDescent="0.45">
      <c r="C124" s="4"/>
      <c r="F124" s="4"/>
    </row>
    <row r="125" spans="3:6" x14ac:dyDescent="0.45">
      <c r="C125" s="4"/>
      <c r="F125" s="4"/>
    </row>
    <row r="126" spans="3:6" x14ac:dyDescent="0.45">
      <c r="C126" s="4"/>
      <c r="F126" s="4"/>
    </row>
    <row r="127" spans="3:6" x14ac:dyDescent="0.45">
      <c r="C127" s="4"/>
      <c r="F127" s="4"/>
    </row>
    <row r="128" spans="3:6" x14ac:dyDescent="0.45">
      <c r="C128" s="4"/>
      <c r="F128" s="4"/>
    </row>
    <row r="129" spans="3:6" x14ac:dyDescent="0.45">
      <c r="C129" s="4"/>
      <c r="F129" s="4"/>
    </row>
    <row r="130" spans="3:6" x14ac:dyDescent="0.45">
      <c r="C130" s="4"/>
      <c r="F130" s="4"/>
    </row>
    <row r="131" spans="3:6" x14ac:dyDescent="0.45">
      <c r="C131" s="4"/>
      <c r="F131" s="4"/>
    </row>
    <row r="132" spans="3:6" x14ac:dyDescent="0.45">
      <c r="F132" s="4"/>
    </row>
    <row r="133" spans="3:6" x14ac:dyDescent="0.45">
      <c r="F133" s="4"/>
    </row>
    <row r="134" spans="3:6" x14ac:dyDescent="0.45">
      <c r="F134" s="4"/>
    </row>
    <row r="135" spans="3:6" x14ac:dyDescent="0.45">
      <c r="F135" s="4"/>
    </row>
    <row r="136" spans="3:6" x14ac:dyDescent="0.45">
      <c r="F136" s="4"/>
    </row>
    <row r="137" spans="3:6" x14ac:dyDescent="0.45">
      <c r="F137" s="4"/>
    </row>
    <row r="138" spans="3:6" x14ac:dyDescent="0.45">
      <c r="F138" s="4"/>
    </row>
    <row r="139" spans="3:6" x14ac:dyDescent="0.45">
      <c r="F139" s="4"/>
    </row>
    <row r="140" spans="3:6" x14ac:dyDescent="0.45">
      <c r="F140" s="4"/>
    </row>
    <row r="141" spans="3:6" x14ac:dyDescent="0.45">
      <c r="F141" s="4"/>
    </row>
    <row r="142" spans="3:6" x14ac:dyDescent="0.45">
      <c r="F142" s="4"/>
    </row>
    <row r="143" spans="3:6" x14ac:dyDescent="0.45">
      <c r="F143" s="4"/>
    </row>
    <row r="144" spans="3:6" x14ac:dyDescent="0.45">
      <c r="F144" s="4"/>
    </row>
    <row r="145" spans="6:6" x14ac:dyDescent="0.45">
      <c r="F145" s="4"/>
    </row>
    <row r="146" spans="6:6" x14ac:dyDescent="0.45">
      <c r="F146" s="4"/>
    </row>
    <row r="147" spans="6:6" x14ac:dyDescent="0.45">
      <c r="F147" s="4"/>
    </row>
    <row r="148" spans="6:6" x14ac:dyDescent="0.45">
      <c r="F148" s="4"/>
    </row>
    <row r="149" spans="6:6" x14ac:dyDescent="0.45">
      <c r="F149" s="4"/>
    </row>
    <row r="150" spans="6:6" x14ac:dyDescent="0.45">
      <c r="F150" s="4"/>
    </row>
    <row r="151" spans="6:6" x14ac:dyDescent="0.45">
      <c r="F151" s="4"/>
    </row>
    <row r="152" spans="6:6" x14ac:dyDescent="0.45">
      <c r="F152" s="4"/>
    </row>
    <row r="153" spans="6:6" x14ac:dyDescent="0.45">
      <c r="F153" s="4"/>
    </row>
    <row r="154" spans="6:6" x14ac:dyDescent="0.45">
      <c r="F154" s="4"/>
    </row>
    <row r="155" spans="6:6" x14ac:dyDescent="0.45">
      <c r="F155" s="4"/>
    </row>
    <row r="156" spans="6:6" x14ac:dyDescent="0.45">
      <c r="F156" s="4"/>
    </row>
    <row r="157" spans="6:6" x14ac:dyDescent="0.45">
      <c r="F157" s="4"/>
    </row>
    <row r="158" spans="6:6" x14ac:dyDescent="0.45">
      <c r="F158" s="4"/>
    </row>
    <row r="159" spans="6:6" x14ac:dyDescent="0.45">
      <c r="F159" s="4"/>
    </row>
    <row r="160" spans="6:6" x14ac:dyDescent="0.45">
      <c r="F160" s="4"/>
    </row>
    <row r="161" spans="6:6" x14ac:dyDescent="0.45">
      <c r="F161" s="4"/>
    </row>
    <row r="162" spans="6:6" x14ac:dyDescent="0.45">
      <c r="F162" s="4"/>
    </row>
    <row r="163" spans="6:6" x14ac:dyDescent="0.4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484375" defaultRowHeight="14.25" x14ac:dyDescent="0.45"/>
  <cols>
    <col min="1" max="1" width="6.9296875" style="4" bestFit="1" customWidth="1"/>
    <col min="2" max="4" width="11.46484375" style="4"/>
    <col min="5" max="5" width="9.53125" style="4" customWidth="1"/>
    <col min="6" max="7" width="11.46484375" style="4"/>
    <col min="8" max="8" width="10.59765625" style="4" customWidth="1"/>
    <col min="9" max="9" width="9.46484375" style="4" customWidth="1"/>
    <col min="10" max="11" width="10.53125" style="4" bestFit="1" customWidth="1"/>
    <col min="12" max="12" width="14" style="4" bestFit="1" customWidth="1"/>
    <col min="13" max="13" width="14" style="4" customWidth="1"/>
    <col min="14" max="23" width="11.46484375" style="4"/>
    <col min="24" max="24" width="11.59765625" style="4" bestFit="1" customWidth="1"/>
    <col min="25" max="25" width="14.53125" style="4" bestFit="1" customWidth="1"/>
    <col min="26" max="26" width="12.46484375" style="4" bestFit="1" customWidth="1"/>
    <col min="27" max="27" width="9.59765625" style="4" bestFit="1" customWidth="1"/>
    <col min="28" max="28" width="11" style="4" bestFit="1" customWidth="1"/>
    <col min="29" max="29" width="9.46484375" style="4" bestFit="1" customWidth="1"/>
    <col min="30" max="31" width="9.46484375" style="4" customWidth="1"/>
    <col min="32" max="32" width="11.46484375" style="4"/>
    <col min="33" max="34" width="14" style="4" bestFit="1" customWidth="1"/>
    <col min="35" max="35" width="10.53125" style="4" bestFit="1" customWidth="1"/>
    <col min="36" max="36" width="9.46484375" style="4" bestFit="1" customWidth="1"/>
    <col min="37" max="38" width="10.53125" style="4" bestFit="1" customWidth="1"/>
    <col min="39" max="41" width="10.53125" style="4" customWidth="1"/>
    <col min="42" max="42" width="9" style="4" bestFit="1" customWidth="1"/>
    <col min="43" max="43" width="10.53125" style="4" bestFit="1" customWidth="1"/>
    <col min="44" max="44" width="9.33203125" style="4" bestFit="1" customWidth="1"/>
    <col min="45" max="45" width="11.59765625" style="4" bestFit="1" customWidth="1"/>
    <col min="46" max="46" width="8.46484375" style="4" bestFit="1" customWidth="1"/>
    <col min="47" max="47" width="9.46484375" style="4" bestFit="1" customWidth="1"/>
    <col min="48" max="48" width="9.59765625" style="4" bestFit="1" customWidth="1"/>
    <col min="49" max="49" width="11" style="4" bestFit="1" customWidth="1"/>
    <col min="50" max="50" width="9.46484375" style="4" bestFit="1" customWidth="1"/>
    <col min="51" max="52" width="9.46484375" style="4" customWidth="1"/>
    <col min="53" max="53" width="10.53125" style="4" bestFit="1" customWidth="1"/>
    <col min="54" max="54" width="14.33203125" style="4" customWidth="1"/>
    <col min="55" max="55" width="14" style="4" customWidth="1"/>
    <col min="56" max="56" width="10.53125" style="4" bestFit="1" customWidth="1"/>
    <col min="57" max="57" width="9.46484375" style="4" bestFit="1" customWidth="1"/>
    <col min="58" max="59" width="10.53125" style="4" bestFit="1" customWidth="1"/>
    <col min="60" max="62" width="10.53125" style="4" customWidth="1"/>
    <col min="63" max="63" width="9" style="4" bestFit="1" customWidth="1"/>
    <col min="64" max="64" width="10.53125" style="4" bestFit="1" customWidth="1"/>
    <col min="65" max="65" width="9.33203125" style="4" bestFit="1" customWidth="1"/>
    <col min="66" max="66" width="11.59765625" style="4" bestFit="1" customWidth="1"/>
    <col min="67" max="67" width="8.46484375" style="4" bestFit="1" customWidth="1"/>
    <col min="68" max="68" width="9.46484375" style="4" bestFit="1" customWidth="1"/>
    <col min="69" max="69" width="9.59765625" style="4" bestFit="1" customWidth="1"/>
    <col min="70" max="70" width="11" style="4" bestFit="1" customWidth="1"/>
    <col min="71" max="71" width="9.46484375" style="4" bestFit="1" customWidth="1"/>
    <col min="72" max="73" width="9.46484375" style="4" customWidth="1"/>
    <col min="74" max="74" width="10.53125" style="4" bestFit="1" customWidth="1"/>
    <col min="75" max="75" width="14" style="4" bestFit="1" customWidth="1"/>
    <col min="76" max="76" width="13.9296875" style="4" customWidth="1"/>
    <col min="77" max="77" width="10.53125" style="4" bestFit="1" customWidth="1"/>
    <col min="78" max="78" width="9.46484375" style="4" bestFit="1" customWidth="1"/>
    <col min="79" max="80" width="10.53125" style="4" bestFit="1" customWidth="1"/>
    <col min="81" max="83" width="10.53125" style="4" customWidth="1"/>
    <col min="84" max="84" width="11.46484375" style="4"/>
    <col min="85" max="85" width="10.53125" style="4" bestFit="1" customWidth="1"/>
    <col min="86" max="86" width="9.33203125" style="4" bestFit="1" customWidth="1"/>
    <col min="87" max="87" width="11.59765625" style="4" bestFit="1" customWidth="1"/>
    <col min="88" max="88" width="8.46484375" style="4" bestFit="1" customWidth="1"/>
    <col min="89" max="89" width="9.46484375" style="4" bestFit="1" customWidth="1"/>
    <col min="90" max="90" width="9.59765625" style="4" bestFit="1" customWidth="1"/>
    <col min="91" max="91" width="11" style="4" bestFit="1" customWidth="1"/>
    <col min="92" max="92" width="9.46484375" style="4" bestFit="1" customWidth="1"/>
    <col min="93" max="94" width="9.46484375" style="4" customWidth="1"/>
    <col min="95" max="95" width="11.46484375" style="4"/>
    <col min="96" max="97" width="14" style="4" customWidth="1"/>
    <col min="98" max="98" width="10.53125" style="4" bestFit="1" customWidth="1"/>
    <col min="99" max="99" width="9.46484375" style="4" bestFit="1" customWidth="1"/>
    <col min="100" max="101" width="10.53125" style="4" bestFit="1" customWidth="1"/>
    <col min="102" max="104" width="10.53125" style="4" customWidth="1"/>
    <col min="105" max="105" width="9" style="4" bestFit="1" customWidth="1"/>
    <col min="106" max="106" width="10.53125" style="4" bestFit="1" customWidth="1"/>
    <col min="107" max="107" width="9.33203125" style="4" bestFit="1" customWidth="1"/>
    <col min="108" max="108" width="11.59765625" style="4" bestFit="1" customWidth="1"/>
    <col min="109" max="109" width="8.46484375" style="4" bestFit="1" customWidth="1"/>
    <col min="110" max="110" width="9.46484375" style="4" bestFit="1" customWidth="1"/>
    <col min="111" max="111" width="9.59765625" style="4" bestFit="1" customWidth="1"/>
    <col min="112" max="112" width="11" style="4" bestFit="1" customWidth="1"/>
    <col min="113" max="113" width="9.46484375" style="4" bestFit="1" customWidth="1"/>
    <col min="114" max="115" width="9.46484375" style="4" customWidth="1"/>
    <col min="116" max="116" width="10.53125" style="4" bestFit="1" customWidth="1"/>
    <col min="117" max="117" width="14.33203125" style="4" customWidth="1"/>
    <col min="118" max="118" width="14" style="4" bestFit="1" customWidth="1"/>
    <col min="119" max="119" width="10.53125" style="4" bestFit="1" customWidth="1"/>
    <col min="120" max="120" width="9.46484375" style="4" bestFit="1" customWidth="1"/>
    <col min="121" max="122" width="10.53125" style="4" bestFit="1" customWidth="1"/>
    <col min="123" max="125" width="10.53125" style="4" customWidth="1"/>
    <col min="126" max="126" width="9" style="4" bestFit="1" customWidth="1"/>
    <col min="127" max="127" width="10.53125" style="4" bestFit="1" customWidth="1"/>
    <col min="128" max="128" width="9.33203125" style="4" bestFit="1" customWidth="1"/>
    <col min="129" max="129" width="11.59765625" style="4" bestFit="1" customWidth="1"/>
    <col min="130" max="130" width="8.46484375" style="4" bestFit="1" customWidth="1"/>
    <col min="131" max="131" width="9.46484375" style="4" bestFit="1" customWidth="1"/>
    <col min="132" max="132" width="9.59765625" style="4" bestFit="1" customWidth="1"/>
    <col min="133" max="133" width="11" style="4" bestFit="1" customWidth="1"/>
    <col min="134" max="134" width="9.46484375" style="4" bestFit="1" customWidth="1"/>
    <col min="135" max="136" width="9.46484375" style="4" customWidth="1"/>
    <col min="137" max="137" width="10.53125" style="4" bestFit="1" customWidth="1"/>
    <col min="138" max="139" width="14" style="4" customWidth="1"/>
    <col min="140" max="140" width="10.53125" style="4" bestFit="1" customWidth="1"/>
    <col min="141" max="141" width="9.46484375" style="4" bestFit="1" customWidth="1"/>
    <col min="142" max="143" width="10.53125" style="4" bestFit="1" customWidth="1"/>
    <col min="144" max="146" width="10.53125" style="4" customWidth="1"/>
    <col min="147" max="147" width="9" style="4" bestFit="1" customWidth="1"/>
    <col min="148" max="148" width="10.53125" style="4" bestFit="1" customWidth="1"/>
    <col min="149" max="149" width="9.33203125" style="4" bestFit="1" customWidth="1"/>
    <col min="150" max="150" width="11.59765625" style="4" bestFit="1" customWidth="1"/>
    <col min="151" max="151" width="8.46484375" style="4" bestFit="1" customWidth="1"/>
    <col min="152" max="152" width="9.46484375" style="4" bestFit="1" customWidth="1"/>
    <col min="153" max="153" width="9.59765625" style="4" bestFit="1" customWidth="1"/>
    <col min="154" max="154" width="11" style="4" bestFit="1" customWidth="1"/>
    <col min="155" max="155" width="9.46484375" style="4" bestFit="1" customWidth="1"/>
    <col min="156" max="157" width="9.46484375" style="4" customWidth="1"/>
    <col min="158" max="158" width="11.46484375" style="4"/>
    <col min="159" max="160" width="14" style="4" bestFit="1" customWidth="1"/>
    <col min="161" max="161" width="10.53125" style="4" bestFit="1" customWidth="1"/>
    <col min="162" max="162" width="9.46484375" style="4" bestFit="1" customWidth="1"/>
    <col min="163" max="164" width="10.53125" style="4" bestFit="1" customWidth="1"/>
    <col min="165" max="167" width="10.53125" style="4" customWidth="1"/>
    <col min="168" max="168" width="9" style="4" bestFit="1" customWidth="1"/>
    <col min="169" max="169" width="10.53125" style="4" bestFit="1" customWidth="1"/>
    <col min="170" max="170" width="9.33203125" style="4" bestFit="1" customWidth="1"/>
    <col min="171" max="171" width="11.59765625" style="4" bestFit="1" customWidth="1"/>
    <col min="172" max="172" width="8.06640625" style="4" bestFit="1" customWidth="1"/>
    <col min="173" max="173" width="9.46484375" style="4" bestFit="1" customWidth="1"/>
    <col min="174" max="174" width="9.59765625" style="4" bestFit="1" customWidth="1"/>
    <col min="175" max="175" width="11" style="4" bestFit="1" customWidth="1"/>
    <col min="176" max="176" width="9.46484375" style="4" bestFit="1" customWidth="1"/>
    <col min="177" max="178" width="9.46484375" style="4" customWidth="1"/>
    <col min="179" max="179" width="10.53125" style="4" bestFit="1" customWidth="1"/>
    <col min="180" max="181" width="14" style="4" bestFit="1" customWidth="1"/>
    <col min="182" max="182" width="10.53125" style="4" bestFit="1" customWidth="1"/>
    <col min="183" max="183" width="9.46484375" style="4" bestFit="1" customWidth="1"/>
    <col min="184" max="185" width="10.53125" style="4" bestFit="1" customWidth="1"/>
    <col min="186" max="188" width="10.53125" style="4" customWidth="1"/>
    <col min="189" max="189" width="9" style="4" bestFit="1" customWidth="1"/>
    <col min="190" max="190" width="10.53125" style="4" bestFit="1" customWidth="1"/>
    <col min="191" max="191" width="9.33203125" style="4" bestFit="1" customWidth="1"/>
    <col min="192" max="192" width="11.46484375" style="4"/>
    <col min="193" max="193" width="8.46484375" style="4" bestFit="1" customWidth="1"/>
    <col min="194" max="194" width="9.46484375" style="4" bestFit="1" customWidth="1"/>
    <col min="195" max="195" width="9.59765625" style="4" bestFit="1" customWidth="1"/>
    <col min="196" max="196" width="11" style="4" bestFit="1" customWidth="1"/>
    <col min="197" max="197" width="9.46484375" style="4" bestFit="1" customWidth="1"/>
    <col min="198" max="199" width="9.46484375" style="4" customWidth="1"/>
    <col min="200" max="200" width="10.53125" style="4" bestFit="1" customWidth="1"/>
    <col min="201" max="201" width="14" style="4" customWidth="1"/>
    <col min="202" max="202" width="14.33203125" style="4" customWidth="1"/>
    <col min="203" max="203" width="10.53125" style="4" bestFit="1" customWidth="1"/>
    <col min="204" max="204" width="9.46484375" style="4" bestFit="1" customWidth="1"/>
    <col min="205" max="206" width="10.53125" style="4" bestFit="1" customWidth="1"/>
    <col min="207" max="209" width="10.53125" style="4" customWidth="1"/>
    <col min="210" max="210" width="9" style="4" bestFit="1" customWidth="1"/>
    <col min="211" max="211" width="10.53125" style="4" bestFit="1" customWidth="1"/>
    <col min="212" max="212" width="9.33203125" style="4" bestFit="1" customWidth="1"/>
    <col min="213" max="213" width="11.59765625" style="4" bestFit="1" customWidth="1"/>
    <col min="214" max="214" width="8.46484375" style="4" bestFit="1" customWidth="1"/>
    <col min="215" max="215" width="9.46484375" style="4" bestFit="1" customWidth="1"/>
    <col min="216" max="216" width="9.59765625" style="4" bestFit="1" customWidth="1"/>
    <col min="217" max="217" width="11" style="4" bestFit="1" customWidth="1"/>
    <col min="218" max="218" width="9.46484375" style="4" bestFit="1" customWidth="1"/>
    <col min="219" max="16384" width="11.46484375" style="4"/>
  </cols>
  <sheetData>
    <row r="1" spans="1:218" ht="25.9" thickBot="1" x14ac:dyDescent="0.8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Chêne chevelu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Chêne pubescent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>Chêne vert</v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>Cormier</v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/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/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7.4" thickBot="1" x14ac:dyDescent="0.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239.26156489359892</v>
      </c>
      <c r="T3" s="59">
        <f>IF('Données projet'!E9&gt;30,$R$33-$H$33,LOOKUP('Données projet'!$E$9,$A$3:$A$203,R3:R203)-LOOKUP('Données projet'!$E$9,$A$3:$A$203,$H$3:$H$203))</f>
        <v>213.97034450798111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543.88440431478944</v>
      </c>
      <c r="AO3" s="59">
        <f>IF('Données projet'!E10&gt;30,$AM$33-$H$33,LOOKUP('Données projet'!$E$10,$A$3:$A$203,AM3:AM203)-LOOKUP('Données projet'!$E$10,$A$3:$A$203,$H$3:$H$203))</f>
        <v>342.63929463709457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593.28343396240075</v>
      </c>
      <c r="BJ3" s="59">
        <f>IF('Données projet'!E11&gt;30,$BH$33-$H$33,LOOKUP('Données projet'!$E$11,$A$3:$A$203,BH3:BH203)-LOOKUP('Données projet'!$E$11,$A$3:$A$203,$H$3:$H$203))</f>
        <v>289.66477662068695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502.65044103360322</v>
      </c>
      <c r="CE3" s="59">
        <f>IF('Données projet'!E12&gt;30,$CC$33-$H$33,LOOKUP('Données projet'!$E$12,$A$3:$A$203,CC3:CC203)-LOOKUP('Données projet'!$E$12,$A$3:$A$203,$H$3:$H$203))</f>
        <v>321.65762891855167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1.1538461538461537</v>
      </c>
      <c r="N4" s="13">
        <f>IF('Données projet'!$A$36&gt;35,N3+M4-V3,IF(A4&lt;'Données projet'!$A$36,$K$205^A4,IF(A4='Données projet'!$A$36,'Données projet'!$B$36,N3+M4-V3)))</f>
        <v>1.2770702581475548</v>
      </c>
      <c r="O4" s="13">
        <f>N4*VLOOKUP('Données projet'!$B$9,Paramètres!$A$1:$I$89,3,0)*VLOOKUP('Données projet'!$B$9,Paramètres!$A$1:$I$89,5,0)</f>
        <v>1.3347938338158245</v>
      </c>
      <c r="P4" s="13">
        <f>EXP(-1.0587+0.8836*LN(O4)+0.284)</f>
        <v>0.59479600746513583</v>
      </c>
      <c r="Q4" s="20">
        <f t="shared" ref="Q4:Q34" si="2">(O4+P4)*0.475*44/12</f>
        <v>3.3607023068976729</v>
      </c>
      <c r="R4" s="59">
        <f t="shared" si="0"/>
        <v>261.24959119578654</v>
      </c>
      <c r="S4" s="59">
        <f ca="1">AVERAGE(OFFSET($R$3,0,0,'Données projet'!$E$9+1,1))-AVERAGE(OFFSET($H$3,0,0,'Données projet'!$E$9+1,1))</f>
        <v>239.26156489359892</v>
      </c>
      <c r="T4" s="59">
        <f>$T$3</f>
        <v>213.97034450798111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4.5856818181818184</v>
      </c>
      <c r="AI4" s="13">
        <f>IF('Données projet'!$A$62&gt;35,AI3+AH4-AQ3,IF(A4&lt;'Données projet'!$A$62,$AF$205^A4,IF(A4='Données projet'!$A$62,'Données projet'!$B$62,AI3+AH4-AQ3)))</f>
        <v>4.5856818181818184</v>
      </c>
      <c r="AJ4" s="13">
        <f>AI4*VLOOKUP('Données projet'!$B$10,Paramètres!$A$1:$I$89,3,0)*VLOOKUP('Données projet'!$B$10,Paramètres!$A$1:$I$89,5,0)</f>
        <v>4.6498813636363643</v>
      </c>
      <c r="AK4" s="13">
        <f>EXP(-1.0587+0.8836*LN(AJ4)+0.284)</f>
        <v>1.7918584679408154</v>
      </c>
      <c r="AL4" s="20">
        <f t="shared" ref="AL4:AL67" si="4">(AJ4+AK4)*0.475*44/12</f>
        <v>11.21936353999692</v>
      </c>
      <c r="AM4" s="59">
        <f t="shared" ref="AM4:AM67" si="5">AL4+(AD4+AE4)*44/12</f>
        <v>269.10825242888575</v>
      </c>
      <c r="AN4" s="59">
        <f ca="1">AVERAGE(OFFSET($AM$3,0,0,'Données projet'!$E$10+1,1))-AVERAGE(OFFSET($H$3,0,0,'Données projet'!$E$10+1,1))</f>
        <v>543.88440431478944</v>
      </c>
      <c r="AO4" s="59">
        <f>$AO$3</f>
        <v>342.63929463709457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3.3603333333333336</v>
      </c>
      <c r="BD4" s="12">
        <f>IF('Données projet'!$A$88&gt;35,BD3+BC4-BL3,IF(A4&lt;'Données projet'!$A$88,$BA$205^A4,IF(A4='Données projet'!$A$88,'Données projet'!$B$88,BD3+BC4-BL3)))</f>
        <v>3.3603333333333336</v>
      </c>
      <c r="BE4" s="13">
        <f>BD4*VLOOKUP('Données projet'!$B$11,Paramètres!$A$1:$I$89,3,0)*VLOOKUP('Données projet'!$B$11,Paramètres!$A$1:$I$89,5,0)</f>
        <v>3.8267476000000005</v>
      </c>
      <c r="BF4" s="13">
        <f>EXP(-1.0587+0.8836*LN(BE4)+0.284)</f>
        <v>1.5084832510605695</v>
      </c>
      <c r="BG4" s="20">
        <f t="shared" ref="BG4:BG67" si="7">(BE4+BF4)*0.475*44/12</f>
        <v>9.2921937322638239</v>
      </c>
      <c r="BH4" s="59">
        <f t="shared" ref="BH4:BH67" si="8">BG4+(AY4+AZ4)*44/12</f>
        <v>267.18108262115265</v>
      </c>
      <c r="BI4" s="59">
        <f ca="1">AVERAGE(OFFSET($BH$3,0,0,'Données projet'!$E$11+1,1))-AVERAGE(OFFSET($H$3,0,0,'Données projet'!$E$11+1,1))</f>
        <v>593.28343396240075</v>
      </c>
      <c r="BJ4" s="59">
        <f>$BJ$3</f>
        <v>289.66477662068695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4.016578947368421</v>
      </c>
      <c r="BY4" s="12">
        <f>IF('Données projet'!$A$114&gt;35,BY3+BX4-CG3,IF(A4&lt;'Données projet'!$A$114,$BV$205^A4,IF(A4='Données projet'!$A$114,'Données projet'!$B$114,BY3+BX4-CG3)))</f>
        <v>4.016578947368421</v>
      </c>
      <c r="BZ4" s="13">
        <f>BY4*VLOOKUP('Données projet'!$B$12,Paramètres!$A$1:$I$89,3,0)*VLOOKUP('Données projet'!$B$12,Paramètres!$A$1:$I$89,5,0)</f>
        <v>4.3234455789473687</v>
      </c>
      <c r="CA4" s="13">
        <f>EXP(-1.0587+0.8836*LN(BZ4)+0.284)</f>
        <v>1.6802405052268201</v>
      </c>
      <c r="CB4" s="20">
        <f t="shared" ref="CB4:CB67" si="10">(BZ4+CA4)*0.475*44/12</f>
        <v>10.456419929936711</v>
      </c>
      <c r="CC4" s="59">
        <f t="shared" ref="CC4:CC67" si="11">CB4+(BT4+BU4)*44/12</f>
        <v>268.34530881882557</v>
      </c>
      <c r="CD4" s="59">
        <f ca="1">AVERAGE(OFFSET($CC$3,0,0,'Données projet'!$E$12+1,1))-AVERAGE(OFFSET($H$3,0,0,'Données projet'!$E$12+1,1))</f>
        <v>502.65044103360322</v>
      </c>
      <c r="CE4" s="59">
        <f>$CE$3</f>
        <v>321.65762891855167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1.1538461538461537</v>
      </c>
      <c r="N5" s="13">
        <f>IF('Données projet'!$A$36&gt;35,N4+M5-V4,IF(A5&lt;'Données projet'!$A$36,$K$205^A5,IF(A5='Données projet'!$A$36,'Données projet'!$B$36,N4+M5-V4)))</f>
        <v>1.6309084442450623</v>
      </c>
      <c r="O5" s="13">
        <f>N5*VLOOKUP('Données projet'!$B$9,Paramètres!$A$1:$I$89,3,0)*VLOOKUP('Données projet'!$B$9,Paramètres!$A$1:$I$89,5,0)</f>
        <v>1.7046255059249393</v>
      </c>
      <c r="P5" s="13">
        <f t="shared" ref="P5:P68" si="33">EXP(-1.0587+0.8836*LN(O5)+0.284)</f>
        <v>0.7382771613827388</v>
      </c>
      <c r="Q5" s="20">
        <f t="shared" si="2"/>
        <v>4.2547221455608728</v>
      </c>
      <c r="R5" s="59">
        <f t="shared" si="0"/>
        <v>263.36583325667203</v>
      </c>
      <c r="S5" s="59">
        <f ca="1">AVERAGE(OFFSET($R$3,0,0,'Données projet'!$E$9+1,1))-AVERAGE(OFFSET($H$3,0,0,'Données projet'!$E$9+1,1))</f>
        <v>239.26156489359892</v>
      </c>
      <c r="T5" s="59">
        <f t="shared" ref="T5:T68" si="34">$T$3</f>
        <v>213.97034450798111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4.5856818181818184</v>
      </c>
      <c r="AI5" s="13">
        <f>IF('Données projet'!$A$62&gt;35,AI4+AH5-AQ4,IF(A5&lt;'Données projet'!$A$62,$AF$205^A5,IF(A5='Données projet'!$A$62,'Données projet'!$B$62,AI4+AH5-AQ4)))</f>
        <v>9.1713636363636368</v>
      </c>
      <c r="AJ5" s="13">
        <f>AI5*VLOOKUP('Données projet'!$B$10,Paramètres!$A$1:$I$89,3,0)*VLOOKUP('Données projet'!$B$10,Paramètres!$A$1:$I$89,5,0)</f>
        <v>9.2997627272727286</v>
      </c>
      <c r="AK5" s="13">
        <f t="shared" ref="AK5:AK68" si="35">EXP(-1.0587+0.8836*LN(AJ5)+0.284)</f>
        <v>3.3059311725531848</v>
      </c>
      <c r="AL5" s="20">
        <f t="shared" si="4"/>
        <v>21.954916875530131</v>
      </c>
      <c r="AM5" s="59">
        <f t="shared" si="5"/>
        <v>281.0660279866413</v>
      </c>
      <c r="AN5" s="59">
        <f ca="1">AVERAGE(OFFSET($AM$3,0,0,'Données projet'!$E$10+1,1))-AVERAGE(OFFSET($H$3,0,0,'Données projet'!$E$10+1,1))</f>
        <v>543.88440431478944</v>
      </c>
      <c r="AO5" s="59">
        <f t="shared" ref="AO5:AO68" si="36">$AO$3</f>
        <v>342.63929463709457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3.3603333333333336</v>
      </c>
      <c r="BD5" s="12">
        <f>IF('Données projet'!$A$88&gt;35,BD4+BC5-BL4,IF(A5&lt;'Données projet'!$A$88,$BA$205^A5,IF(A5='Données projet'!$A$88,'Données projet'!$B$88,BD4+BC5-BL4)))</f>
        <v>6.7206666666666672</v>
      </c>
      <c r="BE5" s="13">
        <f>BD5*VLOOKUP('Données projet'!$B$11,Paramètres!$A$1:$I$89,3,0)*VLOOKUP('Données projet'!$B$11,Paramètres!$A$1:$I$89,5,0)</f>
        <v>7.6534952000000009</v>
      </c>
      <c r="BF5" s="13">
        <f t="shared" ref="BF5:BF68" si="37">EXP(-1.0587+0.8836*LN(BE5)+0.284)</f>
        <v>2.7831114410986091</v>
      </c>
      <c r="BG5" s="20">
        <f t="shared" si="7"/>
        <v>18.177089899913412</v>
      </c>
      <c r="BH5" s="59">
        <f t="shared" si="8"/>
        <v>277.28820101102457</v>
      </c>
      <c r="BI5" s="59">
        <f ca="1">AVERAGE(OFFSET($BH$3,0,0,'Données projet'!$E$11+1,1))-AVERAGE(OFFSET($H$3,0,0,'Données projet'!$E$11+1,1))</f>
        <v>593.28343396240075</v>
      </c>
      <c r="BJ5" s="59">
        <f t="shared" ref="BJ5:BJ68" si="38">$BJ$3</f>
        <v>289.66477662068695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4.016578947368421</v>
      </c>
      <c r="BY5" s="12">
        <f>IF('Données projet'!$A$114&gt;35,BY4+BX5-CG4,IF(A5&lt;'Données projet'!$A$114,$BV$205^A5,IF(A5='Données projet'!$A$114,'Données projet'!$B$114,BY4+BX5-CG4)))</f>
        <v>8.0331578947368421</v>
      </c>
      <c r="BZ5" s="13">
        <f>BY5*VLOOKUP('Données projet'!$B$12,Paramètres!$A$1:$I$89,3,0)*VLOOKUP('Données projet'!$B$12,Paramètres!$A$1:$I$89,5,0)</f>
        <v>8.6468911578947374</v>
      </c>
      <c r="CA5" s="13">
        <f t="shared" ref="CA5:CA68" si="39">EXP(-1.0587+0.8836*LN(BZ5)+0.284)</f>
        <v>3.0999990027110371</v>
      </c>
      <c r="CB5" s="20">
        <f t="shared" si="10"/>
        <v>20.459167029721723</v>
      </c>
      <c r="CC5" s="59">
        <f t="shared" si="11"/>
        <v>279.57027814083284</v>
      </c>
      <c r="CD5" s="59">
        <f ca="1">AVERAGE(OFFSET($CC$3,0,0,'Données projet'!$E$12+1,1))-AVERAGE(OFFSET($H$3,0,0,'Données projet'!$E$12+1,1))</f>
        <v>502.65044103360322</v>
      </c>
      <c r="CE5" s="59">
        <f t="shared" ref="CE5:CE68" si="40">$CE$3</f>
        <v>321.65762891855167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1.1538461538461537</v>
      </c>
      <c r="N6" s="13">
        <f>IF('Données projet'!$A$36&gt;35,N5+M6-V5,IF(A6&lt;'Données projet'!$A$36,$K$205^A6,IF(A6='Données projet'!$A$36,'Données projet'!$B$36,N5+M6-V5)))</f>
        <v>2.082784667907069</v>
      </c>
      <c r="O6" s="13">
        <f>N6*VLOOKUP('Données projet'!$B$9,Paramètres!$A$1:$I$89,3,0)*VLOOKUP('Données projet'!$B$9,Paramètres!$A$1:$I$89,5,0)</f>
        <v>2.1769265348964688</v>
      </c>
      <c r="P6" s="13">
        <f t="shared" si="33"/>
        <v>0.9163699153634669</v>
      </c>
      <c r="Q6" s="20">
        <f t="shared" si="2"/>
        <v>5.3874913175360541</v>
      </c>
      <c r="R6" s="59">
        <f t="shared" si="0"/>
        <v>265.72082465086936</v>
      </c>
      <c r="S6" s="59">
        <f ca="1">AVERAGE(OFFSET($R$3,0,0,'Données projet'!$E$9+1,1))-AVERAGE(OFFSET($H$3,0,0,'Données projet'!$E$9+1,1))</f>
        <v>239.26156489359892</v>
      </c>
      <c r="T6" s="59">
        <f t="shared" si="34"/>
        <v>213.97034450798111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4.5856818181818184</v>
      </c>
      <c r="AI6" s="13">
        <f>IF('Données projet'!$A$62&gt;35,AI5+AH6-AQ5,IF(A6&lt;'Données projet'!$A$62,$AF$205^A6,IF(A6='Données projet'!$A$62,'Données projet'!$B$62,AI5+AH6-AQ5)))</f>
        <v>13.757045454545455</v>
      </c>
      <c r="AJ6" s="13">
        <f>AI6*VLOOKUP('Données projet'!$B$10,Paramètres!$A$1:$I$89,3,0)*VLOOKUP('Données projet'!$B$10,Paramètres!$A$1:$I$89,5,0)</f>
        <v>13.949644090909095</v>
      </c>
      <c r="AK6" s="13">
        <f t="shared" si="35"/>
        <v>4.7302930195835069</v>
      </c>
      <c r="AL6" s="20">
        <f t="shared" si="4"/>
        <v>32.534223800774619</v>
      </c>
      <c r="AM6" s="59">
        <f t="shared" si="5"/>
        <v>292.86755713410793</v>
      </c>
      <c r="AN6" s="59">
        <f ca="1">AVERAGE(OFFSET($AM$3,0,0,'Données projet'!$E$10+1,1))-AVERAGE(OFFSET($H$3,0,0,'Données projet'!$E$10+1,1))</f>
        <v>543.88440431478944</v>
      </c>
      <c r="AO6" s="59">
        <f t="shared" si="36"/>
        <v>342.63929463709457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3.3603333333333336</v>
      </c>
      <c r="BD6" s="12">
        <f>IF('Données projet'!$A$88&gt;35,BD5+BC6-BL5,IF(A6&lt;'Données projet'!$A$88,$BA$205^A6,IF(A6='Données projet'!$A$88,'Données projet'!$B$88,BD5+BC6-BL5)))</f>
        <v>10.081000000000001</v>
      </c>
      <c r="BE6" s="13">
        <f>BD6*VLOOKUP('Données projet'!$B$11,Paramètres!$A$1:$I$89,3,0)*VLOOKUP('Données projet'!$B$11,Paramètres!$A$1:$I$89,5,0)</f>
        <v>11.480242800000001</v>
      </c>
      <c r="BF6" s="13">
        <f t="shared" si="37"/>
        <v>3.9822161852161009</v>
      </c>
      <c r="BG6" s="20">
        <f t="shared" si="7"/>
        <v>26.930449399251376</v>
      </c>
      <c r="BH6" s="59">
        <f t="shared" si="8"/>
        <v>287.26378273258467</v>
      </c>
      <c r="BI6" s="59">
        <f ca="1">AVERAGE(OFFSET($BH$3,0,0,'Données projet'!$E$11+1,1))-AVERAGE(OFFSET($H$3,0,0,'Données projet'!$E$11+1,1))</f>
        <v>593.28343396240075</v>
      </c>
      <c r="BJ6" s="59">
        <f t="shared" si="38"/>
        <v>289.66477662068695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4.016578947368421</v>
      </c>
      <c r="BY6" s="12">
        <f>IF('Données projet'!$A$114&gt;35,BY5+BX6-CG5,IF(A6&lt;'Données projet'!$A$114,$BV$205^A6,IF(A6='Données projet'!$A$114,'Données projet'!$B$114,BY5+BX6-CG5)))</f>
        <v>12.049736842105263</v>
      </c>
      <c r="BZ6" s="13">
        <f>BY6*VLOOKUP('Données projet'!$B$12,Paramètres!$A$1:$I$89,3,0)*VLOOKUP('Données projet'!$B$12,Paramètres!$A$1:$I$89,5,0)</f>
        <v>12.970336736842105</v>
      </c>
      <c r="CA6" s="13">
        <f t="shared" si="39"/>
        <v>4.4356348870732401</v>
      </c>
      <c r="CB6" s="20">
        <f t="shared" si="10"/>
        <v>30.315400578319224</v>
      </c>
      <c r="CC6" s="59">
        <f t="shared" si="11"/>
        <v>290.64873391165253</v>
      </c>
      <c r="CD6" s="59">
        <f ca="1">AVERAGE(OFFSET($CC$3,0,0,'Données projet'!$E$12+1,1))-AVERAGE(OFFSET($H$3,0,0,'Données projet'!$E$12+1,1))</f>
        <v>502.65044103360322</v>
      </c>
      <c r="CE6" s="59">
        <f t="shared" si="40"/>
        <v>321.65762891855167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1.1538461538461537</v>
      </c>
      <c r="N7" s="13">
        <f>IF('Données projet'!$A$36&gt;35,N6+M7-V6,IF(A7&lt;'Données projet'!$A$36,$K$205^A7,IF(A7='Données projet'!$A$36,'Données projet'!$B$36,N6+M7-V6)))</f>
        <v>2.6598623535098493</v>
      </c>
      <c r="O7" s="13">
        <f>N7*VLOOKUP('Données projet'!$B$9,Paramètres!$A$1:$I$89,3,0)*VLOOKUP('Données projet'!$B$9,Paramètres!$A$1:$I$89,5,0)</f>
        <v>2.7800881318884949</v>
      </c>
      <c r="P7" s="13">
        <f t="shared" si="33"/>
        <v>1.1374235391631071</v>
      </c>
      <c r="Q7" s="20">
        <f t="shared" si="2"/>
        <v>6.822999493748207</v>
      </c>
      <c r="R7" s="59">
        <f t="shared" si="0"/>
        <v>268.37855504930377</v>
      </c>
      <c r="S7" s="59">
        <f ca="1">AVERAGE(OFFSET($R$3,0,0,'Données projet'!$E$9+1,1))-AVERAGE(OFFSET($H$3,0,0,'Données projet'!$E$9+1,1))</f>
        <v>239.26156489359892</v>
      </c>
      <c r="T7" s="59">
        <f t="shared" si="34"/>
        <v>213.97034450798111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4.5856818181818184</v>
      </c>
      <c r="AI7" s="13">
        <f>IF('Données projet'!$A$62&gt;35,AI6+AH7-AQ6,IF(A7&lt;'Données projet'!$A$62,$AF$205^A7,IF(A7='Données projet'!$A$62,'Données projet'!$B$62,AI6+AH7-AQ6)))</f>
        <v>18.342727272727274</v>
      </c>
      <c r="AJ7" s="13">
        <f>AI7*VLOOKUP('Données projet'!$B$10,Paramètres!$A$1:$I$89,3,0)*VLOOKUP('Données projet'!$B$10,Paramètres!$A$1:$I$89,5,0)</f>
        <v>18.599525454545457</v>
      </c>
      <c r="AK7" s="13">
        <f t="shared" si="35"/>
        <v>6.0993550066588531</v>
      </c>
      <c r="AL7" s="20">
        <f t="shared" si="4"/>
        <v>43.017216803264176</v>
      </c>
      <c r="AM7" s="59">
        <f t="shared" si="5"/>
        <v>304.57277235881975</v>
      </c>
      <c r="AN7" s="59">
        <f ca="1">AVERAGE(OFFSET($AM$3,0,0,'Données projet'!$E$10+1,1))-AVERAGE(OFFSET($H$3,0,0,'Données projet'!$E$10+1,1))</f>
        <v>543.88440431478944</v>
      </c>
      <c r="AO7" s="59">
        <f t="shared" si="36"/>
        <v>342.63929463709457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3.3603333333333336</v>
      </c>
      <c r="BD7" s="12">
        <f>IF('Données projet'!$A$88&gt;35,BD6+BC7-BL6,IF(A7&lt;'Données projet'!$A$88,$BA$205^A7,IF(A7='Données projet'!$A$88,'Données projet'!$B$88,BD6+BC7-BL6)))</f>
        <v>13.441333333333334</v>
      </c>
      <c r="BE7" s="13">
        <f>BD7*VLOOKUP('Données projet'!$B$11,Paramètres!$A$1:$I$89,3,0)*VLOOKUP('Données projet'!$B$11,Paramètres!$A$1:$I$89,5,0)</f>
        <v>15.306990400000002</v>
      </c>
      <c r="BF7" s="13">
        <f t="shared" si="37"/>
        <v>5.1347665200314268</v>
      </c>
      <c r="BG7" s="20">
        <f t="shared" si="7"/>
        <v>35.602726635721403</v>
      </c>
      <c r="BH7" s="59">
        <f t="shared" si="8"/>
        <v>297.15828219127695</v>
      </c>
      <c r="BI7" s="59">
        <f ca="1">AVERAGE(OFFSET($BH$3,0,0,'Données projet'!$E$11+1,1))-AVERAGE(OFFSET($H$3,0,0,'Données projet'!$E$11+1,1))</f>
        <v>593.28343396240075</v>
      </c>
      <c r="BJ7" s="59">
        <f t="shared" si="38"/>
        <v>289.66477662068695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4.016578947368421</v>
      </c>
      <c r="BY7" s="12">
        <f>IF('Données projet'!$A$114&gt;35,BY6+BX7-CG6,IF(A7&lt;'Données projet'!$A$114,$BV$205^A7,IF(A7='Données projet'!$A$114,'Données projet'!$B$114,BY6+BX7-CG6)))</f>
        <v>16.066315789473684</v>
      </c>
      <c r="BZ7" s="13">
        <f>BY7*VLOOKUP('Données projet'!$B$12,Paramètres!$A$1:$I$89,3,0)*VLOOKUP('Données projet'!$B$12,Paramètres!$A$1:$I$89,5,0)</f>
        <v>17.293782315789475</v>
      </c>
      <c r="CA7" s="13">
        <f t="shared" si="39"/>
        <v>5.7194156353897379</v>
      </c>
      <c r="CB7" s="20">
        <f t="shared" si="10"/>
        <v>40.081319764970452</v>
      </c>
      <c r="CC7" s="59">
        <f t="shared" si="11"/>
        <v>301.63687532052597</v>
      </c>
      <c r="CD7" s="59">
        <f ca="1">AVERAGE(OFFSET($CC$3,0,0,'Données projet'!$E$12+1,1))-AVERAGE(OFFSET($H$3,0,0,'Données projet'!$E$12+1,1))</f>
        <v>502.65044103360322</v>
      </c>
      <c r="CE7" s="59">
        <f t="shared" si="40"/>
        <v>321.65762891855167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1.1538461538461537</v>
      </c>
      <c r="N8" s="13">
        <f>IF('Données projet'!$A$36&gt;35,N7+M8-V7,IF(A8&lt;'Données projet'!$A$36,$K$205^A8,IF(A8='Données projet'!$A$36,'Données projet'!$B$36,N7+M8-V7)))</f>
        <v>3.3968311024337861</v>
      </c>
      <c r="O8" s="13">
        <f>N8*VLOOKUP('Données projet'!$B$9,Paramètres!$A$1:$I$89,3,0)*VLOOKUP('Données projet'!$B$9,Paramètres!$A$1:$I$89,5,0)</f>
        <v>3.5503678682637934</v>
      </c>
      <c r="P8" s="13">
        <f t="shared" si="33"/>
        <v>1.4118013760078378</v>
      </c>
      <c r="Q8" s="20">
        <f t="shared" si="2"/>
        <v>8.6424447671064257</v>
      </c>
      <c r="R8" s="59">
        <f t="shared" si="0"/>
        <v>271.42022254488421</v>
      </c>
      <c r="S8" s="59">
        <f ca="1">AVERAGE(OFFSET($R$3,0,0,'Données projet'!$E$9+1,1))-AVERAGE(OFFSET($H$3,0,0,'Données projet'!$E$9+1,1))</f>
        <v>239.26156489359892</v>
      </c>
      <c r="T8" s="59">
        <f t="shared" si="34"/>
        <v>213.97034450798111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4.5856818181818184</v>
      </c>
      <c r="AI8" s="13">
        <f>IF('Données projet'!$A$62&gt;35,AI7+AH8-AQ7,IF(A8&lt;'Données projet'!$A$62,$AF$205^A8,IF(A8='Données projet'!$A$62,'Données projet'!$B$62,AI7+AH8-AQ7)))</f>
        <v>22.928409090909092</v>
      </c>
      <c r="AJ8" s="13">
        <f>AI8*VLOOKUP('Données projet'!$B$10,Paramètres!$A$1:$I$89,3,0)*VLOOKUP('Données projet'!$B$10,Paramètres!$A$1:$I$89,5,0)</f>
        <v>23.249406818181821</v>
      </c>
      <c r="AK8" s="13">
        <f t="shared" si="35"/>
        <v>7.4287133259709117</v>
      </c>
      <c r="AL8" s="20">
        <f t="shared" si="4"/>
        <v>53.43105925106601</v>
      </c>
      <c r="AM8" s="59">
        <f t="shared" si="5"/>
        <v>316.20883702884379</v>
      </c>
      <c r="AN8" s="59">
        <f ca="1">AVERAGE(OFFSET($AM$3,0,0,'Données projet'!$E$10+1,1))-AVERAGE(OFFSET($H$3,0,0,'Données projet'!$E$10+1,1))</f>
        <v>543.88440431478944</v>
      </c>
      <c r="AO8" s="59">
        <f t="shared" si="36"/>
        <v>342.63929463709457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3.3603333333333336</v>
      </c>
      <c r="BD8" s="12">
        <f>IF('Données projet'!$A$88&gt;35,BD7+BC8-BL7,IF(A8&lt;'Données projet'!$A$88,$BA$205^A8,IF(A8='Données projet'!$A$88,'Données projet'!$B$88,BD7+BC8-BL7)))</f>
        <v>16.801666666666669</v>
      </c>
      <c r="BE8" s="13">
        <f>BD8*VLOOKUP('Données projet'!$B$11,Paramètres!$A$1:$I$89,3,0)*VLOOKUP('Données projet'!$B$11,Paramètres!$A$1:$I$89,5,0)</f>
        <v>19.133738000000005</v>
      </c>
      <c r="BF8" s="13">
        <f t="shared" si="37"/>
        <v>6.2538921626078503</v>
      </c>
      <c r="BG8" s="20">
        <f t="shared" si="7"/>
        <v>44.216789199875343</v>
      </c>
      <c r="BH8" s="59">
        <f t="shared" si="8"/>
        <v>306.99456697765311</v>
      </c>
      <c r="BI8" s="59">
        <f ca="1">AVERAGE(OFFSET($BH$3,0,0,'Données projet'!$E$11+1,1))-AVERAGE(OFFSET($H$3,0,0,'Données projet'!$E$11+1,1))</f>
        <v>593.28343396240075</v>
      </c>
      <c r="BJ8" s="59">
        <f t="shared" si="38"/>
        <v>289.66477662068695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4.016578947368421</v>
      </c>
      <c r="BY8" s="12">
        <f>IF('Données projet'!$A$114&gt;35,BY7+BX8-CG7,IF(A8&lt;'Données projet'!$A$114,$BV$205^A8,IF(A8='Données projet'!$A$114,'Données projet'!$B$114,BY7+BX8-CG7)))</f>
        <v>20.082894736842107</v>
      </c>
      <c r="BZ8" s="13">
        <f>BY8*VLOOKUP('Données projet'!$B$12,Paramètres!$A$1:$I$89,3,0)*VLOOKUP('Données projet'!$B$12,Paramètres!$A$1:$I$89,5,0)</f>
        <v>21.617227894736843</v>
      </c>
      <c r="CA8" s="13">
        <f t="shared" si="39"/>
        <v>6.9659659260693632</v>
      </c>
      <c r="CB8" s="20">
        <f t="shared" si="10"/>
        <v>49.782395904570798</v>
      </c>
      <c r="CC8" s="59">
        <f t="shared" si="11"/>
        <v>312.56017368234859</v>
      </c>
      <c r="CD8" s="59">
        <f ca="1">AVERAGE(OFFSET($CC$3,0,0,'Données projet'!$E$12+1,1))-AVERAGE(OFFSET($H$3,0,0,'Données projet'!$E$12+1,1))</f>
        <v>502.65044103360322</v>
      </c>
      <c r="CE8" s="59">
        <f t="shared" si="40"/>
        <v>321.65762891855167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1.1538461538461537</v>
      </c>
      <c r="N9" s="13">
        <f>IF('Données projet'!$A$36&gt;35,N8+M9-V8,IF(A9&lt;'Données projet'!$A$36,$K$205^A9,IF(A9='Données projet'!$A$36,'Données projet'!$B$36,N8+M9-V8)))</f>
        <v>4.3379919728687586</v>
      </c>
      <c r="O9" s="13">
        <f>N9*VLOOKUP('Données projet'!$B$9,Paramètres!$A$1:$I$89,3,0)*VLOOKUP('Données projet'!$B$9,Paramètres!$A$1:$I$89,5,0)</f>
        <v>4.5340692100424276</v>
      </c>
      <c r="P9" s="13">
        <f t="shared" si="33"/>
        <v>1.7523666925023973</v>
      </c>
      <c r="Q9" s="20">
        <f t="shared" si="2"/>
        <v>10.948875863598902</v>
      </c>
      <c r="R9" s="59">
        <f t="shared" si="0"/>
        <v>274.94887586359891</v>
      </c>
      <c r="S9" s="59">
        <f ca="1">AVERAGE(OFFSET($R$3,0,0,'Données projet'!$E$9+1,1))-AVERAGE(OFFSET($H$3,0,0,'Données projet'!$E$9+1,1))</f>
        <v>239.26156489359892</v>
      </c>
      <c r="T9" s="59">
        <f t="shared" si="34"/>
        <v>213.97034450798111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4.5856818181818184</v>
      </c>
      <c r="AI9" s="13">
        <f>IF('Données projet'!$A$62&gt;35,AI8+AH9-AQ8,IF(A9&lt;'Données projet'!$A$62,$AF$205^A9,IF(A9='Données projet'!$A$62,'Données projet'!$B$62,AI8+AH9-AQ8)))</f>
        <v>27.51409090909091</v>
      </c>
      <c r="AJ9" s="13">
        <f>AI9*VLOOKUP('Données projet'!$B$10,Paramètres!$A$1:$I$89,3,0)*VLOOKUP('Données projet'!$B$10,Paramètres!$A$1:$I$89,5,0)</f>
        <v>27.899288181818189</v>
      </c>
      <c r="AK9" s="13">
        <f t="shared" si="35"/>
        <v>8.7272646967050314</v>
      </c>
      <c r="AL9" s="20">
        <f t="shared" si="4"/>
        <v>63.791246263427929</v>
      </c>
      <c r="AM9" s="59">
        <f t="shared" si="5"/>
        <v>327.79124626342792</v>
      </c>
      <c r="AN9" s="59">
        <f ca="1">AVERAGE(OFFSET($AM$3,0,0,'Données projet'!$E$10+1,1))-AVERAGE(OFFSET($H$3,0,0,'Données projet'!$E$10+1,1))</f>
        <v>543.88440431478944</v>
      </c>
      <c r="AO9" s="59">
        <f t="shared" si="36"/>
        <v>342.63929463709457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3.3603333333333336</v>
      </c>
      <c r="BD9" s="12">
        <f>IF('Données projet'!$A$88&gt;35,BD8+BC9-BL8,IF(A9&lt;'Données projet'!$A$88,$BA$205^A9,IF(A9='Données projet'!$A$88,'Données projet'!$B$88,BD8+BC9-BL8)))</f>
        <v>20.162000000000003</v>
      </c>
      <c r="BE9" s="13">
        <f>BD9*VLOOKUP('Données projet'!$B$11,Paramètres!$A$1:$I$89,3,0)*VLOOKUP('Données projet'!$B$11,Paramètres!$A$1:$I$89,5,0)</f>
        <v>22.960485600000002</v>
      </c>
      <c r="BF9" s="13">
        <f t="shared" si="37"/>
        <v>7.3470828517392546</v>
      </c>
      <c r="BG9" s="20">
        <f t="shared" si="7"/>
        <v>52.785681720112542</v>
      </c>
      <c r="BH9" s="59">
        <f t="shared" si="8"/>
        <v>316.78568172011256</v>
      </c>
      <c r="BI9" s="59">
        <f ca="1">AVERAGE(OFFSET($BH$3,0,0,'Données projet'!$E$11+1,1))-AVERAGE(OFFSET($H$3,0,0,'Données projet'!$E$11+1,1))</f>
        <v>593.28343396240075</v>
      </c>
      <c r="BJ9" s="59">
        <f t="shared" si="38"/>
        <v>289.66477662068695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4.016578947368421</v>
      </c>
      <c r="BY9" s="12">
        <f>IF('Données projet'!$A$114&gt;35,BY8+BX9-CG8,IF(A9&lt;'Données projet'!$A$114,$BV$205^A9,IF(A9='Données projet'!$A$114,'Données projet'!$B$114,BY8+BX9-CG8)))</f>
        <v>24.09947368421053</v>
      </c>
      <c r="BZ9" s="13">
        <f>BY9*VLOOKUP('Données projet'!$B$12,Paramètres!$A$1:$I$89,3,0)*VLOOKUP('Données projet'!$B$12,Paramètres!$A$1:$I$89,5,0)</f>
        <v>25.940673473684214</v>
      </c>
      <c r="CA9" s="13">
        <f t="shared" si="39"/>
        <v>8.1836282862738852</v>
      </c>
      <c r="CB9" s="20">
        <f t="shared" si="10"/>
        <v>59.433158898593696</v>
      </c>
      <c r="CC9" s="59">
        <f t="shared" si="11"/>
        <v>323.43315889859372</v>
      </c>
      <c r="CD9" s="59">
        <f ca="1">AVERAGE(OFFSET($CC$3,0,0,'Données projet'!$E$12+1,1))-AVERAGE(OFFSET($H$3,0,0,'Données projet'!$E$12+1,1))</f>
        <v>502.65044103360322</v>
      </c>
      <c r="CE9" s="59">
        <f t="shared" si="40"/>
        <v>321.65762891855167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1.1538461538461537</v>
      </c>
      <c r="N10" s="13">
        <f>IF('Données projet'!$A$36&gt;35,N9+M10-V9,IF(A10&lt;'Données projet'!$A$36,$K$205^A10,IF(A10='Données projet'!$A$36,'Données projet'!$B$36,N9+M10-V9)))</f>
        <v>5.5399205286335267</v>
      </c>
      <c r="O10" s="13">
        <f>N10*VLOOKUP('Données projet'!$B$9,Paramètres!$A$1:$I$89,3,0)*VLOOKUP('Données projet'!$B$9,Paramètres!$A$1:$I$89,5,0)</f>
        <v>5.7903249365277629</v>
      </c>
      <c r="P10" s="13">
        <f t="shared" si="33"/>
        <v>2.1750857288969967</v>
      </c>
      <c r="Q10" s="20">
        <f t="shared" si="2"/>
        <v>13.873090242281457</v>
      </c>
      <c r="R10" s="59">
        <f t="shared" si="0"/>
        <v>279.09531246450371</v>
      </c>
      <c r="S10" s="59">
        <f ca="1">AVERAGE(OFFSET($R$3,0,0,'Données projet'!$E$9+1,1))-AVERAGE(OFFSET($H$3,0,0,'Données projet'!$E$9+1,1))</f>
        <v>239.26156489359892</v>
      </c>
      <c r="T10" s="59">
        <f t="shared" si="34"/>
        <v>213.97034450798111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4.5856818181818184</v>
      </c>
      <c r="AI10" s="13">
        <f>IF('Données projet'!$A$62&gt;35,AI9+AH10-AQ9,IF(A10&lt;'Données projet'!$A$62,$AF$205^A10,IF(A10='Données projet'!$A$62,'Données projet'!$B$62,AI9+AH10-AQ9)))</f>
        <v>32.099772727272729</v>
      </c>
      <c r="AJ10" s="13">
        <f>AI10*VLOOKUP('Données projet'!$B$10,Paramètres!$A$1:$I$89,3,0)*VLOOKUP('Données projet'!$B$10,Paramètres!$A$1:$I$89,5,0)</f>
        <v>32.549169545454554</v>
      </c>
      <c r="AK10" s="13">
        <f t="shared" si="35"/>
        <v>10.000744489723338</v>
      </c>
      <c r="AL10" s="20">
        <f t="shared" si="4"/>
        <v>74.107766944601494</v>
      </c>
      <c r="AM10" s="59">
        <f t="shared" si="5"/>
        <v>339.32998916682374</v>
      </c>
      <c r="AN10" s="59">
        <f ca="1">AVERAGE(OFFSET($AM$3,0,0,'Données projet'!$E$10+1,1))-AVERAGE(OFFSET($H$3,0,0,'Données projet'!$E$10+1,1))</f>
        <v>543.88440431478944</v>
      </c>
      <c r="AO10" s="59">
        <f t="shared" si="36"/>
        <v>342.63929463709457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3.3603333333333336</v>
      </c>
      <c r="BD10" s="12">
        <f>IF('Données projet'!$A$88&gt;35,BD9+BC10-BL9,IF(A10&lt;'Données projet'!$A$88,$BA$205^A10,IF(A10='Données projet'!$A$88,'Données projet'!$B$88,BD9+BC10-BL9)))</f>
        <v>23.522333333333336</v>
      </c>
      <c r="BE10" s="13">
        <f>BD10*VLOOKUP('Données projet'!$B$11,Paramètres!$A$1:$I$89,3,0)*VLOOKUP('Données projet'!$B$11,Paramètres!$A$1:$I$89,5,0)</f>
        <v>26.787233200000003</v>
      </c>
      <c r="BF10" s="13">
        <f t="shared" si="37"/>
        <v>8.4191669324310805</v>
      </c>
      <c r="BG10" s="20">
        <f t="shared" si="7"/>
        <v>61.317813563984139</v>
      </c>
      <c r="BH10" s="59">
        <f t="shared" si="8"/>
        <v>326.54003578620637</v>
      </c>
      <c r="BI10" s="59">
        <f ca="1">AVERAGE(OFFSET($BH$3,0,0,'Données projet'!$E$11+1,1))-AVERAGE(OFFSET($H$3,0,0,'Données projet'!$E$11+1,1))</f>
        <v>593.28343396240075</v>
      </c>
      <c r="BJ10" s="59">
        <f t="shared" si="38"/>
        <v>289.66477662068695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4.016578947368421</v>
      </c>
      <c r="BY10" s="12">
        <f>IF('Données projet'!$A$114&gt;35,BY9+BX10-CG9,IF(A10&lt;'Données projet'!$A$114,$BV$205^A10,IF(A10='Données projet'!$A$114,'Données projet'!$B$114,BY9+BX10-CG9)))</f>
        <v>28.116052631578953</v>
      </c>
      <c r="BZ10" s="13">
        <f>BY10*VLOOKUP('Données projet'!$B$12,Paramètres!$A$1:$I$89,3,0)*VLOOKUP('Données projet'!$B$12,Paramètres!$A$1:$I$89,5,0)</f>
        <v>30.264119052631585</v>
      </c>
      <c r="CA10" s="13">
        <f t="shared" si="39"/>
        <v>9.377780820695989</v>
      </c>
      <c r="CB10" s="20">
        <f t="shared" si="10"/>
        <v>69.042975612712198</v>
      </c>
      <c r="CC10" s="59">
        <f t="shared" si="11"/>
        <v>334.26519783493444</v>
      </c>
      <c r="CD10" s="59">
        <f ca="1">AVERAGE(OFFSET($CC$3,0,0,'Données projet'!$E$12+1,1))-AVERAGE(OFFSET($H$3,0,0,'Données projet'!$E$12+1,1))</f>
        <v>502.65044103360322</v>
      </c>
      <c r="CE10" s="59">
        <f t="shared" si="40"/>
        <v>321.65762891855167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1.1538461538461537</v>
      </c>
      <c r="N11" s="13">
        <f>IF('Données projet'!$A$36&gt;35,N10+M11-V10,IF(A11&lt;'Données projet'!$A$36,$K$205^A11,IF(A11='Données projet'!$A$36,'Données projet'!$B$36,N10+M11-V10)))</f>
        <v>7.0748677396189548</v>
      </c>
      <c r="O11" s="13">
        <f>N11*VLOOKUP('Données projet'!$B$9,Paramètres!$A$1:$I$89,3,0)*VLOOKUP('Données projet'!$B$9,Paramètres!$A$1:$I$89,5,0)</f>
        <v>7.3946517614497322</v>
      </c>
      <c r="P11" s="13">
        <f t="shared" si="33"/>
        <v>2.6997762216625256</v>
      </c>
      <c r="Q11" s="20">
        <f t="shared" si="2"/>
        <v>17.581128737253849</v>
      </c>
      <c r="R11" s="59">
        <f t="shared" si="0"/>
        <v>284.02557318169829</v>
      </c>
      <c r="S11" s="59">
        <f ca="1">AVERAGE(OFFSET($R$3,0,0,'Données projet'!$E$9+1,1))-AVERAGE(OFFSET($H$3,0,0,'Données projet'!$E$9+1,1))</f>
        <v>239.26156489359892</v>
      </c>
      <c r="T11" s="59">
        <f t="shared" si="34"/>
        <v>213.97034450798111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4.5856818181818184</v>
      </c>
      <c r="AI11" s="13">
        <f>IF('Données projet'!$A$62&gt;35,AI10+AH11-AQ10,IF(A11&lt;'Données projet'!$A$62,$AF$205^A11,IF(A11='Données projet'!$A$62,'Données projet'!$B$62,AI10+AH11-AQ10)))</f>
        <v>36.685454545454547</v>
      </c>
      <c r="AJ11" s="13">
        <f>AI11*VLOOKUP('Données projet'!$B$10,Paramètres!$A$1:$I$89,3,0)*VLOOKUP('Données projet'!$B$10,Paramètres!$A$1:$I$89,5,0)</f>
        <v>37.199050909090914</v>
      </c>
      <c r="AK11" s="13">
        <f t="shared" si="35"/>
        <v>11.253147617263624</v>
      </c>
      <c r="AL11" s="20">
        <f t="shared" si="4"/>
        <v>84.387579100067484</v>
      </c>
      <c r="AM11" s="59">
        <f t="shared" si="5"/>
        <v>350.83202354451191</v>
      </c>
      <c r="AN11" s="59">
        <f ca="1">AVERAGE(OFFSET($AM$3,0,0,'Données projet'!$E$10+1,1))-AVERAGE(OFFSET($H$3,0,0,'Données projet'!$E$10+1,1))</f>
        <v>543.88440431478944</v>
      </c>
      <c r="AO11" s="59">
        <f t="shared" si="36"/>
        <v>342.63929463709457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3.3603333333333336</v>
      </c>
      <c r="BD11" s="12">
        <f>IF('Données projet'!$A$88&gt;35,BD10+BC11-BL10,IF(A11&lt;'Données projet'!$A$88,$BA$205^A11,IF(A11='Données projet'!$A$88,'Données projet'!$B$88,BD10+BC11-BL10)))</f>
        <v>26.882666666666669</v>
      </c>
      <c r="BE11" s="13">
        <f>BD11*VLOOKUP('Données projet'!$B$11,Paramètres!$A$1:$I$89,3,0)*VLOOKUP('Données projet'!$B$11,Paramètres!$A$1:$I$89,5,0)</f>
        <v>30.613980800000004</v>
      </c>
      <c r="BF11" s="13">
        <f t="shared" si="37"/>
        <v>9.473507537602579</v>
      </c>
      <c r="BG11" s="20">
        <f t="shared" si="7"/>
        <v>69.819042187991144</v>
      </c>
      <c r="BH11" s="59">
        <f t="shared" si="8"/>
        <v>336.26348663243562</v>
      </c>
      <c r="BI11" s="59">
        <f ca="1">AVERAGE(OFFSET($BH$3,0,0,'Données projet'!$E$11+1,1))-AVERAGE(OFFSET($H$3,0,0,'Données projet'!$E$11+1,1))</f>
        <v>593.28343396240075</v>
      </c>
      <c r="BJ11" s="59">
        <f t="shared" si="38"/>
        <v>289.66477662068695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4.016578947368421</v>
      </c>
      <c r="BY11" s="12">
        <f>IF('Données projet'!$A$114&gt;35,BY10+BX11-CG10,IF(A11&lt;'Données projet'!$A$114,$BV$205^A11,IF(A11='Données projet'!$A$114,'Données projet'!$B$114,BY10+BX11-CG10)))</f>
        <v>32.132631578947375</v>
      </c>
      <c r="BZ11" s="13">
        <f>BY11*VLOOKUP('Données projet'!$B$12,Paramètres!$A$1:$I$89,3,0)*VLOOKUP('Données projet'!$B$12,Paramètres!$A$1:$I$89,5,0)</f>
        <v>34.587564631578957</v>
      </c>
      <c r="CA11" s="13">
        <f t="shared" si="39"/>
        <v>10.552169591581572</v>
      </c>
      <c r="CB11" s="20">
        <f t="shared" si="10"/>
        <v>78.618370438671249</v>
      </c>
      <c r="CC11" s="59">
        <f t="shared" si="11"/>
        <v>345.06281488311572</v>
      </c>
      <c r="CD11" s="59">
        <f ca="1">AVERAGE(OFFSET($CC$3,0,0,'Données projet'!$E$12+1,1))-AVERAGE(OFFSET($H$3,0,0,'Données projet'!$E$12+1,1))</f>
        <v>502.65044103360322</v>
      </c>
      <c r="CE11" s="59">
        <f t="shared" si="40"/>
        <v>321.65762891855167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1.1538461538461537</v>
      </c>
      <c r="N12" s="13">
        <f>IF('Données projet'!$A$36&gt;35,N11+M12-V11,IF(A12&lt;'Données projet'!$A$36,$K$205^A12,IF(A12='Données projet'!$A$36,'Données projet'!$B$36,N11+M12-V11)))</f>
        <v>9.0351031705949865</v>
      </c>
      <c r="O12" s="13">
        <f>N12*VLOOKUP('Données projet'!$B$9,Paramètres!$A$1:$I$89,3,0)*VLOOKUP('Données projet'!$B$9,Paramètres!$A$1:$I$89,5,0)</f>
        <v>9.4434898339058808</v>
      </c>
      <c r="P12" s="13">
        <f t="shared" si="33"/>
        <v>3.3510364902952992</v>
      </c>
      <c r="Q12" s="20">
        <f t="shared" si="2"/>
        <v>22.283800014650385</v>
      </c>
      <c r="R12" s="59">
        <f t="shared" si="0"/>
        <v>289.9504666813171</v>
      </c>
      <c r="S12" s="59">
        <f ca="1">AVERAGE(OFFSET($R$3,0,0,'Données projet'!$E$9+1,1))-AVERAGE(OFFSET($H$3,0,0,'Données projet'!$E$9+1,1))</f>
        <v>239.26156489359892</v>
      </c>
      <c r="T12" s="59">
        <f t="shared" si="34"/>
        <v>213.97034450798111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4.5856818181818184</v>
      </c>
      <c r="AI12" s="13">
        <f>IF('Données projet'!$A$62&gt;35,AI11+AH12-AQ11,IF(A12&lt;'Données projet'!$A$62,$AF$205^A12,IF(A12='Données projet'!$A$62,'Données projet'!$B$62,AI11+AH12-AQ11)))</f>
        <v>41.271136363636366</v>
      </c>
      <c r="AJ12" s="13">
        <f>AI12*VLOOKUP('Données projet'!$B$10,Paramètres!$A$1:$I$89,3,0)*VLOOKUP('Données projet'!$B$10,Paramètres!$A$1:$I$89,5,0)</f>
        <v>41.848932272727275</v>
      </c>
      <c r="AK12" s="13">
        <f t="shared" si="35"/>
        <v>12.487410390640012</v>
      </c>
      <c r="AL12" s="20">
        <f t="shared" si="4"/>
        <v>94.635796805364691</v>
      </c>
      <c r="AM12" s="59">
        <f t="shared" si="5"/>
        <v>362.30246347203138</v>
      </c>
      <c r="AN12" s="59">
        <f ca="1">AVERAGE(OFFSET($AM$3,0,0,'Données projet'!$E$10+1,1))-AVERAGE(OFFSET($H$3,0,0,'Données projet'!$E$10+1,1))</f>
        <v>543.88440431478944</v>
      </c>
      <c r="AO12" s="59">
        <f t="shared" si="36"/>
        <v>342.63929463709457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3.3603333333333336</v>
      </c>
      <c r="BD12" s="12">
        <f>IF('Données projet'!$A$88&gt;35,BD11+BC12-BL11,IF(A12&lt;'Données projet'!$A$88,$BA$205^A12,IF(A12='Données projet'!$A$88,'Données projet'!$B$88,BD11+BC12-BL11)))</f>
        <v>30.243000000000002</v>
      </c>
      <c r="BE12" s="13">
        <f>BD12*VLOOKUP('Données projet'!$B$11,Paramètres!$A$1:$I$89,3,0)*VLOOKUP('Données projet'!$B$11,Paramètres!$A$1:$I$89,5,0)</f>
        <v>34.440728400000005</v>
      </c>
      <c r="BF12" s="13">
        <f t="shared" si="37"/>
        <v>10.512576612731865</v>
      </c>
      <c r="BG12" s="20">
        <f t="shared" si="7"/>
        <v>78.293672897174659</v>
      </c>
      <c r="BH12" s="59">
        <f t="shared" si="8"/>
        <v>345.96033956384133</v>
      </c>
      <c r="BI12" s="59">
        <f ca="1">AVERAGE(OFFSET($BH$3,0,0,'Données projet'!$E$11+1,1))-AVERAGE(OFFSET($H$3,0,0,'Données projet'!$E$11+1,1))</f>
        <v>593.28343396240075</v>
      </c>
      <c r="BJ12" s="59">
        <f t="shared" si="38"/>
        <v>289.66477662068695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4.016578947368421</v>
      </c>
      <c r="BY12" s="12">
        <f>IF('Données projet'!$A$114&gt;35,BY11+BX12-CG11,IF(A12&lt;'Données projet'!$A$114,$BV$205^A12,IF(A12='Données projet'!$A$114,'Données projet'!$B$114,BY11+BX12-CG11)))</f>
        <v>36.149210526315798</v>
      </c>
      <c r="BZ12" s="13">
        <f>BY12*VLOOKUP('Données projet'!$B$12,Paramètres!$A$1:$I$89,3,0)*VLOOKUP('Données projet'!$B$12,Paramètres!$A$1:$I$89,5,0)</f>
        <v>38.911010210526321</v>
      </c>
      <c r="CA12" s="13">
        <f t="shared" si="39"/>
        <v>11.709548002335099</v>
      </c>
      <c r="CB12" s="20">
        <f t="shared" si="10"/>
        <v>88.164138887400284</v>
      </c>
      <c r="CC12" s="59">
        <f t="shared" si="11"/>
        <v>355.83080555406696</v>
      </c>
      <c r="CD12" s="59">
        <f ca="1">AVERAGE(OFFSET($CC$3,0,0,'Données projet'!$E$12+1,1))-AVERAGE(OFFSET($H$3,0,0,'Données projet'!$E$12+1,1))</f>
        <v>502.65044103360322</v>
      </c>
      <c r="CE12" s="59">
        <f t="shared" si="40"/>
        <v>321.65762891855167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11.538461538461538</v>
      </c>
      <c r="L13" s="12">
        <f>VLOOKUP(A13,'Données projet'!$A$35:$I$55,9,0)</f>
        <v>1.1538461538461537</v>
      </c>
      <c r="M13" s="12">
        <f t="array" ref="M13">INDEX(L:L,MIN(IF(ISNUMBER(L13:L209),ROW(L13:L209),"")))</f>
        <v>1.1538461538461537</v>
      </c>
      <c r="N13" s="13">
        <f>IF('Données projet'!$A$36&gt;35,N12+M13-V12,IF(A13&lt;'Données projet'!$A$36,$K$205^A13,IF(A13='Données projet'!$A$36,'Données projet'!$B$36,N12+M13-V12)))</f>
        <v>11.538461538461538</v>
      </c>
      <c r="O13" s="13">
        <f>N13*VLOOKUP('Données projet'!$B$9,Paramètres!$A$1:$I$89,3,0)*VLOOKUP('Données projet'!$B$9,Paramètres!$A$1:$I$89,5,0)</f>
        <v>12.06</v>
      </c>
      <c r="P13" s="13">
        <f t="shared" si="33"/>
        <v>4.1593986454090377</v>
      </c>
      <c r="Q13" s="20">
        <f t="shared" si="2"/>
        <v>28.248785974087401</v>
      </c>
      <c r="R13" s="59">
        <f t="shared" si="0"/>
        <v>297.13767486297627</v>
      </c>
      <c r="S13" s="59">
        <f ca="1">AVERAGE(OFFSET($R$3,0,0,'Données projet'!$E$9+1,1))-AVERAGE(OFFSET($H$3,0,0,'Données projet'!$E$9+1,1))</f>
        <v>239.26156489359892</v>
      </c>
      <c r="T13" s="59">
        <f t="shared" si="34"/>
        <v>213.97034450798111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0.215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4.5856818181818184</v>
      </c>
      <c r="AI13" s="13">
        <f>IF('Données projet'!$A$62&gt;35,AI12+AH13-AQ12,IF(A13&lt;'Données projet'!$A$62,$AF$205^A13,IF(A13='Données projet'!$A$62,'Données projet'!$B$62,AI12+AH13-AQ12)))</f>
        <v>45.856818181818184</v>
      </c>
      <c r="AJ13" s="13">
        <f>AI13*VLOOKUP('Données projet'!$B$10,Paramètres!$A$1:$I$89,3,0)*VLOOKUP('Données projet'!$B$10,Paramètres!$A$1:$I$89,5,0)</f>
        <v>46.498813636363643</v>
      </c>
      <c r="AK13" s="13">
        <f t="shared" si="35"/>
        <v>13.705778327744383</v>
      </c>
      <c r="AL13" s="20">
        <f t="shared" si="4"/>
        <v>104.85633100415481</v>
      </c>
      <c r="AM13" s="59">
        <f t="shared" si="5"/>
        <v>373.74521989304367</v>
      </c>
      <c r="AN13" s="59">
        <f ca="1">AVERAGE(OFFSET($AM$3,0,0,'Données projet'!$E$10+1,1))-AVERAGE(OFFSET($H$3,0,0,'Données projet'!$E$10+1,1))</f>
        <v>543.88440431478944</v>
      </c>
      <c r="AO13" s="59">
        <f t="shared" si="36"/>
        <v>342.63929463709457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3.3603333333333336</v>
      </c>
      <c r="BD13" s="12">
        <f>IF('Données projet'!$A$88&gt;35,BD12+BC13-BL12,IF(A13&lt;'Données projet'!$A$88,$BA$205^A13,IF(A13='Données projet'!$A$88,'Données projet'!$B$88,BD12+BC13-BL12)))</f>
        <v>33.603333333333339</v>
      </c>
      <c r="BE13" s="13">
        <f>BD13*VLOOKUP('Données projet'!$B$11,Paramètres!$A$1:$I$89,3,0)*VLOOKUP('Données projet'!$B$11,Paramètres!$A$1:$I$89,5,0)</f>
        <v>38.267476000000009</v>
      </c>
      <c r="BF13" s="13">
        <f t="shared" si="37"/>
        <v>11.538264556078891</v>
      </c>
      <c r="BG13" s="20">
        <f t="shared" si="7"/>
        <v>86.744998135170761</v>
      </c>
      <c r="BH13" s="59">
        <f t="shared" si="8"/>
        <v>355.63388702405962</v>
      </c>
      <c r="BI13" s="59">
        <f ca="1">AVERAGE(OFFSET($BH$3,0,0,'Données projet'!$E$11+1,1))-AVERAGE(OFFSET($H$3,0,0,'Données projet'!$E$11+1,1))</f>
        <v>593.28343396240075</v>
      </c>
      <c r="BJ13" s="59">
        <f t="shared" si="38"/>
        <v>289.66477662068695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4.016578947368421</v>
      </c>
      <c r="BY13" s="12">
        <f>IF('Données projet'!$A$114&gt;35,BY12+BX13-CG12,IF(A13&lt;'Données projet'!$A$114,$BV$205^A13,IF(A13='Données projet'!$A$114,'Données projet'!$B$114,BY12+BX13-CG12)))</f>
        <v>40.165789473684221</v>
      </c>
      <c r="BZ13" s="13">
        <f>BY13*VLOOKUP('Données projet'!$B$12,Paramètres!$A$1:$I$89,3,0)*VLOOKUP('Données projet'!$B$12,Paramètres!$A$1:$I$89,5,0)</f>
        <v>43.234455789473692</v>
      </c>
      <c r="CA13" s="13">
        <f t="shared" si="39"/>
        <v>12.852021693655693</v>
      </c>
      <c r="CB13" s="20">
        <f t="shared" si="10"/>
        <v>97.683948283117005</v>
      </c>
      <c r="CC13" s="59">
        <f t="shared" si="11"/>
        <v>366.57283717200585</v>
      </c>
      <c r="CD13" s="59">
        <f ca="1">AVERAGE(OFFSET($CC$3,0,0,'Données projet'!$E$12+1,1))-AVERAGE(OFFSET($H$3,0,0,'Données projet'!$E$12+1,1))</f>
        <v>502.65044103360322</v>
      </c>
      <c r="CE13" s="59">
        <f t="shared" si="40"/>
        <v>321.65762891855167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3.7179487179487181</v>
      </c>
      <c r="N14" s="13">
        <f>IF('Données projet'!$A$36&gt;35,N13+M14-V13,IF(A14&lt;'Données projet'!$A$36,$K$205^A14,IF(A14='Données projet'!$A$36,'Données projet'!$B$36,N13+M14-V13)))</f>
        <v>15.256410256410255</v>
      </c>
      <c r="O14" s="13">
        <f>N14*VLOOKUP('Données projet'!$B$9,Paramètres!$A$1:$I$89,3,0)*VLOOKUP('Données projet'!$B$9,Paramètres!$A$1:$I$89,5,0)</f>
        <v>15.946000000000002</v>
      </c>
      <c r="P14" s="13">
        <f t="shared" si="33"/>
        <v>5.3237194363648275</v>
      </c>
      <c r="Q14" s="20">
        <f t="shared" si="2"/>
        <v>37.044761351668747</v>
      </c>
      <c r="R14" s="59">
        <f t="shared" si="0"/>
        <v>307.15587246277988</v>
      </c>
      <c r="S14" s="59">
        <f ca="1">AVERAGE(OFFSET($R$3,0,0,'Données projet'!$E$9+1,1))-AVERAGE(OFFSET($H$3,0,0,'Données projet'!$E$9+1,1))</f>
        <v>239.26156489359892</v>
      </c>
      <c r="T14" s="59">
        <f t="shared" si="34"/>
        <v>213.97034450798111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4.5856818181818184</v>
      </c>
      <c r="AI14" s="13">
        <f>IF('Données projet'!$A$62&gt;35,AI13+AH14-AQ13,IF(A14&lt;'Données projet'!$A$62,$AF$205^A14,IF(A14='Données projet'!$A$62,'Données projet'!$B$62,AI13+AH14-AQ13)))</f>
        <v>50.442500000000003</v>
      </c>
      <c r="AJ14" s="13">
        <f>AI14*VLOOKUP('Données projet'!$B$10,Paramètres!$A$1:$I$89,3,0)*VLOOKUP('Données projet'!$B$10,Paramètres!$A$1:$I$89,5,0)</f>
        <v>51.148695000000011</v>
      </c>
      <c r="AK14" s="13">
        <f t="shared" si="35"/>
        <v>14.910021854466464</v>
      </c>
      <c r="AL14" s="20">
        <f t="shared" si="4"/>
        <v>115.05226518819575</v>
      </c>
      <c r="AM14" s="59">
        <f t="shared" si="5"/>
        <v>385.16337629930689</v>
      </c>
      <c r="AN14" s="59">
        <f ca="1">AVERAGE(OFFSET($AM$3,0,0,'Données projet'!$E$10+1,1))-AVERAGE(OFFSET($H$3,0,0,'Données projet'!$E$10+1,1))</f>
        <v>543.88440431478944</v>
      </c>
      <c r="AO14" s="59">
        <f t="shared" si="36"/>
        <v>342.63929463709457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3.3603333333333336</v>
      </c>
      <c r="BD14" s="12">
        <f>IF('Données projet'!$A$88&gt;35,BD13+BC14-BL13,IF(A14&lt;'Données projet'!$A$88,$BA$205^A14,IF(A14='Données projet'!$A$88,'Données projet'!$B$88,BD13+BC14-BL13)))</f>
        <v>36.963666666666676</v>
      </c>
      <c r="BE14" s="13">
        <f>BD14*VLOOKUP('Données projet'!$B$11,Paramètres!$A$1:$I$89,3,0)*VLOOKUP('Données projet'!$B$11,Paramètres!$A$1:$I$89,5,0)</f>
        <v>42.094223600000007</v>
      </c>
      <c r="BF14" s="13">
        <f t="shared" si="37"/>
        <v>12.552061807792626</v>
      </c>
      <c r="BG14" s="20">
        <f t="shared" si="7"/>
        <v>95.175613751905487</v>
      </c>
      <c r="BH14" s="59">
        <f t="shared" si="8"/>
        <v>365.28672486301662</v>
      </c>
      <c r="BI14" s="59">
        <f ca="1">AVERAGE(OFFSET($BH$3,0,0,'Données projet'!$E$11+1,1))-AVERAGE(OFFSET($H$3,0,0,'Données projet'!$E$11+1,1))</f>
        <v>593.28343396240075</v>
      </c>
      <c r="BJ14" s="59">
        <f t="shared" si="38"/>
        <v>289.66477662068695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4.016578947368421</v>
      </c>
      <c r="BY14" s="12">
        <f>IF('Données projet'!$A$114&gt;35,BY13+BX14-CG13,IF(A14&lt;'Données projet'!$A$114,$BV$205^A14,IF(A14='Données projet'!$A$114,'Données projet'!$B$114,BY13+BX14-CG13)))</f>
        <v>44.182368421052644</v>
      </c>
      <c r="BZ14" s="13">
        <f>BY14*VLOOKUP('Données projet'!$B$12,Paramètres!$A$1:$I$89,3,0)*VLOOKUP('Données projet'!$B$12,Paramètres!$A$1:$I$89,5,0)</f>
        <v>47.557901368421064</v>
      </c>
      <c r="CA14" s="13">
        <f t="shared" si="39"/>
        <v>13.981250808542729</v>
      </c>
      <c r="CB14" s="20">
        <f t="shared" si="10"/>
        <v>107.18069004154528</v>
      </c>
      <c r="CC14" s="59">
        <f t="shared" si="11"/>
        <v>377.29180115265643</v>
      </c>
      <c r="CD14" s="59">
        <f ca="1">AVERAGE(OFFSET($CC$3,0,0,'Données projet'!$E$12+1,1))-AVERAGE(OFFSET($H$3,0,0,'Données projet'!$E$12+1,1))</f>
        <v>502.65044103360322</v>
      </c>
      <c r="CE14" s="59">
        <f t="shared" si="40"/>
        <v>321.65762891855167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3.7179487179487181</v>
      </c>
      <c r="N15" s="13">
        <f>IF('Données projet'!$A$36&gt;35,N14+M15-V14,IF(A15&lt;'Données projet'!$A$36,$K$205^A15,IF(A15='Données projet'!$A$36,'Données projet'!$B$36,N14+M15-V14)))</f>
        <v>18.974358974358974</v>
      </c>
      <c r="O15" s="13">
        <f>N15*VLOOKUP('Données projet'!$B$9,Paramètres!$A$1:$I$89,3,0)*VLOOKUP('Données projet'!$B$9,Paramètres!$A$1:$I$89,5,0)</f>
        <v>19.832000000000001</v>
      </c>
      <c r="P15" s="13">
        <f t="shared" si="33"/>
        <v>6.4551318352154752</v>
      </c>
      <c r="Q15" s="20">
        <f t="shared" si="2"/>
        <v>45.783421279666953</v>
      </c>
      <c r="R15" s="59">
        <f t="shared" si="0"/>
        <v>317.11675461300024</v>
      </c>
      <c r="S15" s="59">
        <f ca="1">AVERAGE(OFFSET($R$3,0,0,'Données projet'!$E$9+1,1))-AVERAGE(OFFSET($H$3,0,0,'Données projet'!$E$9+1,1))</f>
        <v>239.26156489359892</v>
      </c>
      <c r="T15" s="59">
        <f t="shared" si="34"/>
        <v>213.97034450798111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4.5856818181818184</v>
      </c>
      <c r="AI15" s="13">
        <f>IF('Données projet'!$A$62&gt;35,AI14+AH15-AQ14,IF(A15&lt;'Données projet'!$A$62,$AF$205^A15,IF(A15='Données projet'!$A$62,'Données projet'!$B$62,AI14+AH15-AQ14)))</f>
        <v>55.028181818181821</v>
      </c>
      <c r="AJ15" s="13">
        <f>AI15*VLOOKUP('Données projet'!$B$10,Paramètres!$A$1:$I$89,3,0)*VLOOKUP('Données projet'!$B$10,Paramètres!$A$1:$I$89,5,0)</f>
        <v>55.798576363636379</v>
      </c>
      <c r="AK15" s="13">
        <f t="shared" si="35"/>
        <v>16.101571038206032</v>
      </c>
      <c r="AL15" s="20">
        <f t="shared" si="4"/>
        <v>125.22609005820887</v>
      </c>
      <c r="AM15" s="59">
        <f t="shared" si="5"/>
        <v>396.55942339154217</v>
      </c>
      <c r="AN15" s="59">
        <f ca="1">AVERAGE(OFFSET($AM$3,0,0,'Données projet'!$E$10+1,1))-AVERAGE(OFFSET($H$3,0,0,'Données projet'!$E$10+1,1))</f>
        <v>543.88440431478944</v>
      </c>
      <c r="AO15" s="59">
        <f t="shared" si="36"/>
        <v>342.63929463709457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3.3603333333333336</v>
      </c>
      <c r="BD15" s="12">
        <f>IF('Données projet'!$A$88&gt;35,BD14+BC15-BL14,IF(A15&lt;'Données projet'!$A$88,$BA$205^A15,IF(A15='Données projet'!$A$88,'Données projet'!$B$88,BD14+BC15-BL14)))</f>
        <v>40.324000000000012</v>
      </c>
      <c r="BE15" s="13">
        <f>BD15*VLOOKUP('Données projet'!$B$11,Paramètres!$A$1:$I$89,3,0)*VLOOKUP('Données projet'!$B$11,Paramètres!$A$1:$I$89,5,0)</f>
        <v>45.920971200000018</v>
      </c>
      <c r="BF15" s="13">
        <f t="shared" si="37"/>
        <v>13.555172275859681</v>
      </c>
      <c r="BG15" s="20">
        <f t="shared" si="7"/>
        <v>103.58761655378898</v>
      </c>
      <c r="BH15" s="59">
        <f t="shared" si="8"/>
        <v>374.92094988712228</v>
      </c>
      <c r="BI15" s="59">
        <f ca="1">AVERAGE(OFFSET($BH$3,0,0,'Données projet'!$E$11+1,1))-AVERAGE(OFFSET($H$3,0,0,'Données projet'!$E$11+1,1))</f>
        <v>593.28343396240075</v>
      </c>
      <c r="BJ15" s="59">
        <f t="shared" si="38"/>
        <v>289.66477662068695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4.016578947368421</v>
      </c>
      <c r="BY15" s="12">
        <f>IF('Données projet'!$A$114&gt;35,BY14+BX15-CG14,IF(A15&lt;'Données projet'!$A$114,$BV$205^A15,IF(A15='Données projet'!$A$114,'Données projet'!$B$114,BY14+BX15-CG14)))</f>
        <v>48.198947368421067</v>
      </c>
      <c r="BZ15" s="13">
        <f>BY15*VLOOKUP('Données projet'!$B$12,Paramètres!$A$1:$I$89,3,0)*VLOOKUP('Données projet'!$B$12,Paramètres!$A$1:$I$89,5,0)</f>
        <v>51.881346947368428</v>
      </c>
      <c r="CA15" s="13">
        <f t="shared" si="39"/>
        <v>15.098576333024555</v>
      </c>
      <c r="CB15" s="20">
        <f t="shared" si="10"/>
        <v>116.6566997133511</v>
      </c>
      <c r="CC15" s="59">
        <f t="shared" si="11"/>
        <v>387.9900330466844</v>
      </c>
      <c r="CD15" s="59">
        <f ca="1">AVERAGE(OFFSET($CC$3,0,0,'Données projet'!$E$12+1,1))-AVERAGE(OFFSET($H$3,0,0,'Données projet'!$E$12+1,1))</f>
        <v>502.65044103360322</v>
      </c>
      <c r="CE15" s="59">
        <f t="shared" si="40"/>
        <v>321.65762891855167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3.7179487179487181</v>
      </c>
      <c r="N16" s="13">
        <f>IF('Données projet'!$A$36&gt;35,N15+M16-V15,IF(A16&lt;'Données projet'!$A$36,$K$205^A16,IF(A16='Données projet'!$A$36,'Données projet'!$B$36,N15+M16-V15)))</f>
        <v>22.692307692307693</v>
      </c>
      <c r="O16" s="13">
        <f>N16*VLOOKUP('Données projet'!$B$9,Paramètres!$A$1:$I$89,3,0)*VLOOKUP('Données projet'!$B$9,Paramètres!$A$1:$I$89,5,0)</f>
        <v>23.718000000000004</v>
      </c>
      <c r="P16" s="13">
        <f t="shared" si="33"/>
        <v>7.5608573241730994</v>
      </c>
      <c r="Q16" s="20">
        <f t="shared" si="2"/>
        <v>54.477343172934816</v>
      </c>
      <c r="R16" s="59">
        <f t="shared" si="0"/>
        <v>327.03289872849035</v>
      </c>
      <c r="S16" s="59">
        <f ca="1">AVERAGE(OFFSET($R$3,0,0,'Données projet'!$E$9+1,1))-AVERAGE(OFFSET($H$3,0,0,'Données projet'!$E$9+1,1))</f>
        <v>239.26156489359892</v>
      </c>
      <c r="T16" s="59">
        <f t="shared" si="34"/>
        <v>213.97034450798111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4.5856818181818184</v>
      </c>
      <c r="AI16" s="13">
        <f>IF('Données projet'!$A$62&gt;35,AI15+AH16-AQ15,IF(A16&lt;'Données projet'!$A$62,$AF$205^A16,IF(A16='Données projet'!$A$62,'Données projet'!$B$62,AI15+AH16-AQ15)))</f>
        <v>59.613863636363639</v>
      </c>
      <c r="AJ16" s="13">
        <f>AI16*VLOOKUP('Données projet'!$B$10,Paramètres!$A$1:$I$89,3,0)*VLOOKUP('Données projet'!$B$10,Paramètres!$A$1:$I$89,5,0)</f>
        <v>60.448457727272739</v>
      </c>
      <c r="AK16" s="13">
        <f t="shared" si="35"/>
        <v>17.281604010383397</v>
      </c>
      <c r="AL16" s="20">
        <f t="shared" si="4"/>
        <v>135.37985752641779</v>
      </c>
      <c r="AM16" s="59">
        <f t="shared" si="5"/>
        <v>407.93541308197337</v>
      </c>
      <c r="AN16" s="59">
        <f ca="1">AVERAGE(OFFSET($AM$3,0,0,'Données projet'!$E$10+1,1))-AVERAGE(OFFSET($H$3,0,0,'Données projet'!$E$10+1,1))</f>
        <v>543.88440431478944</v>
      </c>
      <c r="AO16" s="59">
        <f t="shared" si="36"/>
        <v>342.63929463709457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3.3603333333333336</v>
      </c>
      <c r="BD16" s="12">
        <f>IF('Données projet'!$A$88&gt;35,BD15+BC16-BL15,IF(A16&lt;'Données projet'!$A$88,$BA$205^A16,IF(A16='Données projet'!$A$88,'Données projet'!$B$88,BD15+BC16-BL15)))</f>
        <v>43.684333333333349</v>
      </c>
      <c r="BE16" s="13">
        <f>BD16*VLOOKUP('Données projet'!$B$11,Paramètres!$A$1:$I$89,3,0)*VLOOKUP('Données projet'!$B$11,Paramètres!$A$1:$I$89,5,0)</f>
        <v>49.747718800000023</v>
      </c>
      <c r="BF16" s="13">
        <f t="shared" si="37"/>
        <v>14.548587774950079</v>
      </c>
      <c r="BG16" s="20">
        <f t="shared" si="7"/>
        <v>111.98273395137143</v>
      </c>
      <c r="BH16" s="59">
        <f t="shared" si="8"/>
        <v>384.53828950692696</v>
      </c>
      <c r="BI16" s="59">
        <f ca="1">AVERAGE(OFFSET($BH$3,0,0,'Données projet'!$E$11+1,1))-AVERAGE(OFFSET($H$3,0,0,'Données projet'!$E$11+1,1))</f>
        <v>593.28343396240075</v>
      </c>
      <c r="BJ16" s="59">
        <f t="shared" si="38"/>
        <v>289.66477662068695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4.016578947368421</v>
      </c>
      <c r="BY16" s="12">
        <f>IF('Données projet'!$A$114&gt;35,BY15+BX16-CG15,IF(A16&lt;'Données projet'!$A$114,$BV$205^A16,IF(A16='Données projet'!$A$114,'Données projet'!$B$114,BY15+BX16-CG15)))</f>
        <v>52.215526315789489</v>
      </c>
      <c r="BZ16" s="13">
        <f>BY16*VLOOKUP('Données projet'!$B$12,Paramètres!$A$1:$I$89,3,0)*VLOOKUP('Données projet'!$B$12,Paramètres!$A$1:$I$89,5,0)</f>
        <v>56.204792526315799</v>
      </c>
      <c r="CA16" s="13">
        <f t="shared" si="39"/>
        <v>16.205103010677917</v>
      </c>
      <c r="CB16" s="20">
        <f t="shared" si="10"/>
        <v>126.1139013935974</v>
      </c>
      <c r="CC16" s="59">
        <f t="shared" si="11"/>
        <v>398.66945694915296</v>
      </c>
      <c r="CD16" s="59">
        <f ca="1">AVERAGE(OFFSET($CC$3,0,0,'Données projet'!$E$12+1,1))-AVERAGE(OFFSET($H$3,0,0,'Données projet'!$E$12+1,1))</f>
        <v>502.65044103360322</v>
      </c>
      <c r="CE16" s="59">
        <f t="shared" si="40"/>
        <v>321.65762891855167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3.7179487179487181</v>
      </c>
      <c r="N17" s="13">
        <f>IF('Données projet'!$A$36&gt;35,N16+M17-V16,IF(A17&lt;'Données projet'!$A$36,$K$205^A17,IF(A17='Données projet'!$A$36,'Données projet'!$B$36,N16+M17-V16)))</f>
        <v>26.410256410256412</v>
      </c>
      <c r="O17" s="13">
        <f>N17*VLOOKUP('Données projet'!$B$9,Paramètres!$A$1:$I$89,3,0)*VLOOKUP('Données projet'!$B$9,Paramètres!$A$1:$I$89,5,0)</f>
        <v>27.604000000000006</v>
      </c>
      <c r="P17" s="13">
        <f t="shared" si="33"/>
        <v>8.6455960616159544</v>
      </c>
      <c r="Q17" s="20">
        <f t="shared" si="2"/>
        <v>63.134713140647797</v>
      </c>
      <c r="R17" s="59">
        <f t="shared" si="0"/>
        <v>336.91249091842559</v>
      </c>
      <c r="S17" s="59">
        <f ca="1">AVERAGE(OFFSET($R$3,0,0,'Données projet'!$E$9+1,1))-AVERAGE(OFFSET($H$3,0,0,'Données projet'!$E$9+1,1))</f>
        <v>239.26156489359892</v>
      </c>
      <c r="T17" s="59">
        <f t="shared" si="34"/>
        <v>213.97034450798111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4.5856818181818184</v>
      </c>
      <c r="AI17" s="13">
        <f>IF('Données projet'!$A$62&gt;35,AI16+AH17-AQ16,IF(A17&lt;'Données projet'!$A$62,$AF$205^A17,IF(A17='Données projet'!$A$62,'Données projet'!$B$62,AI16+AH17-AQ16)))</f>
        <v>64.199545454545458</v>
      </c>
      <c r="AJ17" s="13">
        <f>AI17*VLOOKUP('Données projet'!$B$10,Paramètres!$A$1:$I$89,3,0)*VLOOKUP('Données projet'!$B$10,Paramètres!$A$1:$I$89,5,0)</f>
        <v>65.098339090909107</v>
      </c>
      <c r="AK17" s="13">
        <f t="shared" si="35"/>
        <v>18.451107355208748</v>
      </c>
      <c r="AL17" s="20">
        <f t="shared" si="4"/>
        <v>145.51528589365526</v>
      </c>
      <c r="AM17" s="59">
        <f t="shared" si="5"/>
        <v>419.29306367143306</v>
      </c>
      <c r="AN17" s="59">
        <f ca="1">AVERAGE(OFFSET($AM$3,0,0,'Données projet'!$E$10+1,1))-AVERAGE(OFFSET($H$3,0,0,'Données projet'!$E$10+1,1))</f>
        <v>543.88440431478944</v>
      </c>
      <c r="AO17" s="59">
        <f t="shared" si="36"/>
        <v>342.63929463709457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3.3603333333333336</v>
      </c>
      <c r="BD17" s="12">
        <f>IF('Données projet'!$A$88&gt;35,BD16+BC17-BL16,IF(A17&lt;'Données projet'!$A$88,$BA$205^A17,IF(A17='Données projet'!$A$88,'Données projet'!$B$88,BD16+BC17-BL16)))</f>
        <v>47.044666666666686</v>
      </c>
      <c r="BE17" s="13">
        <f>BD17*VLOOKUP('Données projet'!$B$11,Paramètres!$A$1:$I$89,3,0)*VLOOKUP('Données projet'!$B$11,Paramètres!$A$1:$I$89,5,0)</f>
        <v>53.574466400000027</v>
      </c>
      <c r="BF17" s="13">
        <f t="shared" si="37"/>
        <v>15.533138864945339</v>
      </c>
      <c r="BG17" s="20">
        <f t="shared" si="7"/>
        <v>120.36241250311315</v>
      </c>
      <c r="BH17" s="59">
        <f t="shared" si="8"/>
        <v>394.14019028089092</v>
      </c>
      <c r="BI17" s="59">
        <f ca="1">AVERAGE(OFFSET($BH$3,0,0,'Données projet'!$E$11+1,1))-AVERAGE(OFFSET($H$3,0,0,'Données projet'!$E$11+1,1))</f>
        <v>593.28343396240075</v>
      </c>
      <c r="BJ17" s="59">
        <f t="shared" si="38"/>
        <v>289.66477662068695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4.016578947368421</v>
      </c>
      <c r="BY17" s="12">
        <f>IF('Données projet'!$A$114&gt;35,BY16+BX17-CG16,IF(A17&lt;'Données projet'!$A$114,$BV$205^A17,IF(A17='Données projet'!$A$114,'Données projet'!$B$114,BY16+BX17-CG16)))</f>
        <v>56.232105263157912</v>
      </c>
      <c r="BZ17" s="13">
        <f>BY17*VLOOKUP('Données projet'!$B$12,Paramètres!$A$1:$I$89,3,0)*VLOOKUP('Données projet'!$B$12,Paramètres!$A$1:$I$89,5,0)</f>
        <v>60.528238105263171</v>
      </c>
      <c r="CA17" s="13">
        <f t="shared" si="39"/>
        <v>17.301755969676424</v>
      </c>
      <c r="CB17" s="20">
        <f t="shared" si="10"/>
        <v>135.55390634718643</v>
      </c>
      <c r="CC17" s="59">
        <f t="shared" si="11"/>
        <v>409.33168412496423</v>
      </c>
      <c r="CD17" s="59">
        <f ca="1">AVERAGE(OFFSET($CC$3,0,0,'Données projet'!$E$12+1,1))-AVERAGE(OFFSET($H$3,0,0,'Données projet'!$E$12+1,1))</f>
        <v>502.65044103360322</v>
      </c>
      <c r="CE17" s="59">
        <f t="shared" si="40"/>
        <v>321.65762891855167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30.128205128205128</v>
      </c>
      <c r="L18" s="12">
        <f>VLOOKUP(A18,'Données projet'!$A$35:$I$55,9,0)</f>
        <v>3.7179487179487181</v>
      </c>
      <c r="M18" s="12">
        <f t="array" ref="M18">INDEX(L:L,MIN(IF(ISNUMBER(L18:L214),ROW(L18:L214),"")))</f>
        <v>3.7179487179487181</v>
      </c>
      <c r="N18" s="13">
        <f>IF('Données projet'!$A$36&gt;35,N17+M18-V17,IF(A18&lt;'Données projet'!$A$36,$K$205^A18,IF(A18='Données projet'!$A$36,'Données projet'!$B$36,N17+M18-V17)))</f>
        <v>30.128205128205131</v>
      </c>
      <c r="O18" s="13">
        <f>N18*VLOOKUP('Données projet'!$B$9,Paramètres!$A$1:$I$89,3,0)*VLOOKUP('Données projet'!$B$9,Paramètres!$A$1:$I$89,5,0)</f>
        <v>31.490000000000006</v>
      </c>
      <c r="P18" s="13">
        <f t="shared" si="33"/>
        <v>9.7126430402655597</v>
      </c>
      <c r="Q18" s="20">
        <f t="shared" si="2"/>
        <v>71.761269961795847</v>
      </c>
      <c r="R18" s="59">
        <f t="shared" si="0"/>
        <v>346.76126996179585</v>
      </c>
      <c r="S18" s="59">
        <f ca="1">AVERAGE(OFFSET($R$3,0,0,'Données projet'!$E$9+1,1))-AVERAGE(OFFSET($H$3,0,0,'Données projet'!$E$9+1,1))</f>
        <v>239.26156489359892</v>
      </c>
      <c r="T18" s="59">
        <f t="shared" si="34"/>
        <v>213.97034450798111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0.215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4.5856818181818184</v>
      </c>
      <c r="AI18" s="13">
        <f>IF('Données projet'!$A$62&gt;35,AI17+AH18-AQ17,IF(A18&lt;'Données projet'!$A$62,$AF$205^A18,IF(A18='Données projet'!$A$62,'Données projet'!$B$62,AI17+AH18-AQ17)))</f>
        <v>68.785227272727269</v>
      </c>
      <c r="AJ18" s="13">
        <f>AI18*VLOOKUP('Données projet'!$B$10,Paramètres!$A$1:$I$89,3,0)*VLOOKUP('Données projet'!$B$10,Paramètres!$A$1:$I$89,5,0)</f>
        <v>69.748220454545461</v>
      </c>
      <c r="AK18" s="13">
        <f t="shared" si="35"/>
        <v>19.610918729931644</v>
      </c>
      <c r="AL18" s="20">
        <f t="shared" si="4"/>
        <v>155.63383407963096</v>
      </c>
      <c r="AM18" s="59">
        <f t="shared" si="5"/>
        <v>430.63383407963096</v>
      </c>
      <c r="AN18" s="59">
        <f ca="1">AVERAGE(OFFSET($AM$3,0,0,'Données projet'!$E$10+1,1))-AVERAGE(OFFSET($H$3,0,0,'Données projet'!$E$10+1,1))</f>
        <v>543.88440431478944</v>
      </c>
      <c r="AO18" s="59">
        <f t="shared" si="36"/>
        <v>342.63929463709457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3.3603333333333336</v>
      </c>
      <c r="BD18" s="12">
        <f>IF('Données projet'!$A$88&gt;35,BD17+BC18-BL17,IF(A18&lt;'Données projet'!$A$88,$BA$205^A18,IF(A18='Données projet'!$A$88,'Données projet'!$B$88,BD17+BC18-BL17)))</f>
        <v>50.405000000000022</v>
      </c>
      <c r="BE18" s="13">
        <f>BD18*VLOOKUP('Données projet'!$B$11,Paramètres!$A$1:$I$89,3,0)*VLOOKUP('Données projet'!$B$11,Paramètres!$A$1:$I$89,5,0)</f>
        <v>57.401214000000024</v>
      </c>
      <c r="BF18" s="13">
        <f t="shared" si="37"/>
        <v>16.509530730966755</v>
      </c>
      <c r="BG18" s="20">
        <f t="shared" si="7"/>
        <v>128.7278804064338</v>
      </c>
      <c r="BH18" s="59">
        <f t="shared" si="8"/>
        <v>403.72788040643377</v>
      </c>
      <c r="BI18" s="59">
        <f ca="1">AVERAGE(OFFSET($BH$3,0,0,'Données projet'!$E$11+1,1))-AVERAGE(OFFSET($H$3,0,0,'Données projet'!$E$11+1,1))</f>
        <v>593.28343396240075</v>
      </c>
      <c r="BJ18" s="59">
        <f t="shared" si="38"/>
        <v>289.66477662068695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4.016578947368421</v>
      </c>
      <c r="BY18" s="12">
        <f>IF('Données projet'!$A$114&gt;35,BY17+BX18-CG17,IF(A18&lt;'Données projet'!$A$114,$BV$205^A18,IF(A18='Données projet'!$A$114,'Données projet'!$B$114,BY17+BX18-CG17)))</f>
        <v>60.248684210526335</v>
      </c>
      <c r="BZ18" s="13">
        <f>BY18*VLOOKUP('Données projet'!$B$12,Paramètres!$A$1:$I$89,3,0)*VLOOKUP('Données projet'!$B$12,Paramètres!$A$1:$I$89,5,0)</f>
        <v>64.851683684210556</v>
      </c>
      <c r="CA18" s="13">
        <f t="shared" si="39"/>
        <v>18.389320688150931</v>
      </c>
      <c r="CB18" s="20">
        <f t="shared" si="10"/>
        <v>144.97808261519626</v>
      </c>
      <c r="CC18" s="59">
        <f t="shared" si="11"/>
        <v>419.97808261519629</v>
      </c>
      <c r="CD18" s="59">
        <f ca="1">AVERAGE(OFFSET($CC$3,0,0,'Données projet'!$E$12+1,1))-AVERAGE(OFFSET($H$3,0,0,'Données projet'!$E$12+1,1))</f>
        <v>502.65044103360322</v>
      </c>
      <c r="CE18" s="59">
        <f t="shared" si="40"/>
        <v>321.65762891855167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5.128205128205126</v>
      </c>
      <c r="N19" s="13">
        <f>IF('Données projet'!$A$36&gt;35,N18+M19-V18,IF(A19&lt;'Données projet'!$A$36,$K$205^A19,IF(A19='Données projet'!$A$36,'Données projet'!$B$36,N18+M19-V18)))</f>
        <v>35.256410256410255</v>
      </c>
      <c r="O19" s="13">
        <f>N19*VLOOKUP('Données projet'!$B$9,Paramètres!$A$1:$I$89,3,0)*VLOOKUP('Données projet'!$B$9,Paramètres!$A$1:$I$89,5,0)</f>
        <v>36.85</v>
      </c>
      <c r="P19" s="13">
        <f t="shared" si="33"/>
        <v>11.159795413106259</v>
      </c>
      <c r="Q19" s="20">
        <f t="shared" si="2"/>
        <v>83.617060344493396</v>
      </c>
      <c r="R19" s="59">
        <f t="shared" si="0"/>
        <v>359.83928256671561</v>
      </c>
      <c r="S19" s="59">
        <f ca="1">AVERAGE(OFFSET($R$3,0,0,'Données projet'!$E$9+1,1))-AVERAGE(OFFSET($H$3,0,0,'Données projet'!$E$9+1,1))</f>
        <v>239.26156489359892</v>
      </c>
      <c r="T19" s="59">
        <f t="shared" si="34"/>
        <v>213.97034450798111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4.5856818181818184</v>
      </c>
      <c r="AI19" s="13">
        <f>IF('Données projet'!$A$62&gt;35,AI18+AH19-AQ18,IF(A19&lt;'Données projet'!$A$62,$AF$205^A19,IF(A19='Données projet'!$A$62,'Données projet'!$B$62,AI18+AH19-AQ18)))</f>
        <v>73.370909090909095</v>
      </c>
      <c r="AJ19" s="13">
        <f>AI19*VLOOKUP('Données projet'!$B$10,Paramètres!$A$1:$I$89,3,0)*VLOOKUP('Données projet'!$B$10,Paramètres!$A$1:$I$89,5,0)</f>
        <v>74.398101818181829</v>
      </c>
      <c r="AK19" s="13">
        <f t="shared" si="35"/>
        <v>20.76175778548329</v>
      </c>
      <c r="AL19" s="20">
        <f t="shared" si="4"/>
        <v>165.73675547638342</v>
      </c>
      <c r="AM19" s="59">
        <f t="shared" si="5"/>
        <v>441.95897769860562</v>
      </c>
      <c r="AN19" s="59">
        <f ca="1">AVERAGE(OFFSET($AM$3,0,0,'Données projet'!$E$10+1,1))-AVERAGE(OFFSET($H$3,0,0,'Données projet'!$E$10+1,1))</f>
        <v>543.88440431478944</v>
      </c>
      <c r="AO19" s="59">
        <f t="shared" si="36"/>
        <v>342.63929463709457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3.3603333333333336</v>
      </c>
      <c r="BD19" s="12">
        <f>IF('Données projet'!$A$88&gt;35,BD18+BC19-BL18,IF(A19&lt;'Données projet'!$A$88,$BA$205^A19,IF(A19='Données projet'!$A$88,'Données projet'!$B$88,BD18+BC19-BL18)))</f>
        <v>53.765333333333359</v>
      </c>
      <c r="BE19" s="13">
        <f>BD19*VLOOKUP('Données projet'!$B$11,Paramètres!$A$1:$I$89,3,0)*VLOOKUP('Données projet'!$B$11,Paramètres!$A$1:$I$89,5,0)</f>
        <v>61.227961600000029</v>
      </c>
      <c r="BF19" s="13">
        <f t="shared" si="37"/>
        <v>17.478369214042406</v>
      </c>
      <c r="BG19" s="20">
        <f t="shared" si="7"/>
        <v>137.08019283445722</v>
      </c>
      <c r="BH19" s="59">
        <f t="shared" si="8"/>
        <v>413.30241505667948</v>
      </c>
      <c r="BI19" s="59">
        <f ca="1">AVERAGE(OFFSET($BH$3,0,0,'Données projet'!$E$11+1,1))-AVERAGE(OFFSET($H$3,0,0,'Données projet'!$E$11+1,1))</f>
        <v>593.28343396240075</v>
      </c>
      <c r="BJ19" s="59">
        <f t="shared" si="38"/>
        <v>289.66477662068695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4.016578947368421</v>
      </c>
      <c r="BY19" s="12">
        <f>IF('Données projet'!$A$114&gt;35,BY18+BX19-CG18,IF(A19&lt;'Données projet'!$A$114,$BV$205^A19,IF(A19='Données projet'!$A$114,'Données projet'!$B$114,BY18+BX19-CG18)))</f>
        <v>64.265263157894751</v>
      </c>
      <c r="BZ19" s="13">
        <f>BY19*VLOOKUP('Données projet'!$B$12,Paramètres!$A$1:$I$89,3,0)*VLOOKUP('Données projet'!$B$12,Paramètres!$A$1:$I$89,5,0)</f>
        <v>69.175129263157913</v>
      </c>
      <c r="CA19" s="13">
        <f t="shared" si="39"/>
        <v>19.468471988731622</v>
      </c>
      <c r="CB19" s="20">
        <f t="shared" si="10"/>
        <v>154.3876055137076</v>
      </c>
      <c r="CC19" s="59">
        <f t="shared" si="11"/>
        <v>430.6098277359298</v>
      </c>
      <c r="CD19" s="59">
        <f ca="1">AVERAGE(OFFSET($CC$3,0,0,'Données projet'!$E$12+1,1))-AVERAGE(OFFSET($H$3,0,0,'Données projet'!$E$12+1,1))</f>
        <v>502.65044103360322</v>
      </c>
      <c r="CE19" s="59">
        <f t="shared" si="40"/>
        <v>321.65762891855167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5.128205128205126</v>
      </c>
      <c r="N20" s="13">
        <f>IF('Données projet'!$A$36&gt;35,N19+M20-V19,IF(A20&lt;'Données projet'!$A$36,$K$205^A20,IF(A20='Données projet'!$A$36,'Données projet'!$B$36,N19+M20-V19)))</f>
        <v>40.38461538461538</v>
      </c>
      <c r="O20" s="13">
        <f>N20*VLOOKUP('Données projet'!$B$9,Paramètres!$A$1:$I$89,3,0)*VLOOKUP('Données projet'!$B$9,Paramètres!$A$1:$I$89,5,0)</f>
        <v>42.21</v>
      </c>
      <c r="P20" s="13">
        <f t="shared" si="33"/>
        <v>12.582561739030865</v>
      </c>
      <c r="Q20" s="20">
        <f t="shared" si="2"/>
        <v>95.430378362145419</v>
      </c>
      <c r="R20" s="59">
        <f t="shared" si="0"/>
        <v>372.87482280658986</v>
      </c>
      <c r="S20" s="59">
        <f ca="1">AVERAGE(OFFSET($R$3,0,0,'Données projet'!$E$9+1,1))-AVERAGE(OFFSET($H$3,0,0,'Données projet'!$E$9+1,1))</f>
        <v>239.26156489359892</v>
      </c>
      <c r="T20" s="59">
        <f t="shared" si="34"/>
        <v>213.97034450798111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4.5856818181818184</v>
      </c>
      <c r="AI20" s="13">
        <f>IF('Données projet'!$A$62&gt;35,AI19+AH20-AQ19,IF(A20&lt;'Données projet'!$A$62,$AF$205^A20,IF(A20='Données projet'!$A$62,'Données projet'!$B$62,AI19+AH20-AQ19)))</f>
        <v>77.95659090909092</v>
      </c>
      <c r="AJ20" s="13">
        <f>AI20*VLOOKUP('Données projet'!$B$10,Paramètres!$A$1:$I$89,3,0)*VLOOKUP('Données projet'!$B$10,Paramètres!$A$1:$I$89,5,0)</f>
        <v>79.047983181818196</v>
      </c>
      <c r="AK20" s="13">
        <f t="shared" si="35"/>
        <v>21.904249132078334</v>
      </c>
      <c r="AL20" s="20">
        <f t="shared" si="4"/>
        <v>175.82513794670311</v>
      </c>
      <c r="AM20" s="59">
        <f t="shared" si="5"/>
        <v>453.26958239114754</v>
      </c>
      <c r="AN20" s="59">
        <f ca="1">AVERAGE(OFFSET($AM$3,0,0,'Données projet'!$E$10+1,1))-AVERAGE(OFFSET($H$3,0,0,'Données projet'!$E$10+1,1))</f>
        <v>543.88440431478944</v>
      </c>
      <c r="AO20" s="59">
        <f t="shared" si="36"/>
        <v>342.63929463709457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3.3603333333333336</v>
      </c>
      <c r="BD20" s="12">
        <f>IF('Données projet'!$A$88&gt;35,BD19+BC20-BL19,IF(A20&lt;'Données projet'!$A$88,$BA$205^A20,IF(A20='Données projet'!$A$88,'Données projet'!$B$88,BD19+BC20-BL19)))</f>
        <v>57.125666666666696</v>
      </c>
      <c r="BE20" s="13">
        <f>BD20*VLOOKUP('Données projet'!$B$11,Paramètres!$A$1:$I$89,3,0)*VLOOKUP('Données projet'!$B$11,Paramètres!$A$1:$I$89,5,0)</f>
        <v>65.054709200000033</v>
      </c>
      <c r="BF20" s="13">
        <f t="shared" si="37"/>
        <v>18.440180144791182</v>
      </c>
      <c r="BG20" s="20">
        <f t="shared" si="7"/>
        <v>145.42026560884469</v>
      </c>
      <c r="BH20" s="59">
        <f t="shared" si="8"/>
        <v>422.86471005328917</v>
      </c>
      <c r="BI20" s="59">
        <f ca="1">AVERAGE(OFFSET($BH$3,0,0,'Données projet'!$E$11+1,1))-AVERAGE(OFFSET($H$3,0,0,'Données projet'!$E$11+1,1))</f>
        <v>593.28343396240075</v>
      </c>
      <c r="BJ20" s="59">
        <f t="shared" si="38"/>
        <v>289.66477662068695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4.016578947368421</v>
      </c>
      <c r="BY20" s="12">
        <f>IF('Données projet'!$A$114&gt;35,BY19+BX20-CG19,IF(A20&lt;'Données projet'!$A$114,$BV$205^A20,IF(A20='Données projet'!$A$114,'Données projet'!$B$114,BY19+BX20-CG19)))</f>
        <v>68.281842105263166</v>
      </c>
      <c r="BZ20" s="13">
        <f>BY20*VLOOKUP('Données projet'!$B$12,Paramètres!$A$1:$I$89,3,0)*VLOOKUP('Données projet'!$B$12,Paramètres!$A$1:$I$89,5,0)</f>
        <v>73.49857484210527</v>
      </c>
      <c r="CA20" s="13">
        <f t="shared" si="39"/>
        <v>20.53979557358269</v>
      </c>
      <c r="CB20" s="20">
        <f t="shared" si="10"/>
        <v>163.78349514065653</v>
      </c>
      <c r="CC20" s="59">
        <f t="shared" si="11"/>
        <v>441.22793958510101</v>
      </c>
      <c r="CD20" s="59">
        <f ca="1">AVERAGE(OFFSET($CC$3,0,0,'Données projet'!$E$12+1,1))-AVERAGE(OFFSET($H$3,0,0,'Données projet'!$E$12+1,1))</f>
        <v>502.65044103360322</v>
      </c>
      <c r="CE20" s="59">
        <f t="shared" si="40"/>
        <v>321.65762891855167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5.128205128205126</v>
      </c>
      <c r="N21" s="13">
        <f>IF('Données projet'!$A$36&gt;35,N20+M21-V20,IF(A21&lt;'Données projet'!$A$36,$K$205^A21,IF(A21='Données projet'!$A$36,'Données projet'!$B$36,N20+M21-V20)))</f>
        <v>45.512820512820504</v>
      </c>
      <c r="O21" s="13">
        <f>N21*VLOOKUP('Données projet'!$B$9,Paramètres!$A$1:$I$89,3,0)*VLOOKUP('Données projet'!$B$9,Paramètres!$A$1:$I$89,5,0)</f>
        <v>47.57</v>
      </c>
      <c r="P21" s="13">
        <f t="shared" si="33"/>
        <v>13.984393551590529</v>
      </c>
      <c r="Q21" s="20">
        <f t="shared" si="2"/>
        <v>107.20723543568683</v>
      </c>
      <c r="R21" s="59">
        <f t="shared" si="0"/>
        <v>385.8739021023535</v>
      </c>
      <c r="S21" s="59">
        <f ca="1">AVERAGE(OFFSET($R$3,0,0,'Données projet'!$E$9+1,1))-AVERAGE(OFFSET($H$3,0,0,'Données projet'!$E$9+1,1))</f>
        <v>239.26156489359892</v>
      </c>
      <c r="T21" s="59">
        <f t="shared" si="34"/>
        <v>213.97034450798111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4.5856818181818184</v>
      </c>
      <c r="AI21" s="13">
        <f>IF('Données projet'!$A$62&gt;35,AI20+AH21-AQ20,IF(A21&lt;'Données projet'!$A$62,$AF$205^A21,IF(A21='Données projet'!$A$62,'Données projet'!$B$62,AI20+AH21-AQ20)))</f>
        <v>82.542272727272746</v>
      </c>
      <c r="AJ21" s="13">
        <f>AI21*VLOOKUP('Données projet'!$B$10,Paramètres!$A$1:$I$89,3,0)*VLOOKUP('Données projet'!$B$10,Paramètres!$A$1:$I$89,5,0)</f>
        <v>83.697864545454578</v>
      </c>
      <c r="AK21" s="13">
        <f t="shared" si="35"/>
        <v>23.038939745237123</v>
      </c>
      <c r="AL21" s="20">
        <f t="shared" si="4"/>
        <v>185.89993413962137</v>
      </c>
      <c r="AM21" s="59">
        <f t="shared" si="5"/>
        <v>464.56660080628808</v>
      </c>
      <c r="AN21" s="59">
        <f ca="1">AVERAGE(OFFSET($AM$3,0,0,'Données projet'!$E$10+1,1))-AVERAGE(OFFSET($H$3,0,0,'Données projet'!$E$10+1,1))</f>
        <v>543.88440431478944</v>
      </c>
      <c r="AO21" s="59">
        <f t="shared" si="36"/>
        <v>342.63929463709457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3.3603333333333336</v>
      </c>
      <c r="BD21" s="12">
        <f>IF('Données projet'!$A$88&gt;35,BD20+BC21-BL20,IF(A21&lt;'Données projet'!$A$88,$BA$205^A21,IF(A21='Données projet'!$A$88,'Données projet'!$B$88,BD20+BC21-BL20)))</f>
        <v>60.486000000000033</v>
      </c>
      <c r="BE21" s="13">
        <f>BD21*VLOOKUP('Données projet'!$B$11,Paramètres!$A$1:$I$89,3,0)*VLOOKUP('Données projet'!$B$11,Paramètres!$A$1:$I$89,5,0)</f>
        <v>68.881456800000038</v>
      </c>
      <c r="BF21" s="13">
        <f t="shared" si="37"/>
        <v>19.395423996752726</v>
      </c>
      <c r="BG21" s="20">
        <f t="shared" si="7"/>
        <v>153.74890072101104</v>
      </c>
      <c r="BH21" s="59">
        <f t="shared" si="8"/>
        <v>432.4155673876777</v>
      </c>
      <c r="BI21" s="59">
        <f ca="1">AVERAGE(OFFSET($BH$3,0,0,'Données projet'!$E$11+1,1))-AVERAGE(OFFSET($H$3,0,0,'Données projet'!$E$11+1,1))</f>
        <v>593.28343396240075</v>
      </c>
      <c r="BJ21" s="59">
        <f t="shared" si="38"/>
        <v>289.66477662068695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4.016578947368421</v>
      </c>
      <c r="BY21" s="12">
        <f>IF('Données projet'!$A$114&gt;35,BY20+BX21-CG20,IF(A21&lt;'Données projet'!$A$114,$BV$205^A21,IF(A21='Données projet'!$A$114,'Données projet'!$B$114,BY20+BX21-CG20)))</f>
        <v>72.298421052631582</v>
      </c>
      <c r="BZ21" s="13">
        <f>BY21*VLOOKUP('Données projet'!$B$12,Paramètres!$A$1:$I$89,3,0)*VLOOKUP('Données projet'!$B$12,Paramètres!$A$1:$I$89,5,0)</f>
        <v>77.822020421052642</v>
      </c>
      <c r="CA21" s="13">
        <f t="shared" si="39"/>
        <v>21.603804346173444</v>
      </c>
      <c r="CB21" s="20">
        <f t="shared" si="10"/>
        <v>173.16664480291877</v>
      </c>
      <c r="CC21" s="59">
        <f t="shared" si="11"/>
        <v>451.83331146958545</v>
      </c>
      <c r="CD21" s="59">
        <f ca="1">AVERAGE(OFFSET($CC$3,0,0,'Données projet'!$E$12+1,1))-AVERAGE(OFFSET($H$3,0,0,'Données projet'!$E$12+1,1))</f>
        <v>502.65044103360322</v>
      </c>
      <c r="CE21" s="59">
        <f t="shared" si="40"/>
        <v>321.65762891855167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5.128205128205126</v>
      </c>
      <c r="N22" s="13">
        <f>IF('Données projet'!$A$36&gt;35,N21+M22-V21,IF(A22&lt;'Données projet'!$A$36,$K$205^A22,IF(A22='Données projet'!$A$36,'Données projet'!$B$36,N21+M22-V21)))</f>
        <v>50.641025641025628</v>
      </c>
      <c r="O22" s="13">
        <f>N22*VLOOKUP('Données projet'!$B$9,Paramètres!$A$1:$I$89,3,0)*VLOOKUP('Données projet'!$B$9,Paramètres!$A$1:$I$89,5,0)</f>
        <v>52.929999999999993</v>
      </c>
      <c r="P22" s="13">
        <f t="shared" si="33"/>
        <v>15.3679188437793</v>
      </c>
      <c r="Q22" s="20">
        <f t="shared" si="2"/>
        <v>118.9522086529156</v>
      </c>
      <c r="R22" s="59">
        <f t="shared" si="0"/>
        <v>398.84109754180446</v>
      </c>
      <c r="S22" s="59">
        <f ca="1">AVERAGE(OFFSET($R$3,0,0,'Données projet'!$E$9+1,1))-AVERAGE(OFFSET($H$3,0,0,'Données projet'!$E$9+1,1))</f>
        <v>239.26156489359892</v>
      </c>
      <c r="T22" s="59">
        <f t="shared" si="34"/>
        <v>213.97034450798111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4.5856818181818184</v>
      </c>
      <c r="AI22" s="13">
        <f>IF('Données projet'!$A$62&gt;35,AI21+AH22-AQ21,IF(A22&lt;'Données projet'!$A$62,$AF$205^A22,IF(A22='Données projet'!$A$62,'Données projet'!$B$62,AI21+AH22-AQ21)))</f>
        <v>87.127954545454571</v>
      </c>
      <c r="AJ22" s="13">
        <f>AI22*VLOOKUP('Données projet'!$B$10,Paramètres!$A$1:$I$89,3,0)*VLOOKUP('Données projet'!$B$10,Paramètres!$A$1:$I$89,5,0)</f>
        <v>88.347745909090932</v>
      </c>
      <c r="AK22" s="13">
        <f t="shared" si="35"/>
        <v>24.166312392911021</v>
      </c>
      <c r="AL22" s="20">
        <f t="shared" si="4"/>
        <v>195.9619848759867</v>
      </c>
      <c r="AM22" s="59">
        <f t="shared" si="5"/>
        <v>475.85087376487559</v>
      </c>
      <c r="AN22" s="59">
        <f ca="1">AVERAGE(OFFSET($AM$3,0,0,'Données projet'!$E$10+1,1))-AVERAGE(OFFSET($H$3,0,0,'Données projet'!$E$10+1,1))</f>
        <v>543.88440431478944</v>
      </c>
      <c r="AO22" s="59">
        <f t="shared" si="36"/>
        <v>342.63929463709457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3.3603333333333336</v>
      </c>
      <c r="BD22" s="12">
        <f>IF('Données projet'!$A$88&gt;35,BD21+BC22-BL21,IF(A22&lt;'Données projet'!$A$88,$BA$205^A22,IF(A22='Données projet'!$A$88,'Données projet'!$B$88,BD21+BC22-BL21)))</f>
        <v>63.846333333333369</v>
      </c>
      <c r="BE22" s="13">
        <f>BD22*VLOOKUP('Données projet'!$B$11,Paramètres!$A$1:$I$89,3,0)*VLOOKUP('Données projet'!$B$11,Paramètres!$A$1:$I$89,5,0)</f>
        <v>72.708204400000042</v>
      </c>
      <c r="BF22" s="13">
        <f t="shared" si="37"/>
        <v>20.344507190066661</v>
      </c>
      <c r="BG22" s="20">
        <f t="shared" si="7"/>
        <v>162.06680601936617</v>
      </c>
      <c r="BH22" s="59">
        <f t="shared" si="8"/>
        <v>441.95569490825505</v>
      </c>
      <c r="BI22" s="59">
        <f ca="1">AVERAGE(OFFSET($BH$3,0,0,'Données projet'!$E$11+1,1))-AVERAGE(OFFSET($H$3,0,0,'Données projet'!$E$11+1,1))</f>
        <v>593.28343396240075</v>
      </c>
      <c r="BJ22" s="59">
        <f t="shared" si="38"/>
        <v>289.66477662068695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4.016578947368421</v>
      </c>
      <c r="BY22" s="12">
        <f>IF('Données projet'!$A$114&gt;35,BY21+BX22-CG21,IF(A22&lt;'Données projet'!$A$114,$BV$205^A22,IF(A22='Données projet'!$A$114,'Données projet'!$B$114,BY21+BX22-CG21)))</f>
        <v>76.314999999999998</v>
      </c>
      <c r="BZ22" s="13">
        <f>BY22*VLOOKUP('Données projet'!$B$12,Paramètres!$A$1:$I$89,3,0)*VLOOKUP('Données projet'!$B$12,Paramètres!$A$1:$I$89,5,0)</f>
        <v>82.145465999999999</v>
      </c>
      <c r="CA22" s="13">
        <f t="shared" si="39"/>
        <v>22.660951002004662</v>
      </c>
      <c r="CB22" s="20">
        <f t="shared" si="10"/>
        <v>182.53784294515813</v>
      </c>
      <c r="CC22" s="59">
        <f t="shared" si="11"/>
        <v>462.42673183404702</v>
      </c>
      <c r="CD22" s="59">
        <f ca="1">AVERAGE(OFFSET($CC$3,0,0,'Données projet'!$E$12+1,1))-AVERAGE(OFFSET($H$3,0,0,'Données projet'!$E$12+1,1))</f>
        <v>502.65044103360322</v>
      </c>
      <c r="CE22" s="59">
        <f t="shared" si="40"/>
        <v>321.65762891855167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55.769230769230759</v>
      </c>
      <c r="L23" s="12">
        <f>VLOOKUP(A23,'Données projet'!$A$35:$I$55,9,0)</f>
        <v>5.128205128205126</v>
      </c>
      <c r="M23" s="12">
        <f t="array" ref="M23">INDEX(L:L,MIN(IF(ISNUMBER(L23:L219),ROW(L23:L219),"")))</f>
        <v>5.128205128205126</v>
      </c>
      <c r="N23" s="13">
        <f>IF('Données projet'!$A$36&gt;35,N22+M23-V22,IF(A23&lt;'Données projet'!$A$36,$K$205^A23,IF(A23='Données projet'!$A$36,'Données projet'!$B$36,N22+M23-V22)))</f>
        <v>55.769230769230752</v>
      </c>
      <c r="O23" s="13">
        <f>N23*VLOOKUP('Données projet'!$B$9,Paramètres!$A$1:$I$89,3,0)*VLOOKUP('Données projet'!$B$9,Paramètres!$A$1:$I$89,5,0)</f>
        <v>58.289999999999985</v>
      </c>
      <c r="P23" s="13">
        <f t="shared" si="33"/>
        <v>16.735202513714196</v>
      </c>
      <c r="Q23" s="20">
        <f t="shared" si="2"/>
        <v>130.66889437805216</v>
      </c>
      <c r="R23" s="59">
        <f t="shared" si="0"/>
        <v>411.78000548916327</v>
      </c>
      <c r="S23" s="59">
        <f ca="1">AVERAGE(OFFSET($R$3,0,0,'Données projet'!$E$9+1,1))-AVERAGE(OFFSET($H$3,0,0,'Données projet'!$E$9+1,1))</f>
        <v>239.26156489359892</v>
      </c>
      <c r="T23" s="59">
        <f t="shared" si="34"/>
        <v>213.97034450798111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18.589743589743588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0.215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4.5998642253939837</v>
      </c>
      <c r="AB23" s="21">
        <f>EXP(-LN(2)/2)*AB22+(1-EXP(-LN(2)/2))/(LN(2)/2)*V23*Y23*VLOOKUP('Données projet'!$B$9,Paramètres!$A$1:$I$89,3,0)*0.475*44/12</f>
        <v>0</v>
      </c>
      <c r="AC23" s="22">
        <f t="shared" si="3"/>
        <v>4.5998642253939837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4.5856818181818184</v>
      </c>
      <c r="AI23" s="13">
        <f>IF('Données projet'!$A$62&gt;35,AI22+AH23-AQ22,IF(A23&lt;'Données projet'!$A$62,$AF$205^A23,IF(A23='Données projet'!$A$62,'Données projet'!$B$62,AI22+AH23-AQ22)))</f>
        <v>91.713636363636397</v>
      </c>
      <c r="AJ23" s="13">
        <f>AI23*VLOOKUP('Données projet'!$B$10,Paramètres!$A$1:$I$89,3,0)*VLOOKUP('Données projet'!$B$10,Paramètres!$A$1:$I$89,5,0)</f>
        <v>92.997627272727314</v>
      </c>
      <c r="AK23" s="13">
        <f t="shared" si="35"/>
        <v>25.286796155203145</v>
      </c>
      <c r="AL23" s="20">
        <f t="shared" si="4"/>
        <v>206.01203747031221</v>
      </c>
      <c r="AM23" s="59">
        <f t="shared" si="5"/>
        <v>487.12314858142338</v>
      </c>
      <c r="AN23" s="59">
        <f ca="1">AVERAGE(OFFSET($AM$3,0,0,'Données projet'!$E$10+1,1))-AVERAGE(OFFSET($H$3,0,0,'Données projet'!$E$10+1,1))</f>
        <v>543.88440431478944</v>
      </c>
      <c r="AO23" s="59">
        <f t="shared" si="36"/>
        <v>342.63929463709457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3.3603333333333336</v>
      </c>
      <c r="BD23" s="12">
        <f>IF('Données projet'!$A$88&gt;35,BD22+BC23-BL22,IF(A23&lt;'Données projet'!$A$88,$BA$205^A23,IF(A23='Données projet'!$A$88,'Données projet'!$B$88,BD22+BC23-BL22)))</f>
        <v>67.206666666666706</v>
      </c>
      <c r="BE23" s="13">
        <f>BD23*VLOOKUP('Données projet'!$B$11,Paramètres!$A$1:$I$89,3,0)*VLOOKUP('Données projet'!$B$11,Paramètres!$A$1:$I$89,5,0)</f>
        <v>76.534952000000047</v>
      </c>
      <c r="BF23" s="13">
        <f t="shared" si="37"/>
        <v>21.287790947541872</v>
      </c>
      <c r="BG23" s="20">
        <f t="shared" si="7"/>
        <v>170.37461063363551</v>
      </c>
      <c r="BH23" s="59">
        <f t="shared" si="8"/>
        <v>451.48572174474668</v>
      </c>
      <c r="BI23" s="59">
        <f ca="1">AVERAGE(OFFSET($BH$3,0,0,'Données projet'!$E$11+1,1))-AVERAGE(OFFSET($H$3,0,0,'Données projet'!$E$11+1,1))</f>
        <v>593.28343396240075</v>
      </c>
      <c r="BJ23" s="59">
        <f t="shared" si="38"/>
        <v>289.66477662068695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4.016578947368421</v>
      </c>
      <c r="BY23" s="12">
        <f>IF('Données projet'!$A$114&gt;35,BY22+BX23-CG22,IF(A23&lt;'Données projet'!$A$114,$BV$205^A23,IF(A23='Données projet'!$A$114,'Données projet'!$B$114,BY22+BX23-CG22)))</f>
        <v>80.331578947368413</v>
      </c>
      <c r="BZ23" s="13">
        <f>BY23*VLOOKUP('Données projet'!$B$12,Paramètres!$A$1:$I$89,3,0)*VLOOKUP('Données projet'!$B$12,Paramètres!$A$1:$I$89,5,0)</f>
        <v>86.468911578947356</v>
      </c>
      <c r="CA23" s="13">
        <f t="shared" si="39"/>
        <v>23.711637893037807</v>
      </c>
      <c r="CB23" s="20">
        <f t="shared" si="10"/>
        <v>191.89779033037416</v>
      </c>
      <c r="CC23" s="59">
        <f t="shared" si="11"/>
        <v>473.00890144148531</v>
      </c>
      <c r="CD23" s="59">
        <f ca="1">AVERAGE(OFFSET($CC$3,0,0,'Données projet'!$E$12+1,1))-AVERAGE(OFFSET($H$3,0,0,'Données projet'!$E$12+1,1))</f>
        <v>502.65044103360322</v>
      </c>
      <c r="CE23" s="59">
        <f t="shared" si="40"/>
        <v>321.65762891855167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5.1282051282051295</v>
      </c>
      <c r="N24" s="13">
        <f>IF('Données projet'!$A$36&gt;35,N23+M24-V23,IF(A24&lt;'Données projet'!$A$36,$K$205^A24,IF(A24='Données projet'!$A$36,'Données projet'!$B$36,N23+M24-V23)))</f>
        <v>42.307692307692292</v>
      </c>
      <c r="O24" s="13">
        <f>N24*VLOOKUP('Données projet'!$B$9,Paramètres!$A$1:$I$89,3,0)*VLOOKUP('Données projet'!$B$9,Paramètres!$A$1:$I$89,5,0)</f>
        <v>44.219999999999985</v>
      </c>
      <c r="P24" s="13">
        <f t="shared" si="33"/>
        <v>13.110546100999768</v>
      </c>
      <c r="Q24" s="20">
        <f t="shared" si="2"/>
        <v>99.850701125907904</v>
      </c>
      <c r="R24" s="59">
        <f t="shared" si="0"/>
        <v>382.18403445924122</v>
      </c>
      <c r="S24" s="59">
        <f ca="1">AVERAGE(OFFSET($R$3,0,0,'Données projet'!$E$9+1,1))-AVERAGE(OFFSET($H$3,0,0,'Données projet'!$E$9+1,1))</f>
        <v>239.26156489359892</v>
      </c>
      <c r="T24" s="59">
        <f t="shared" si="34"/>
        <v>213.97034450798111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4.474080696254239</v>
      </c>
      <c r="AB24" s="21">
        <f>EXP(-LN(2)/2)*AB23+(1-EXP(-LN(2)/2))/(LN(2)/2)*V24*Y24*VLOOKUP('Données projet'!$B$9,Paramètres!$A$1:$I$89,3,0)*0.475*44/12</f>
        <v>0</v>
      </c>
      <c r="AC24" s="22">
        <f t="shared" si="3"/>
        <v>4.474080696254239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4.5856818181818184</v>
      </c>
      <c r="AI24" s="13">
        <f>IF('Données projet'!$A$62&gt;35,AI23+AH24-AQ23,IF(A24&lt;'Données projet'!$A$62,$AF$205^A24,IF(A24='Données projet'!$A$62,'Données projet'!$B$62,AI23+AH24-AQ23)))</f>
        <v>96.299318181818222</v>
      </c>
      <c r="AJ24" s="13">
        <f>AI24*VLOOKUP('Données projet'!$B$10,Paramètres!$A$1:$I$89,3,0)*VLOOKUP('Données projet'!$B$10,Paramètres!$A$1:$I$89,5,0)</f>
        <v>97.647508636363696</v>
      </c>
      <c r="AK24" s="13">
        <f t="shared" si="35"/>
        <v>26.400774780354503</v>
      </c>
      <c r="AL24" s="20">
        <f t="shared" si="4"/>
        <v>216.0507602841175</v>
      </c>
      <c r="AM24" s="59">
        <f t="shared" si="5"/>
        <v>498.38409361745084</v>
      </c>
      <c r="AN24" s="59">
        <f ca="1">AVERAGE(OFFSET($AM$3,0,0,'Données projet'!$E$10+1,1))-AVERAGE(OFFSET($H$3,0,0,'Données projet'!$E$10+1,1))</f>
        <v>543.88440431478944</v>
      </c>
      <c r="AO24" s="59">
        <f t="shared" si="36"/>
        <v>342.63929463709457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3.3603333333333336</v>
      </c>
      <c r="BD24" s="12">
        <f>IF('Données projet'!$A$88&gt;35,BD23+BC24-BL23,IF(A24&lt;'Données projet'!$A$88,$BA$205^A24,IF(A24='Données projet'!$A$88,'Données projet'!$B$88,BD23+BC24-BL23)))</f>
        <v>70.567000000000036</v>
      </c>
      <c r="BE24" s="13">
        <f>BD24*VLOOKUP('Données projet'!$B$11,Paramètres!$A$1:$I$89,3,0)*VLOOKUP('Données projet'!$B$11,Paramètres!$A$1:$I$89,5,0)</f>
        <v>80.361699600000037</v>
      </c>
      <c r="BF24" s="13">
        <f t="shared" si="37"/>
        <v>22.225598329176997</v>
      </c>
      <c r="BG24" s="20">
        <f t="shared" si="7"/>
        <v>178.67287722665</v>
      </c>
      <c r="BH24" s="59">
        <f t="shared" si="8"/>
        <v>461.00621055998329</v>
      </c>
      <c r="BI24" s="59">
        <f ca="1">AVERAGE(OFFSET($BH$3,0,0,'Données projet'!$E$11+1,1))-AVERAGE(OFFSET($H$3,0,0,'Données projet'!$E$11+1,1))</f>
        <v>593.28343396240075</v>
      </c>
      <c r="BJ24" s="59">
        <f t="shared" si="38"/>
        <v>289.66477662068695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4.016578947368421</v>
      </c>
      <c r="BY24" s="12">
        <f>IF('Données projet'!$A$114&gt;35,BY23+BX24-CG23,IF(A24&lt;'Données projet'!$A$114,$BV$205^A24,IF(A24='Données projet'!$A$114,'Données projet'!$B$114,BY23+BX24-CG23)))</f>
        <v>84.348157894736829</v>
      </c>
      <c r="BZ24" s="13">
        <f>BY24*VLOOKUP('Données projet'!$B$12,Paramètres!$A$1:$I$89,3,0)*VLOOKUP('Données projet'!$B$12,Paramètres!$A$1:$I$89,5,0)</f>
        <v>90.792357157894727</v>
      </c>
      <c r="CA24" s="13">
        <f t="shared" si="39"/>
        <v>24.756224863172324</v>
      </c>
      <c r="CB24" s="20">
        <f t="shared" si="10"/>
        <v>201.24711368669179</v>
      </c>
      <c r="CC24" s="59">
        <f t="shared" si="11"/>
        <v>483.58044702002508</v>
      </c>
      <c r="CD24" s="59">
        <f ca="1">AVERAGE(OFFSET($CC$3,0,0,'Données projet'!$E$12+1,1))-AVERAGE(OFFSET($H$3,0,0,'Données projet'!$E$12+1,1))</f>
        <v>502.65044103360322</v>
      </c>
      <c r="CE24" s="59">
        <f t="shared" si="40"/>
        <v>321.65762891855167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5.1282051282051295</v>
      </c>
      <c r="N25" s="13">
        <f>IF('Données projet'!$A$36&gt;35,N24+M25-V24,IF(A25&lt;'Données projet'!$A$36,$K$205^A25,IF(A25='Données projet'!$A$36,'Données projet'!$B$36,N24+M25-V24)))</f>
        <v>47.435897435897424</v>
      </c>
      <c r="O25" s="13">
        <f>N25*VLOOKUP('Données projet'!$B$9,Paramètres!$A$1:$I$89,3,0)*VLOOKUP('Données projet'!$B$9,Paramètres!$A$1:$I$89,5,0)</f>
        <v>49.579999999999991</v>
      </c>
      <c r="P25" s="13">
        <f t="shared" si="33"/>
        <v>14.505239638165149</v>
      </c>
      <c r="Q25" s="20">
        <f t="shared" si="2"/>
        <v>111.61512570313761</v>
      </c>
      <c r="R25" s="59">
        <f t="shared" si="0"/>
        <v>395.17068125869315</v>
      </c>
      <c r="S25" s="59">
        <f ca="1">AVERAGE(OFFSET($R$3,0,0,'Données projet'!$E$9+1,1))-AVERAGE(OFFSET($H$3,0,0,'Données projet'!$E$9+1,1))</f>
        <v>239.26156489359892</v>
      </c>
      <c r="T25" s="59">
        <f t="shared" si="34"/>
        <v>213.97034450798111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4.351736724333489</v>
      </c>
      <c r="AB25" s="21">
        <f>EXP(-LN(2)/2)*AB24+(1-EXP(-LN(2)/2))/(LN(2)/2)*V25*Y25*VLOOKUP('Données projet'!$B$9,Paramètres!$A$1:$I$89,3,0)*0.475*44/12</f>
        <v>0</v>
      </c>
      <c r="AC25" s="22">
        <f t="shared" si="3"/>
        <v>4.351736724333489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4.5856818181818184</v>
      </c>
      <c r="AI25" s="13">
        <f>IF('Données projet'!$A$62&gt;35,AI24+AH25-AQ24,IF(A25&lt;'Données projet'!$A$62,$AF$205^A25,IF(A25='Données projet'!$A$62,'Données projet'!$B$62,AI24+AH25-AQ24)))</f>
        <v>100.88500000000005</v>
      </c>
      <c r="AJ25" s="13">
        <f>AI25*VLOOKUP('Données projet'!$B$10,Paramètres!$A$1:$I$89,3,0)*VLOOKUP('Données projet'!$B$10,Paramètres!$A$1:$I$89,5,0)</f>
        <v>102.29739000000006</v>
      </c>
      <c r="AK25" s="13">
        <f t="shared" si="35"/>
        <v>27.50859340401767</v>
      </c>
      <c r="AL25" s="20">
        <f t="shared" si="4"/>
        <v>226.07875442866418</v>
      </c>
      <c r="AM25" s="59">
        <f t="shared" si="5"/>
        <v>509.63430998421973</v>
      </c>
      <c r="AN25" s="59">
        <f ca="1">AVERAGE(OFFSET($AM$3,0,0,'Données projet'!$E$10+1,1))-AVERAGE(OFFSET($H$3,0,0,'Données projet'!$E$10+1,1))</f>
        <v>543.88440431478944</v>
      </c>
      <c r="AO25" s="59">
        <f t="shared" si="36"/>
        <v>342.63929463709457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3.3603333333333336</v>
      </c>
      <c r="BD25" s="12">
        <f>IF('Données projet'!$A$88&gt;35,BD24+BC25-BL24,IF(A25&lt;'Données projet'!$A$88,$BA$205^A25,IF(A25='Données projet'!$A$88,'Données projet'!$B$88,BD24+BC25-BL24)))</f>
        <v>73.927333333333365</v>
      </c>
      <c r="BE25" s="13">
        <f>BD25*VLOOKUP('Données projet'!$B$11,Paramètres!$A$1:$I$89,3,0)*VLOOKUP('Données projet'!$B$11,Paramètres!$A$1:$I$89,5,0)</f>
        <v>84.188447200000041</v>
      </c>
      <c r="BF25" s="13">
        <f t="shared" si="37"/>
        <v>23.158219888807942</v>
      </c>
      <c r="BG25" s="20">
        <f t="shared" si="7"/>
        <v>186.96211184634055</v>
      </c>
      <c r="BH25" s="59">
        <f t="shared" si="8"/>
        <v>470.51766740189612</v>
      </c>
      <c r="BI25" s="59">
        <f ca="1">AVERAGE(OFFSET($BH$3,0,0,'Données projet'!$E$11+1,1))-AVERAGE(OFFSET($H$3,0,0,'Données projet'!$E$11+1,1))</f>
        <v>593.28343396240075</v>
      </c>
      <c r="BJ25" s="59">
        <f t="shared" si="38"/>
        <v>289.66477662068695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4.016578947368421</v>
      </c>
      <c r="BY25" s="12">
        <f>IF('Données projet'!$A$114&gt;35,BY24+BX25-CG24,IF(A25&lt;'Données projet'!$A$114,$BV$205^A25,IF(A25='Données projet'!$A$114,'Données projet'!$B$114,BY24+BX25-CG24)))</f>
        <v>88.364736842105245</v>
      </c>
      <c r="BZ25" s="13">
        <f>BY25*VLOOKUP('Données projet'!$B$12,Paramètres!$A$1:$I$89,3,0)*VLOOKUP('Données projet'!$B$12,Paramètres!$A$1:$I$89,5,0)</f>
        <v>95.115802736842085</v>
      </c>
      <c r="CA25" s="13">
        <f t="shared" si="39"/>
        <v>25.795035548964155</v>
      </c>
      <c r="CB25" s="20">
        <f t="shared" si="10"/>
        <v>210.58637668111251</v>
      </c>
      <c r="CC25" s="59">
        <f t="shared" si="11"/>
        <v>494.14193223666803</v>
      </c>
      <c r="CD25" s="59">
        <f ca="1">AVERAGE(OFFSET($CC$3,0,0,'Données projet'!$E$12+1,1))-AVERAGE(OFFSET($H$3,0,0,'Données projet'!$E$12+1,1))</f>
        <v>502.65044103360322</v>
      </c>
      <c r="CE25" s="59">
        <f t="shared" si="40"/>
        <v>321.65762891855167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5.1282051282051295</v>
      </c>
      <c r="N26" s="13">
        <f>IF('Données projet'!$A$36&gt;35,N25+M26-V25,IF(A26&lt;'Données projet'!$A$36,$K$205^A26,IF(A26='Données projet'!$A$36,'Données projet'!$B$36,N25+M26-V25)))</f>
        <v>52.564102564102555</v>
      </c>
      <c r="O26" s="13">
        <f>N26*VLOOKUP('Données projet'!$B$9,Paramètres!$A$1:$I$89,3,0)*VLOOKUP('Données projet'!$B$9,Paramètres!$A$1:$I$89,5,0)</f>
        <v>54.94</v>
      </c>
      <c r="P26" s="13">
        <f t="shared" si="33"/>
        <v>15.88245671832347</v>
      </c>
      <c r="Q26" s="20">
        <f t="shared" si="2"/>
        <v>123.3491121177467</v>
      </c>
      <c r="R26" s="59">
        <f t="shared" si="0"/>
        <v>408.12688989552447</v>
      </c>
      <c r="S26" s="59">
        <f ca="1">AVERAGE(OFFSET($R$3,0,0,'Données projet'!$E$9+1,1))-AVERAGE(OFFSET($H$3,0,0,'Données projet'!$E$9+1,1))</f>
        <v>239.26156489359892</v>
      </c>
      <c r="T26" s="59">
        <f t="shared" si="34"/>
        <v>213.97034450798111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4.2327382547587016</v>
      </c>
      <c r="AB26" s="21">
        <f>EXP(-LN(2)/2)*AB25+(1-EXP(-LN(2)/2))/(LN(2)/2)*V26*Y26*VLOOKUP('Données projet'!$B$9,Paramètres!$A$1:$I$89,3,0)*0.475*44/12</f>
        <v>0</v>
      </c>
      <c r="AC26" s="22">
        <f t="shared" si="3"/>
        <v>4.2327382547587016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4.5856818181818184</v>
      </c>
      <c r="AI26" s="13">
        <f>IF('Données projet'!$A$62&gt;35,AI25+AH26-AQ25,IF(A26&lt;'Données projet'!$A$62,$AF$205^A26,IF(A26='Données projet'!$A$62,'Données projet'!$B$62,AI25+AH26-AQ25)))</f>
        <v>105.47068181818187</v>
      </c>
      <c r="AJ26" s="13">
        <f>AI26*VLOOKUP('Données projet'!$B$10,Paramètres!$A$1:$I$89,3,0)*VLOOKUP('Données projet'!$B$10,Paramètres!$A$1:$I$89,5,0)</f>
        <v>106.94727136363643</v>
      </c>
      <c r="AK26" s="13">
        <f t="shared" si="35"/>
        <v>28.610564012310377</v>
      </c>
      <c r="AL26" s="20">
        <f t="shared" si="4"/>
        <v>236.09656327977396</v>
      </c>
      <c r="AM26" s="59">
        <f t="shared" si="5"/>
        <v>520.87434105755176</v>
      </c>
      <c r="AN26" s="59">
        <f ca="1">AVERAGE(OFFSET($AM$3,0,0,'Données projet'!$E$10+1,1))-AVERAGE(OFFSET($H$3,0,0,'Données projet'!$E$10+1,1))</f>
        <v>543.88440431478944</v>
      </c>
      <c r="AO26" s="59">
        <f t="shared" si="36"/>
        <v>342.63929463709457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3.3603333333333336</v>
      </c>
      <c r="BD26" s="12">
        <f>IF('Données projet'!$A$88&gt;35,BD25+BC26-BL25,IF(A26&lt;'Données projet'!$A$88,$BA$205^A26,IF(A26='Données projet'!$A$88,'Données projet'!$B$88,BD25+BC26-BL25)))</f>
        <v>77.287666666666695</v>
      </c>
      <c r="BE26" s="13">
        <f>BD26*VLOOKUP('Données projet'!$B$11,Paramètres!$A$1:$I$89,3,0)*VLOOKUP('Données projet'!$B$11,Paramètres!$A$1:$I$89,5,0)</f>
        <v>88.015194800000032</v>
      </c>
      <c r="BF26" s="13">
        <f t="shared" si="37"/>
        <v>24.085918273201479</v>
      </c>
      <c r="BG26" s="20">
        <f t="shared" si="7"/>
        <v>195.24277193582597</v>
      </c>
      <c r="BH26" s="59">
        <f t="shared" si="8"/>
        <v>480.02054971360371</v>
      </c>
      <c r="BI26" s="59">
        <f ca="1">AVERAGE(OFFSET($BH$3,0,0,'Données projet'!$E$11+1,1))-AVERAGE(OFFSET($H$3,0,0,'Données projet'!$E$11+1,1))</f>
        <v>593.28343396240075</v>
      </c>
      <c r="BJ26" s="59">
        <f t="shared" si="38"/>
        <v>289.66477662068695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4.016578947368421</v>
      </c>
      <c r="BY26" s="12">
        <f>IF('Données projet'!$A$114&gt;35,BY25+BX26-CG25,IF(A26&lt;'Données projet'!$A$114,$BV$205^A26,IF(A26='Données projet'!$A$114,'Données projet'!$B$114,BY25+BX26-CG25)))</f>
        <v>92.381315789473661</v>
      </c>
      <c r="BZ26" s="13">
        <f>BY26*VLOOKUP('Données projet'!$B$12,Paramètres!$A$1:$I$89,3,0)*VLOOKUP('Données projet'!$B$12,Paramètres!$A$1:$I$89,5,0)</f>
        <v>99.439248315789442</v>
      </c>
      <c r="CA26" s="13">
        <f t="shared" si="39"/>
        <v>26.828362502376191</v>
      </c>
      <c r="CB26" s="20">
        <f t="shared" si="10"/>
        <v>219.91608884163847</v>
      </c>
      <c r="CC26" s="59">
        <f t="shared" si="11"/>
        <v>504.69386661941621</v>
      </c>
      <c r="CD26" s="59">
        <f ca="1">AVERAGE(OFFSET($CC$3,0,0,'Données projet'!$E$12+1,1))-AVERAGE(OFFSET($H$3,0,0,'Données projet'!$E$12+1,1))</f>
        <v>502.65044103360322</v>
      </c>
      <c r="CE26" s="59">
        <f t="shared" si="40"/>
        <v>321.65762891855167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5.1282051282051295</v>
      </c>
      <c r="N27" s="13">
        <f>IF('Données projet'!$A$36&gt;35,N26+M27-V26,IF(A27&lt;'Données projet'!$A$36,$K$205^A27,IF(A27='Données projet'!$A$36,'Données projet'!$B$36,N26+M27-V26)))</f>
        <v>57.692307692307686</v>
      </c>
      <c r="O27" s="13">
        <f>N27*VLOOKUP('Données projet'!$B$9,Paramètres!$A$1:$I$89,3,0)*VLOOKUP('Données projet'!$B$9,Paramètres!$A$1:$I$89,5,0)</f>
        <v>60.300000000000004</v>
      </c>
      <c r="P27" s="13">
        <f t="shared" si="33"/>
        <v>17.24409639377615</v>
      </c>
      <c r="Q27" s="20">
        <f t="shared" si="2"/>
        <v>135.05596788582679</v>
      </c>
      <c r="R27" s="59">
        <f t="shared" si="0"/>
        <v>421.05596788582682</v>
      </c>
      <c r="S27" s="59">
        <f ca="1">AVERAGE(OFFSET($R$3,0,0,'Données projet'!$E$9+1,1))-AVERAGE(OFFSET($H$3,0,0,'Données projet'!$E$9+1,1))</f>
        <v>239.26156489359892</v>
      </c>
      <c r="T27" s="59">
        <f t="shared" si="34"/>
        <v>213.97034450798111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4.116993804592294</v>
      </c>
      <c r="AB27" s="21">
        <f>EXP(-LN(2)/2)*AB26+(1-EXP(-LN(2)/2))/(LN(2)/2)*V27*Y27*VLOOKUP('Données projet'!$B$9,Paramètres!$A$1:$I$89,3,0)*0.475*44/12</f>
        <v>0</v>
      </c>
      <c r="AC27" s="22">
        <f t="shared" si="3"/>
        <v>4.116993804592294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4.5856818181818184</v>
      </c>
      <c r="AI27" s="13">
        <f>IF('Données projet'!$A$62&gt;35,AI26+AH27-AQ26,IF(A27&lt;'Données projet'!$A$62,$AF$205^A27,IF(A27='Données projet'!$A$62,'Données projet'!$B$62,AI26+AH27-AQ26)))</f>
        <v>110.0563636363637</v>
      </c>
      <c r="AJ27" s="13">
        <f>AI27*VLOOKUP('Données projet'!$B$10,Paramètres!$A$1:$I$89,3,0)*VLOOKUP('Données projet'!$B$10,Paramètres!$A$1:$I$89,5,0)</f>
        <v>111.5971527272728</v>
      </c>
      <c r="AK27" s="13">
        <f t="shared" si="35"/>
        <v>29.706969927963684</v>
      </c>
      <c r="AL27" s="20">
        <f t="shared" si="4"/>
        <v>246.10468029120352</v>
      </c>
      <c r="AM27" s="59">
        <f t="shared" si="5"/>
        <v>532.10468029120352</v>
      </c>
      <c r="AN27" s="59">
        <f ca="1">AVERAGE(OFFSET($AM$3,0,0,'Données projet'!$E$10+1,1))-AVERAGE(OFFSET($H$3,0,0,'Données projet'!$E$10+1,1))</f>
        <v>543.88440431478944</v>
      </c>
      <c r="AO27" s="59">
        <f t="shared" si="36"/>
        <v>342.63929463709457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3.3603333333333336</v>
      </c>
      <c r="BD27" s="12">
        <f>IF('Données projet'!$A$88&gt;35,BD26+BC27-BL26,IF(A27&lt;'Données projet'!$A$88,$BA$205^A27,IF(A27='Données projet'!$A$88,'Données projet'!$B$88,BD26+BC27-BL26)))</f>
        <v>80.648000000000025</v>
      </c>
      <c r="BE27" s="13">
        <f>BD27*VLOOKUP('Données projet'!$B$11,Paramètres!$A$1:$I$89,3,0)*VLOOKUP('Données projet'!$B$11,Paramètres!$A$1:$I$89,5,0)</f>
        <v>91.841942400000036</v>
      </c>
      <c r="BF27" s="13">
        <f t="shared" si="37"/>
        <v>25.008931998737175</v>
      </c>
      <c r="BG27" s="20">
        <f t="shared" si="7"/>
        <v>203.51527291113393</v>
      </c>
      <c r="BH27" s="59">
        <f t="shared" si="8"/>
        <v>489.51527291113393</v>
      </c>
      <c r="BI27" s="59">
        <f ca="1">AVERAGE(OFFSET($BH$3,0,0,'Données projet'!$E$11+1,1))-AVERAGE(OFFSET($H$3,0,0,'Données projet'!$E$11+1,1))</f>
        <v>593.28343396240075</v>
      </c>
      <c r="BJ27" s="59">
        <f t="shared" si="38"/>
        <v>289.66477662068695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4.016578947368421</v>
      </c>
      <c r="BY27" s="12">
        <f>IF('Données projet'!$A$114&gt;35,BY26+BX27-CG26,IF(A27&lt;'Données projet'!$A$114,$BV$205^A27,IF(A27='Données projet'!$A$114,'Données projet'!$B$114,BY26+BX27-CG26)))</f>
        <v>96.397894736842076</v>
      </c>
      <c r="BZ27" s="13">
        <f>BY27*VLOOKUP('Données projet'!$B$12,Paramètres!$A$1:$I$89,3,0)*VLOOKUP('Données projet'!$B$12,Paramètres!$A$1:$I$89,5,0)</f>
        <v>103.76269389473681</v>
      </c>
      <c r="CA27" s="13">
        <f t="shared" si="39"/>
        <v>27.856471397476621</v>
      </c>
      <c r="CB27" s="20">
        <f t="shared" si="10"/>
        <v>229.2367128839384</v>
      </c>
      <c r="CC27" s="59">
        <f t="shared" si="11"/>
        <v>515.23671288393837</v>
      </c>
      <c r="CD27" s="59">
        <f ca="1">AVERAGE(OFFSET($CC$3,0,0,'Données projet'!$E$12+1,1))-AVERAGE(OFFSET($H$3,0,0,'Données projet'!$E$12+1,1))</f>
        <v>502.65044103360322</v>
      </c>
      <c r="CE27" s="59">
        <f t="shared" si="40"/>
        <v>321.65762891855167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62.820512820512818</v>
      </c>
      <c r="L28" s="12">
        <f>VLOOKUP(A28,'Données projet'!$A$35:$I$55,9,0)</f>
        <v>5.1282051282051295</v>
      </c>
      <c r="M28" s="12">
        <f t="array" ref="M28">INDEX(L:L,MIN(IF(ISNUMBER(L28:L224),ROW(L28:L224),"")))</f>
        <v>5.1282051282051295</v>
      </c>
      <c r="N28" s="13">
        <f>IF('Données projet'!$A$36&gt;35,N27+M28-V27,IF(A28&lt;'Données projet'!$A$36,$K$205^A28,IF(A28='Données projet'!$A$36,'Données projet'!$B$36,N27+M28-V27)))</f>
        <v>62.820512820512818</v>
      </c>
      <c r="O28" s="13">
        <f>N28*VLOOKUP('Données projet'!$B$9,Paramètres!$A$1:$I$89,3,0)*VLOOKUP('Données projet'!$B$9,Paramètres!$A$1:$I$89,5,0)</f>
        <v>65.660000000000011</v>
      </c>
      <c r="P28" s="13">
        <f t="shared" si="33"/>
        <v>18.591700776040714</v>
      </c>
      <c r="Q28" s="20">
        <f t="shared" si="2"/>
        <v>146.73837885160424</v>
      </c>
      <c r="R28" s="59">
        <f t="shared" si="0"/>
        <v>433.96060107382647</v>
      </c>
      <c r="S28" s="59">
        <f ca="1">AVERAGE(OFFSET($R$3,0,0,'Données projet'!$E$9+1,1))-AVERAGE(OFFSET($H$3,0,0,'Données projet'!$E$9+1,1))</f>
        <v>239.26156489359892</v>
      </c>
      <c r="T28" s="59">
        <f t="shared" si="34"/>
        <v>213.97034450798111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12.179487179487179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0.215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7.0181185401743438</v>
      </c>
      <c r="AB28" s="21">
        <f>EXP(-LN(2)/2)*AB27+(1-EXP(-LN(2)/2))/(LN(2)/2)*V28*Y28*VLOOKUP('Données projet'!$B$9,Paramètres!$A$1:$I$89,3,0)*0.475*44/12</f>
        <v>0</v>
      </c>
      <c r="AC28" s="22">
        <f t="shared" si="3"/>
        <v>7.0181185401743438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4.5856818181818184</v>
      </c>
      <c r="AI28" s="13">
        <f>IF('Données projet'!$A$62&gt;35,AI27+AH28-AQ27,IF(A28&lt;'Données projet'!$A$62,$AF$205^A28,IF(A28='Données projet'!$A$62,'Données projet'!$B$62,AI27+AH28-AQ27)))</f>
        <v>114.64204545454552</v>
      </c>
      <c r="AJ28" s="13">
        <f>AI28*VLOOKUP('Données projet'!$B$10,Paramètres!$A$1:$I$89,3,0)*VLOOKUP('Données projet'!$B$10,Paramètres!$A$1:$I$89,5,0)</f>
        <v>116.24703409090915</v>
      </c>
      <c r="AK28" s="13">
        <f t="shared" si="35"/>
        <v>30.798069527710364</v>
      </c>
      <c r="AL28" s="20">
        <f t="shared" si="4"/>
        <v>256.10355546909562</v>
      </c>
      <c r="AM28" s="59">
        <f t="shared" si="5"/>
        <v>543.32577769131785</v>
      </c>
      <c r="AN28" s="59">
        <f ca="1">AVERAGE(OFFSET($AM$3,0,0,'Données projet'!$E$10+1,1))-AVERAGE(OFFSET($H$3,0,0,'Données projet'!$E$10+1,1))</f>
        <v>543.88440431478944</v>
      </c>
      <c r="AO28" s="59">
        <f t="shared" si="36"/>
        <v>342.63929463709457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3.3603333333333336</v>
      </c>
      <c r="BD28" s="12">
        <f>IF('Données projet'!$A$88&gt;35,BD27+BC28-BL27,IF(A28&lt;'Données projet'!$A$88,$BA$205^A28,IF(A28='Données projet'!$A$88,'Données projet'!$B$88,BD27+BC28-BL27)))</f>
        <v>84.008333333333354</v>
      </c>
      <c r="BE28" s="13">
        <f>BD28*VLOOKUP('Données projet'!$B$11,Paramètres!$A$1:$I$89,3,0)*VLOOKUP('Données projet'!$B$11,Paramètres!$A$1:$I$89,5,0)</f>
        <v>95.668690000000026</v>
      </c>
      <c r="BF28" s="13">
        <f t="shared" si="37"/>
        <v>25.927478580905699</v>
      </c>
      <c r="BG28" s="20">
        <f t="shared" si="7"/>
        <v>211.77999361174412</v>
      </c>
      <c r="BH28" s="59">
        <f t="shared" si="8"/>
        <v>499.00221583396637</v>
      </c>
      <c r="BI28" s="59">
        <f ca="1">AVERAGE(OFFSET($BH$3,0,0,'Données projet'!$E$11+1,1))-AVERAGE(OFFSET($H$3,0,0,'Données projet'!$E$11+1,1))</f>
        <v>593.28343396240075</v>
      </c>
      <c r="BJ28" s="59">
        <f t="shared" si="38"/>
        <v>289.66477662068695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4.016578947368421</v>
      </c>
      <c r="BY28" s="12">
        <f>IF('Données projet'!$A$114&gt;35,BY27+BX28-CG27,IF(A28&lt;'Données projet'!$A$114,$BV$205^A28,IF(A28='Données projet'!$A$114,'Données projet'!$B$114,BY27+BX28-CG27)))</f>
        <v>100.41447368421049</v>
      </c>
      <c r="BZ28" s="13">
        <f>BY28*VLOOKUP('Données projet'!$B$12,Paramètres!$A$1:$I$89,3,0)*VLOOKUP('Données projet'!$B$12,Paramètres!$A$1:$I$89,5,0)</f>
        <v>108.08613947368417</v>
      </c>
      <c r="CA28" s="13">
        <f t="shared" si="39"/>
        <v>28.879604516264717</v>
      </c>
      <c r="CB28" s="20">
        <f t="shared" si="10"/>
        <v>238.54867078249427</v>
      </c>
      <c r="CC28" s="59">
        <f t="shared" si="11"/>
        <v>525.77089300471653</v>
      </c>
      <c r="CD28" s="59">
        <f ca="1">AVERAGE(OFFSET($CC$3,0,0,'Données projet'!$E$12+1,1))-AVERAGE(OFFSET($H$3,0,0,'Données projet'!$E$12+1,1))</f>
        <v>502.65044103360322</v>
      </c>
      <c r="CE28" s="59">
        <f t="shared" si="40"/>
        <v>321.65762891855167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5.1282051282051295</v>
      </c>
      <c r="N29" s="13">
        <f>IF('Données projet'!$A$36&gt;35,N28+M29-V28,IF(A29&lt;'Données projet'!$A$36,$K$205^A29,IF(A29='Données projet'!$A$36,'Données projet'!$B$36,N28+M29-V28)))</f>
        <v>55.769230769230759</v>
      </c>
      <c r="O29" s="13">
        <f>N29*VLOOKUP('Données projet'!$B$9,Paramètres!$A$1:$I$89,3,0)*VLOOKUP('Données projet'!$B$9,Paramètres!$A$1:$I$89,5,0)</f>
        <v>58.29</v>
      </c>
      <c r="P29" s="13">
        <f t="shared" si="33"/>
        <v>16.735202513714196</v>
      </c>
      <c r="Q29" s="20">
        <f t="shared" si="2"/>
        <v>130.66889437805222</v>
      </c>
      <c r="R29" s="59">
        <f t="shared" si="0"/>
        <v>419.11333882249664</v>
      </c>
      <c r="S29" s="59">
        <f ca="1">AVERAGE(OFFSET($R$3,0,0,'Données projet'!$E$9+1,1))-AVERAGE(OFFSET($H$3,0,0,'Données projet'!$E$9+1,1))</f>
        <v>239.26156489359892</v>
      </c>
      <c r="T29" s="59">
        <f t="shared" si="34"/>
        <v>213.97034450798111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6.8262077196264626</v>
      </c>
      <c r="AB29" s="21">
        <f>EXP(-LN(2)/2)*AB28+(1-EXP(-LN(2)/2))/(LN(2)/2)*V29*Y29*VLOOKUP('Données projet'!$B$9,Paramètres!$A$1:$I$89,3,0)*0.475*44/12</f>
        <v>0</v>
      </c>
      <c r="AC29" s="22">
        <f t="shared" si="3"/>
        <v>6.8262077196264626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4.5856818181818184</v>
      </c>
      <c r="AI29" s="13">
        <f>IF('Données projet'!$A$62&gt;35,AI28+AH29-AQ28,IF(A29&lt;'Données projet'!$A$62,$AF$205^A29,IF(A29='Données projet'!$A$62,'Données projet'!$B$62,AI28+AH29-AQ28)))</f>
        <v>119.22772727272735</v>
      </c>
      <c r="AJ29" s="13">
        <f>AI29*VLOOKUP('Données projet'!$B$10,Paramètres!$A$1:$I$89,3,0)*VLOOKUP('Données projet'!$B$10,Paramètres!$A$1:$I$89,5,0)</f>
        <v>120.89691545454555</v>
      </c>
      <c r="AK29" s="13">
        <f t="shared" si="35"/>
        <v>31.884099348148808</v>
      </c>
      <c r="AL29" s="20">
        <f t="shared" si="4"/>
        <v>266.09360078135933</v>
      </c>
      <c r="AM29" s="59">
        <f t="shared" si="5"/>
        <v>554.53804522580378</v>
      </c>
      <c r="AN29" s="59">
        <f ca="1">AVERAGE(OFFSET($AM$3,0,0,'Données projet'!$E$10+1,1))-AVERAGE(OFFSET($H$3,0,0,'Données projet'!$E$10+1,1))</f>
        <v>543.88440431478944</v>
      </c>
      <c r="AO29" s="59">
        <f t="shared" si="36"/>
        <v>342.63929463709457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3.3603333333333336</v>
      </c>
      <c r="BD29" s="12">
        <f>IF('Données projet'!$A$88&gt;35,BD28+BC29-BL28,IF(A29&lt;'Données projet'!$A$88,$BA$205^A29,IF(A29='Données projet'!$A$88,'Données projet'!$B$88,BD28+BC29-BL28)))</f>
        <v>87.368666666666684</v>
      </c>
      <c r="BE29" s="13">
        <f>BD29*VLOOKUP('Données projet'!$B$11,Paramètres!$A$1:$I$89,3,0)*VLOOKUP('Données projet'!$B$11,Paramètres!$A$1:$I$89,5,0)</f>
        <v>99.495437600000017</v>
      </c>
      <c r="BF29" s="13">
        <f t="shared" si="37"/>
        <v>26.84175714899277</v>
      </c>
      <c r="BG29" s="20">
        <f t="shared" si="7"/>
        <v>220.03728085449575</v>
      </c>
      <c r="BH29" s="59">
        <f t="shared" si="8"/>
        <v>508.4817252989402</v>
      </c>
      <c r="BI29" s="59">
        <f ca="1">AVERAGE(OFFSET($BH$3,0,0,'Données projet'!$E$11+1,1))-AVERAGE(OFFSET($H$3,0,0,'Données projet'!$E$11+1,1))</f>
        <v>593.28343396240075</v>
      </c>
      <c r="BJ29" s="59">
        <f t="shared" si="38"/>
        <v>289.66477662068695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4.016578947368421</v>
      </c>
      <c r="BY29" s="12">
        <f>IF('Données projet'!$A$114&gt;35,BY28+BX29-CG28,IF(A29&lt;'Données projet'!$A$114,$BV$205^A29,IF(A29='Données projet'!$A$114,'Données projet'!$B$114,BY28+BX29-CG28)))</f>
        <v>104.43105263157891</v>
      </c>
      <c r="BZ29" s="13">
        <f>BY29*VLOOKUP('Données projet'!$B$12,Paramètres!$A$1:$I$89,3,0)*VLOOKUP('Données projet'!$B$12,Paramètres!$A$1:$I$89,5,0)</f>
        <v>112.40958505263153</v>
      </c>
      <c r="CA29" s="13">
        <f t="shared" si="39"/>
        <v>29.897983661065066</v>
      </c>
      <c r="CB29" s="20">
        <f t="shared" si="10"/>
        <v>247.85234884302153</v>
      </c>
      <c r="CC29" s="59">
        <f t="shared" si="11"/>
        <v>536.29679328746602</v>
      </c>
      <c r="CD29" s="59">
        <f ca="1">AVERAGE(OFFSET($CC$3,0,0,'Données projet'!$E$12+1,1))-AVERAGE(OFFSET($H$3,0,0,'Données projet'!$E$12+1,1))</f>
        <v>502.65044103360322</v>
      </c>
      <c r="CE29" s="59">
        <f t="shared" si="40"/>
        <v>321.65762891855167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5.1282051282051295</v>
      </c>
      <c r="N30" s="13">
        <f>IF('Données projet'!$A$36&gt;35,N29+M30-V29,IF(A30&lt;'Données projet'!$A$36,$K$205^A30,IF(A30='Données projet'!$A$36,'Données projet'!$B$36,N29+M30-V29)))</f>
        <v>60.897435897435891</v>
      </c>
      <c r="O30" s="13">
        <f>N30*VLOOKUP('Données projet'!$B$9,Paramètres!$A$1:$I$89,3,0)*VLOOKUP('Données projet'!$B$9,Paramètres!$A$1:$I$89,5,0)</f>
        <v>63.65</v>
      </c>
      <c r="P30" s="13">
        <f t="shared" si="33"/>
        <v>18.0879079069433</v>
      </c>
      <c r="Q30" s="20">
        <f t="shared" si="2"/>
        <v>142.36018960459288</v>
      </c>
      <c r="R30" s="59">
        <f t="shared" si="0"/>
        <v>432.02685627125959</v>
      </c>
      <c r="S30" s="59">
        <f ca="1">AVERAGE(OFFSET($R$3,0,0,'Données projet'!$E$9+1,1))-AVERAGE(OFFSET($H$3,0,0,'Données projet'!$E$9+1,1))</f>
        <v>239.26156489359892</v>
      </c>
      <c r="T30" s="59">
        <f t="shared" si="34"/>
        <v>213.97034450798111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6.6395447105586145</v>
      </c>
      <c r="AB30" s="21">
        <f>EXP(-LN(2)/2)*AB29+(1-EXP(-LN(2)/2))/(LN(2)/2)*V30*Y30*VLOOKUP('Données projet'!$B$9,Paramètres!$A$1:$I$89,3,0)*0.475*44/12</f>
        <v>0</v>
      </c>
      <c r="AC30" s="22">
        <f t="shared" si="3"/>
        <v>6.6395447105586145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4.5856818181818184</v>
      </c>
      <c r="AI30" s="13">
        <f>IF('Données projet'!$A$62&gt;35,AI29+AH30-AQ29,IF(A30&lt;'Données projet'!$A$62,$AF$205^A30,IF(A30='Données projet'!$A$62,'Données projet'!$B$62,AI29+AH30-AQ29)))</f>
        <v>123.81340909090918</v>
      </c>
      <c r="AJ30" s="13">
        <f>AI30*VLOOKUP('Données projet'!$B$10,Paramètres!$A$1:$I$89,3,0)*VLOOKUP('Données projet'!$B$10,Paramètres!$A$1:$I$89,5,0)</f>
        <v>125.54679681818192</v>
      </c>
      <c r="AK30" s="13">
        <f t="shared" si="35"/>
        <v>32.965276700341491</v>
      </c>
      <c r="AL30" s="20">
        <f t="shared" si="4"/>
        <v>276.07519471142831</v>
      </c>
      <c r="AM30" s="59">
        <f t="shared" si="5"/>
        <v>565.741861378095</v>
      </c>
      <c r="AN30" s="59">
        <f ca="1">AVERAGE(OFFSET($AM$3,0,0,'Données projet'!$E$10+1,1))-AVERAGE(OFFSET($H$3,0,0,'Données projet'!$E$10+1,1))</f>
        <v>543.88440431478944</v>
      </c>
      <c r="AO30" s="59">
        <f t="shared" si="36"/>
        <v>342.63929463709457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3.3603333333333336</v>
      </c>
      <c r="BD30" s="12">
        <f>IF('Données projet'!$A$88&gt;35,BD29+BC30-BL29,IF(A30&lt;'Données projet'!$A$88,$BA$205^A30,IF(A30='Données projet'!$A$88,'Données projet'!$B$88,BD29+BC30-BL29)))</f>
        <v>90.729000000000013</v>
      </c>
      <c r="BE30" s="13">
        <f>BD30*VLOOKUP('Données projet'!$B$11,Paramètres!$A$1:$I$89,3,0)*VLOOKUP('Données projet'!$B$11,Paramètres!$A$1:$I$89,5,0)</f>
        <v>103.32218520000002</v>
      </c>
      <c r="BF30" s="13">
        <f t="shared" si="37"/>
        <v>27.751950647189656</v>
      </c>
      <c r="BG30" s="20">
        <f t="shared" si="7"/>
        <v>228.28745326718865</v>
      </c>
      <c r="BH30" s="59">
        <f t="shared" si="8"/>
        <v>517.95411993385528</v>
      </c>
      <c r="BI30" s="59">
        <f ca="1">AVERAGE(OFFSET($BH$3,0,0,'Données projet'!$E$11+1,1))-AVERAGE(OFFSET($H$3,0,0,'Données projet'!$E$11+1,1))</f>
        <v>593.28343396240075</v>
      </c>
      <c r="BJ30" s="59">
        <f t="shared" si="38"/>
        <v>289.66477662068695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4.016578947368421</v>
      </c>
      <c r="BY30" s="12">
        <f>IF('Données projet'!$A$114&gt;35,BY29+BX30-CG29,IF(A30&lt;'Données projet'!$A$114,$BV$205^A30,IF(A30='Données projet'!$A$114,'Données projet'!$B$114,BY29+BX30-CG29)))</f>
        <v>108.44763157894732</v>
      </c>
      <c r="BZ30" s="13">
        <f>BY30*VLOOKUP('Données projet'!$B$12,Paramètres!$A$1:$I$89,3,0)*VLOOKUP('Données projet'!$B$12,Paramètres!$A$1:$I$89,5,0)</f>
        <v>116.7330306315789</v>
      </c>
      <c r="CA30" s="13">
        <f t="shared" si="39"/>
        <v>30.911812606258344</v>
      </c>
      <c r="CB30" s="20">
        <f t="shared" si="10"/>
        <v>257.14810197256651</v>
      </c>
      <c r="CC30" s="59">
        <f t="shared" si="11"/>
        <v>546.81476863923319</v>
      </c>
      <c r="CD30" s="59">
        <f ca="1">AVERAGE(OFFSET($CC$3,0,0,'Données projet'!$E$12+1,1))-AVERAGE(OFFSET($H$3,0,0,'Données projet'!$E$12+1,1))</f>
        <v>502.65044103360322</v>
      </c>
      <c r="CE30" s="59">
        <f t="shared" si="40"/>
        <v>321.65762891855167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5.1282051282051295</v>
      </c>
      <c r="N31" s="13">
        <f>IF('Données projet'!$A$36&gt;35,N30+M31-V30,IF(A31&lt;'Données projet'!$A$36,$K$205^A31,IF(A31='Données projet'!$A$36,'Données projet'!$B$36,N30+M31-V30)))</f>
        <v>66.025641025641022</v>
      </c>
      <c r="O31" s="13">
        <f>N31*VLOOKUP('Données projet'!$B$9,Paramètres!$A$1:$I$89,3,0)*VLOOKUP('Données projet'!$B$9,Paramètres!$A$1:$I$89,5,0)</f>
        <v>69.010000000000005</v>
      </c>
      <c r="P31" s="13">
        <f t="shared" si="33"/>
        <v>19.427402242100008</v>
      </c>
      <c r="Q31" s="20">
        <f t="shared" si="2"/>
        <v>154.02847557165751</v>
      </c>
      <c r="R31" s="59">
        <f t="shared" si="0"/>
        <v>444.91736446054637</v>
      </c>
      <c r="S31" s="59">
        <f ca="1">AVERAGE(OFFSET($R$3,0,0,'Données projet'!$E$9+1,1))-AVERAGE(OFFSET($H$3,0,0,'Données projet'!$E$9+1,1))</f>
        <v>239.26156489359892</v>
      </c>
      <c r="T31" s="59">
        <f t="shared" si="34"/>
        <v>213.97034450798111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6.4579860112899077</v>
      </c>
      <c r="AB31" s="21">
        <f>EXP(-LN(2)/2)*AB30+(1-EXP(-LN(2)/2))/(LN(2)/2)*V31*Y31*VLOOKUP('Données projet'!$B$9,Paramètres!$A$1:$I$89,3,0)*0.475*44/12</f>
        <v>0</v>
      </c>
      <c r="AC31" s="22">
        <f t="shared" si="3"/>
        <v>6.4579860112899077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4.5856818181818184</v>
      </c>
      <c r="AI31" s="13">
        <f>IF('Données projet'!$A$62&gt;35,AI30+AH31-AQ30,IF(A31&lt;'Données projet'!$A$62,$AF$205^A31,IF(A31='Données projet'!$A$62,'Données projet'!$B$62,AI30+AH31-AQ30)))</f>
        <v>128.399090909091</v>
      </c>
      <c r="AJ31" s="13">
        <f>AI31*VLOOKUP('Données projet'!$B$10,Paramètres!$A$1:$I$89,3,0)*VLOOKUP('Données projet'!$B$10,Paramètres!$A$1:$I$89,5,0)</f>
        <v>130.19667818181827</v>
      </c>
      <c r="AK31" s="13">
        <f t="shared" si="35"/>
        <v>34.041801886177062</v>
      </c>
      <c r="AL31" s="20">
        <f t="shared" si="4"/>
        <v>286.04868611842517</v>
      </c>
      <c r="AM31" s="59">
        <f t="shared" si="5"/>
        <v>576.93757500731408</v>
      </c>
      <c r="AN31" s="59">
        <f ca="1">AVERAGE(OFFSET($AM$3,0,0,'Données projet'!$E$10+1,1))-AVERAGE(OFFSET($H$3,0,0,'Données projet'!$E$10+1,1))</f>
        <v>543.88440431478944</v>
      </c>
      <c r="AO31" s="59">
        <f t="shared" si="36"/>
        <v>342.63929463709457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3.3603333333333336</v>
      </c>
      <c r="BD31" s="12">
        <f>IF('Données projet'!$A$88&gt;35,BD30+BC31-BL30,IF(A31&lt;'Données projet'!$A$88,$BA$205^A31,IF(A31='Données projet'!$A$88,'Données projet'!$B$88,BD30+BC31-BL30)))</f>
        <v>94.089333333333343</v>
      </c>
      <c r="BE31" s="13">
        <f>BD31*VLOOKUP('Données projet'!$B$11,Paramètres!$A$1:$I$89,3,0)*VLOOKUP('Données projet'!$B$11,Paramètres!$A$1:$I$89,5,0)</f>
        <v>107.14893280000001</v>
      </c>
      <c r="BF31" s="13">
        <f t="shared" si="37"/>
        <v>28.658227700445973</v>
      </c>
      <c r="BG31" s="20">
        <f t="shared" si="7"/>
        <v>236.53080453827673</v>
      </c>
      <c r="BH31" s="59">
        <f t="shared" si="8"/>
        <v>527.41969342716561</v>
      </c>
      <c r="BI31" s="59">
        <f ca="1">AVERAGE(OFFSET($BH$3,0,0,'Données projet'!$E$11+1,1))-AVERAGE(OFFSET($H$3,0,0,'Données projet'!$E$11+1,1))</f>
        <v>593.28343396240075</v>
      </c>
      <c r="BJ31" s="59">
        <f t="shared" si="38"/>
        <v>289.66477662068695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4.016578947368421</v>
      </c>
      <c r="BY31" s="12">
        <f>IF('Données projet'!$A$114&gt;35,BY30+BX31-CG30,IF(A31&lt;'Données projet'!$A$114,$BV$205^A31,IF(A31='Données projet'!$A$114,'Données projet'!$B$114,BY30+BX31-CG30)))</f>
        <v>112.46421052631574</v>
      </c>
      <c r="BZ31" s="13">
        <f>BY31*VLOOKUP('Données projet'!$B$12,Paramètres!$A$1:$I$89,3,0)*VLOOKUP('Données projet'!$B$12,Paramètres!$A$1:$I$89,5,0)</f>
        <v>121.05647621052626</v>
      </c>
      <c r="CA31" s="13">
        <f t="shared" si="39"/>
        <v>31.921279176582079</v>
      </c>
      <c r="CB31" s="20">
        <f t="shared" si="10"/>
        <v>266.43625729921371</v>
      </c>
      <c r="CC31" s="59">
        <f t="shared" si="11"/>
        <v>557.32514618810251</v>
      </c>
      <c r="CD31" s="59">
        <f ca="1">AVERAGE(OFFSET($CC$3,0,0,'Données projet'!$E$12+1,1))-AVERAGE(OFFSET($H$3,0,0,'Données projet'!$E$12+1,1))</f>
        <v>502.65044103360322</v>
      </c>
      <c r="CE31" s="59">
        <f t="shared" si="40"/>
        <v>321.65762891855167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5.1282051282051295</v>
      </c>
      <c r="N32" s="13">
        <f>IF('Données projet'!$A$36&gt;35,N31+M32-V31,IF(A32&lt;'Données projet'!$A$36,$K$205^A32,IF(A32='Données projet'!$A$36,'Données projet'!$B$36,N31+M32-V31)))</f>
        <v>71.153846153846146</v>
      </c>
      <c r="O32" s="13">
        <f>N32*VLOOKUP('Données projet'!$B$9,Paramètres!$A$1:$I$89,3,0)*VLOOKUP('Données projet'!$B$9,Paramètres!$A$1:$I$89,5,0)</f>
        <v>74.36999999999999</v>
      </c>
      <c r="P32" s="13">
        <f t="shared" si="33"/>
        <v>20.754828284827131</v>
      </c>
      <c r="Q32" s="20">
        <f t="shared" si="2"/>
        <v>165.67574259607389</v>
      </c>
      <c r="R32" s="59">
        <f t="shared" si="0"/>
        <v>457.78685370718506</v>
      </c>
      <c r="S32" s="59">
        <f ca="1">AVERAGE(OFFSET($R$3,0,0,'Données projet'!$E$9+1,1))-AVERAGE(OFFSET($H$3,0,0,'Données projet'!$E$9+1,1))</f>
        <v>239.26156489359892</v>
      </c>
      <c r="T32" s="59">
        <f t="shared" si="34"/>
        <v>213.97034450798111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6.2813920442004605</v>
      </c>
      <c r="AB32" s="21">
        <f>EXP(-LN(2)/2)*AB31+(1-EXP(-LN(2)/2))/(LN(2)/2)*V32*Y32*VLOOKUP('Données projet'!$B$9,Paramètres!$A$1:$I$89,3,0)*0.475*44/12</f>
        <v>0</v>
      </c>
      <c r="AC32" s="22">
        <f t="shared" si="3"/>
        <v>6.2813920442004605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4.5856818181818184</v>
      </c>
      <c r="AI32" s="13">
        <f>IF('Données projet'!$A$62&gt;35,AI31+AH32-AQ31,IF(A32&lt;'Données projet'!$A$62,$AF$205^A32,IF(A32='Données projet'!$A$62,'Données projet'!$B$62,AI31+AH32-AQ31)))</f>
        <v>132.98477272727283</v>
      </c>
      <c r="AJ32" s="13">
        <f>AI32*VLOOKUP('Données projet'!$B$10,Paramètres!$A$1:$I$89,3,0)*VLOOKUP('Données projet'!$B$10,Paramètres!$A$1:$I$89,5,0)</f>
        <v>134.84655954545465</v>
      </c>
      <c r="AK32" s="13">
        <f t="shared" si="35"/>
        <v>35.113860089211137</v>
      </c>
      <c r="AL32" s="20">
        <f t="shared" si="4"/>
        <v>296.01439753037624</v>
      </c>
      <c r="AM32" s="59">
        <f t="shared" si="5"/>
        <v>588.12550864148739</v>
      </c>
      <c r="AN32" s="59">
        <f ca="1">AVERAGE(OFFSET($AM$3,0,0,'Données projet'!$E$10+1,1))-AVERAGE(OFFSET($H$3,0,0,'Données projet'!$E$10+1,1))</f>
        <v>543.88440431478944</v>
      </c>
      <c r="AO32" s="59">
        <f t="shared" si="36"/>
        <v>342.63929463709457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3.3603333333333336</v>
      </c>
      <c r="BD32" s="12">
        <f>IF('Données projet'!$A$88&gt;35,BD31+BC32-BL31,IF(A32&lt;'Données projet'!$A$88,$BA$205^A32,IF(A32='Données projet'!$A$88,'Données projet'!$B$88,BD31+BC32-BL31)))</f>
        <v>97.449666666666673</v>
      </c>
      <c r="BE32" s="13">
        <f>BD32*VLOOKUP('Données projet'!$B$11,Paramètres!$A$1:$I$89,3,0)*VLOOKUP('Données projet'!$B$11,Paramètres!$A$1:$I$89,5,0)</f>
        <v>110.9756804</v>
      </c>
      <c r="BF32" s="13">
        <f t="shared" si="37"/>
        <v>29.560744206282198</v>
      </c>
      <c r="BG32" s="20">
        <f t="shared" si="7"/>
        <v>244.76760618927483</v>
      </c>
      <c r="BH32" s="59">
        <f t="shared" si="8"/>
        <v>536.87871730038592</v>
      </c>
      <c r="BI32" s="59">
        <f ca="1">AVERAGE(OFFSET($BH$3,0,0,'Données projet'!$E$11+1,1))-AVERAGE(OFFSET($H$3,0,0,'Données projet'!$E$11+1,1))</f>
        <v>593.28343396240075</v>
      </c>
      <c r="BJ32" s="59">
        <f t="shared" si="38"/>
        <v>289.66477662068695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4.016578947368421</v>
      </c>
      <c r="BY32" s="12">
        <f>IF('Données projet'!$A$114&gt;35,BY31+BX32-CG31,IF(A32&lt;'Données projet'!$A$114,$BV$205^A32,IF(A32='Données projet'!$A$114,'Données projet'!$B$114,BY31+BX32-CG31)))</f>
        <v>116.48078947368415</v>
      </c>
      <c r="BZ32" s="13">
        <f>BY32*VLOOKUP('Données projet'!$B$12,Paramètres!$A$1:$I$89,3,0)*VLOOKUP('Données projet'!$B$12,Paramètres!$A$1:$I$89,5,0)</f>
        <v>125.37992178947361</v>
      </c>
      <c r="CA32" s="13">
        <f t="shared" si="39"/>
        <v>32.926557020187957</v>
      </c>
      <c r="CB32" s="20">
        <f t="shared" si="10"/>
        <v>275.71711726016053</v>
      </c>
      <c r="CC32" s="59">
        <f t="shared" si="11"/>
        <v>567.82822837127173</v>
      </c>
      <c r="CD32" s="59">
        <f ca="1">AVERAGE(OFFSET($CC$3,0,0,'Données projet'!$E$12+1,1))-AVERAGE(OFFSET($H$3,0,0,'Données projet'!$E$12+1,1))</f>
        <v>502.65044103360322</v>
      </c>
      <c r="CE32" s="59">
        <f t="shared" si="40"/>
        <v>321.65762891855167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76.282051282051285</v>
      </c>
      <c r="L33" s="12">
        <f>VLOOKUP(A33,'Données projet'!$A$35:$I$55,9,0)</f>
        <v>5.1282051282051295</v>
      </c>
      <c r="M33" s="12">
        <f t="array" ref="M33">INDEX(L:L,MIN(IF(ISNUMBER(L33:L229),ROW(L33:L229),"")))</f>
        <v>5.1282051282051295</v>
      </c>
      <c r="N33" s="13">
        <f>IF('Données projet'!$A$36&gt;35,N32+M33-V32,IF(A33&lt;'Données projet'!$A$36,$K$205^A33,IF(A33='Données projet'!$A$36,'Données projet'!$B$36,N32+M33-V32)))</f>
        <v>76.28205128205127</v>
      </c>
      <c r="O33" s="13">
        <f>N33*VLOOKUP('Données projet'!$B$9,Paramètres!$A$1:$I$89,3,0)*VLOOKUP('Données projet'!$B$9,Paramètres!$A$1:$I$89,5,0)</f>
        <v>79.73</v>
      </c>
      <c r="P33" s="13">
        <f t="shared" si="33"/>
        <v>22.071154741424582</v>
      </c>
      <c r="Q33" s="20">
        <f t="shared" si="2"/>
        <v>177.30367784131445</v>
      </c>
      <c r="R33" s="59">
        <f t="shared" si="0"/>
        <v>470.6370111746478</v>
      </c>
      <c r="S33" s="59">
        <f ca="1">AVERAGE(OFFSET($R$3,0,0,'Données projet'!$E$9+1,1))-AVERAGE(OFFSET($H$3,0,0,'Données projet'!$E$9+1,1))</f>
        <v>239.26156489359892</v>
      </c>
      <c r="T33" s="59">
        <f t="shared" si="34"/>
        <v>213.97034450798111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12.820512820512819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0.215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9.2819472038718747</v>
      </c>
      <c r="AB33" s="21">
        <f>EXP(-LN(2)/2)*AB32+(1-EXP(-LN(2)/2))/(LN(2)/2)*V33*Y33*VLOOKUP('Données projet'!$B$9,Paramètres!$A$1:$I$89,3,0)*0.475*44/12</f>
        <v>0</v>
      </c>
      <c r="AC33" s="22">
        <f t="shared" si="3"/>
        <v>9.2819472038718747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4.5856818181818184</v>
      </c>
      <c r="AI33" s="13">
        <f>IF('Données projet'!$A$62&gt;35,AI32+AH33-AQ32,IF(A33&lt;'Données projet'!$A$62,$AF$205^A33,IF(A33='Données projet'!$A$62,'Données projet'!$B$62,AI32+AH33-AQ32)))</f>
        <v>137.57045454545465</v>
      </c>
      <c r="AJ33" s="13">
        <f>AI33*VLOOKUP('Données projet'!$B$10,Paramètres!$A$1:$I$89,3,0)*VLOOKUP('Données projet'!$B$10,Paramètres!$A$1:$I$89,5,0)</f>
        <v>139.49644090909104</v>
      </c>
      <c r="AK33" s="13">
        <f t="shared" si="35"/>
        <v>36.181622997374781</v>
      </c>
      <c r="AL33" s="20">
        <f t="shared" si="4"/>
        <v>305.97262797042794</v>
      </c>
      <c r="AM33" s="59">
        <f t="shared" si="5"/>
        <v>599.30596130376125</v>
      </c>
      <c r="AN33" s="59">
        <f ca="1">AVERAGE(OFFSET($AM$3,0,0,'Données projet'!$E$10+1,1))-AVERAGE(OFFSET($H$3,0,0,'Données projet'!$E$10+1,1))</f>
        <v>543.88440431478944</v>
      </c>
      <c r="AO33" s="59">
        <f t="shared" si="36"/>
        <v>342.63929463709457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3.3603333333333336</v>
      </c>
      <c r="BD33" s="12">
        <f>IF('Données projet'!$A$88&gt;35,BD32+BC33-BL32,IF(A33&lt;'Données projet'!$A$88,$BA$205^A33,IF(A33='Données projet'!$A$88,'Données projet'!$B$88,BD32+BC33-BL32)))</f>
        <v>100.81</v>
      </c>
      <c r="BE33" s="13">
        <f>BD33*VLOOKUP('Données projet'!$B$11,Paramètres!$A$1:$I$89,3,0)*VLOOKUP('Données projet'!$B$11,Paramètres!$A$1:$I$89,5,0)</f>
        <v>114.80242800000001</v>
      </c>
      <c r="BF33" s="13">
        <f t="shared" si="37"/>
        <v>30.459644700872925</v>
      </c>
      <c r="BG33" s="20">
        <f t="shared" si="7"/>
        <v>252.99810995402035</v>
      </c>
      <c r="BH33" s="59">
        <f t="shared" si="8"/>
        <v>546.33144328735364</v>
      </c>
      <c r="BI33" s="59">
        <f ca="1">AVERAGE(OFFSET($BH$3,0,0,'Données projet'!$E$11+1,1))-AVERAGE(OFFSET($H$3,0,0,'Données projet'!$E$11+1,1))</f>
        <v>593.28343396240075</v>
      </c>
      <c r="BJ33" s="59">
        <f t="shared" si="38"/>
        <v>289.66477662068695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4.016578947368421</v>
      </c>
      <c r="BY33" s="12">
        <f>IF('Données projet'!$A$114&gt;35,BY32+BX33-CG32,IF(A33&lt;'Données projet'!$A$114,$BV$205^A33,IF(A33='Données projet'!$A$114,'Données projet'!$B$114,BY32+BX33-CG32)))</f>
        <v>120.49736842105257</v>
      </c>
      <c r="BZ33" s="13">
        <f>BY33*VLOOKUP('Données projet'!$B$12,Paramètres!$A$1:$I$89,3,0)*VLOOKUP('Données projet'!$B$12,Paramètres!$A$1:$I$89,5,0)</f>
        <v>129.703367368421</v>
      </c>
      <c r="CA33" s="13">
        <f t="shared" si="39"/>
        <v>33.927807130269002</v>
      </c>
      <c r="CB33" s="20">
        <f t="shared" si="10"/>
        <v>284.99096225188504</v>
      </c>
      <c r="CC33" s="59">
        <f t="shared" si="11"/>
        <v>578.32429558521835</v>
      </c>
      <c r="CD33" s="59">
        <f ca="1">AVERAGE(OFFSET($CC$3,0,0,'Données projet'!$E$12+1,1))-AVERAGE(OFFSET($H$3,0,0,'Données projet'!$E$12+1,1))</f>
        <v>502.65044103360322</v>
      </c>
      <c r="CE33" s="59">
        <f t="shared" si="40"/>
        <v>321.65762891855167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4.6153846153846132</v>
      </c>
      <c r="N34" s="13">
        <f>IF('Données projet'!$A$36&gt;35,N33+M34-V33,IF(A34&lt;'Données projet'!$A$36,$K$205^A34,IF(A34='Données projet'!$A$36,'Données projet'!$B$36,N33+M34-V33)))</f>
        <v>68.076923076923066</v>
      </c>
      <c r="O34" s="13">
        <f>N34*VLOOKUP('Données projet'!$B$9,Paramètres!$A$1:$I$89,3,0)*VLOOKUP('Données projet'!$B$9,Paramètres!$A$1:$I$89,5,0)</f>
        <v>71.153999999999996</v>
      </c>
      <c r="P34" s="13">
        <f t="shared" si="33"/>
        <v>19.959763152334045</v>
      </c>
      <c r="Q34" s="20">
        <f t="shared" si="2"/>
        <v>158.68980415698181</v>
      </c>
      <c r="R34" s="59">
        <f t="shared" si="0"/>
        <v>452.02313749031509</v>
      </c>
      <c r="S34" s="59">
        <f ca="1">AVERAGE(OFFSET($R$3,0,0,'Données projet'!$E$9+1,1))-AVERAGE(OFFSET($H$3,0,0,'Données projet'!$E$9+1,1))</f>
        <v>239.26156489359892</v>
      </c>
      <c r="T34" s="59">
        <f t="shared" si="34"/>
        <v>213.97034450798111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9.028131869465609</v>
      </c>
      <c r="AB34" s="21">
        <f>EXP(-LN(2)/2)*AB33+(1-EXP(-LN(2)/2))/(LN(2)/2)*V34*Y34*VLOOKUP('Données projet'!$B$9,Paramètres!$A$1:$I$89,3,0)*0.475*44/12</f>
        <v>0</v>
      </c>
      <c r="AC34" s="22">
        <f t="shared" si="3"/>
        <v>9.028131869465609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4.5856818181818184</v>
      </c>
      <c r="AI34" s="13">
        <f>IF('Données projet'!$A$62&gt;35,AI33+AH34-AQ33,IF(A34&lt;'Données projet'!$A$62,$AF$205^A34,IF(A34='Données projet'!$A$62,'Données projet'!$B$62,AI33+AH34-AQ33)))</f>
        <v>142.15613636363648</v>
      </c>
      <c r="AJ34" s="13">
        <f>AI34*VLOOKUP('Données projet'!$B$10,Paramètres!$A$1:$I$89,3,0)*VLOOKUP('Données projet'!$B$10,Paramètres!$A$1:$I$89,5,0)</f>
        <v>144.14632227272739</v>
      </c>
      <c r="AK34" s="13">
        <f t="shared" si="35"/>
        <v>37.245250203243749</v>
      </c>
      <c r="AL34" s="20">
        <f t="shared" si="4"/>
        <v>315.92365539564975</v>
      </c>
      <c r="AM34" s="59">
        <f t="shared" si="5"/>
        <v>609.25698872898306</v>
      </c>
      <c r="AN34" s="59">
        <f ca="1">AVERAGE(OFFSET($AM$3,0,0,'Données projet'!$E$10+1,1))-AVERAGE(OFFSET($H$3,0,0,'Données projet'!$E$10+1,1))</f>
        <v>543.88440431478944</v>
      </c>
      <c r="AO34" s="59">
        <f t="shared" si="36"/>
        <v>342.63929463709457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3.3603333333333336</v>
      </c>
      <c r="BD34" s="12">
        <f>IF('Données projet'!$A$88&gt;35,BD33+BC34-BL33,IF(A34&lt;'Données projet'!$A$88,$BA$205^A34,IF(A34='Données projet'!$A$88,'Données projet'!$B$88,BD33+BC34-BL33)))</f>
        <v>104.17033333333333</v>
      </c>
      <c r="BE34" s="13">
        <f>BD34*VLOOKUP('Données projet'!$B$11,Paramètres!$A$1:$I$89,3,0)*VLOOKUP('Données projet'!$B$11,Paramètres!$A$1:$I$89,5,0)</f>
        <v>118.6291756</v>
      </c>
      <c r="BF34" s="13">
        <f t="shared" si="37"/>
        <v>31.355063537869306</v>
      </c>
      <c r="BG34" s="20">
        <f t="shared" si="7"/>
        <v>261.22254983178902</v>
      </c>
      <c r="BH34" s="59">
        <f t="shared" si="8"/>
        <v>554.5558831651224</v>
      </c>
      <c r="BI34" s="59">
        <f ca="1">AVERAGE(OFFSET($BH$3,0,0,'Données projet'!$E$11+1,1))-AVERAGE(OFFSET($H$3,0,0,'Données projet'!$E$11+1,1))</f>
        <v>593.28343396240075</v>
      </c>
      <c r="BJ34" s="59">
        <f t="shared" si="38"/>
        <v>289.66477662068695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4.016578947368421</v>
      </c>
      <c r="BY34" s="12">
        <f>IF('Données projet'!$A$114&gt;35,BY33+BX34-CG33,IF(A34&lt;'Données projet'!$A$114,$BV$205^A34,IF(A34='Données projet'!$A$114,'Données projet'!$B$114,BY33+BX34-CG33)))</f>
        <v>124.51394736842099</v>
      </c>
      <c r="BZ34" s="13">
        <f>BY34*VLOOKUP('Données projet'!$B$12,Paramètres!$A$1:$I$89,3,0)*VLOOKUP('Données projet'!$B$12,Paramètres!$A$1:$I$89,5,0)</f>
        <v>134.02681294736834</v>
      </c>
      <c r="CA34" s="13">
        <f t="shared" si="39"/>
        <v>34.925179158103305</v>
      </c>
      <c r="CB34" s="20">
        <f t="shared" si="10"/>
        <v>294.25805291702977</v>
      </c>
      <c r="CC34" s="59">
        <f t="shared" si="11"/>
        <v>587.59138625036303</v>
      </c>
      <c r="CD34" s="59">
        <f ca="1">AVERAGE(OFFSET($CC$3,0,0,'Données projet'!$E$12+1,1))-AVERAGE(OFFSET($H$3,0,0,'Données projet'!$E$12+1,1))</f>
        <v>502.65044103360322</v>
      </c>
      <c r="CE34" s="59">
        <f t="shared" si="40"/>
        <v>321.65762891855167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4.6153846153846132</v>
      </c>
      <c r="N35" s="13">
        <f>IF('Données projet'!$A$36&gt;35,N34+M35-V34,IF(A35&lt;'Données projet'!$A$36,$K$205^A35,IF(A35='Données projet'!$A$36,'Données projet'!$B$36,N34+M35-V34)))</f>
        <v>72.692307692307679</v>
      </c>
      <c r="O35" s="13">
        <f>N35*VLOOKUP('Données projet'!$B$9,Paramètres!$A$1:$I$89,3,0)*VLOOKUP('Données projet'!$B$9,Paramètres!$A$1:$I$89,5,0)</f>
        <v>75.977999999999994</v>
      </c>
      <c r="P35" s="13">
        <f t="shared" si="33"/>
        <v>21.150851474041477</v>
      </c>
      <c r="Q35" s="20">
        <f t="shared" ref="Q35:Q66" si="53">(O35+P35)*0.475*44/12</f>
        <v>169.16608298395553</v>
      </c>
      <c r="R35" s="59">
        <f t="shared" si="0"/>
        <v>462.49941631728882</v>
      </c>
      <c r="S35" s="59">
        <f ca="1">AVERAGE(OFFSET($R$3,0,0,'Données projet'!$E$9+1,1))-AVERAGE(OFFSET($H$3,0,0,'Données projet'!$E$9+1,1))</f>
        <v>239.26156489359892</v>
      </c>
      <c r="T35" s="59">
        <f t="shared" si="34"/>
        <v>213.97034450798111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8.7812571287262511</v>
      </c>
      <c r="AB35" s="21">
        <f>EXP(-LN(2)/2)*AB34+(1-EXP(-LN(2)/2))/(LN(2)/2)*V35*Y35*VLOOKUP('Données projet'!$B$9,Paramètres!$A$1:$I$89,3,0)*0.475*44/12</f>
        <v>0</v>
      </c>
      <c r="AC35" s="22">
        <f t="shared" si="3"/>
        <v>8.7812571287262511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4.5856818181818184</v>
      </c>
      <c r="AI35" s="13">
        <f>IF('Données projet'!$A$62&gt;35,AI34+AH35-AQ34,IF(A35&lt;'Données projet'!$A$62,$AF$205^A35,IF(A35='Données projet'!$A$62,'Données projet'!$B$62,AI34+AH35-AQ34)))</f>
        <v>146.7418181818183</v>
      </c>
      <c r="AJ35" s="13">
        <f>AI35*VLOOKUP('Données projet'!$B$10,Paramètres!$A$1:$I$89,3,0)*VLOOKUP('Données projet'!$B$10,Paramètres!$A$1:$I$89,5,0)</f>
        <v>148.79620363636377</v>
      </c>
      <c r="AK35" s="13">
        <f t="shared" si="35"/>
        <v>38.304890418552368</v>
      </c>
      <c r="AL35" s="20">
        <f t="shared" si="4"/>
        <v>325.86773881231227</v>
      </c>
      <c r="AM35" s="59">
        <f t="shared" si="5"/>
        <v>619.20107214564564</v>
      </c>
      <c r="AN35" s="59">
        <f ca="1">AVERAGE(OFFSET($AM$3,0,0,'Données projet'!$E$10+1,1))-AVERAGE(OFFSET($H$3,0,0,'Données projet'!$E$10+1,1))</f>
        <v>543.88440431478944</v>
      </c>
      <c r="AO35" s="59">
        <f t="shared" si="36"/>
        <v>342.63929463709457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3.3603333333333336</v>
      </c>
      <c r="BD35" s="12">
        <f>IF('Données projet'!$A$88&gt;35,BD34+BC35-BL34,IF(A35&lt;'Données projet'!$A$88,$BA$205^A35,IF(A35='Données projet'!$A$88,'Données projet'!$B$88,BD34+BC35-BL34)))</f>
        <v>107.53066666666666</v>
      </c>
      <c r="BE35" s="13">
        <f>BD35*VLOOKUP('Données projet'!$B$11,Paramètres!$A$1:$I$89,3,0)*VLOOKUP('Données projet'!$B$11,Paramètres!$A$1:$I$89,5,0)</f>
        <v>122.45592319999999</v>
      </c>
      <c r="BF35" s="13">
        <f t="shared" si="37"/>
        <v>32.247125910842406</v>
      </c>
      <c r="BG35" s="20">
        <f t="shared" si="7"/>
        <v>269.44114386805046</v>
      </c>
      <c r="BH35" s="59">
        <f t="shared" si="8"/>
        <v>562.77447720138377</v>
      </c>
      <c r="BI35" s="59">
        <f ca="1">AVERAGE(OFFSET($BH$3,0,0,'Données projet'!$E$11+1,1))-AVERAGE(OFFSET($H$3,0,0,'Données projet'!$E$11+1,1))</f>
        <v>593.28343396240075</v>
      </c>
      <c r="BJ35" s="59">
        <f t="shared" si="38"/>
        <v>289.66477662068695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4.016578947368421</v>
      </c>
      <c r="BY35" s="12">
        <f>IF('Données projet'!$A$114&gt;35,BY34+BX35-CG34,IF(A35&lt;'Données projet'!$A$114,$BV$205^A35,IF(A35='Données projet'!$A$114,'Données projet'!$B$114,BY34+BX35-CG34)))</f>
        <v>128.53052631578942</v>
      </c>
      <c r="BZ35" s="13">
        <f>BY35*VLOOKUP('Données projet'!$B$12,Paramètres!$A$1:$I$89,3,0)*VLOOKUP('Données projet'!$B$12,Paramètres!$A$1:$I$89,5,0)</f>
        <v>138.35025852631571</v>
      </c>
      <c r="CA35" s="13">
        <f t="shared" si="39"/>
        <v>35.918812551914193</v>
      </c>
      <c r="CB35" s="20">
        <f t="shared" si="10"/>
        <v>303.51863212791704</v>
      </c>
      <c r="CC35" s="59">
        <f t="shared" si="11"/>
        <v>596.8519654612503</v>
      </c>
      <c r="CD35" s="59">
        <f ca="1">AVERAGE(OFFSET($CC$3,0,0,'Données projet'!$E$12+1,1))-AVERAGE(OFFSET($H$3,0,0,'Données projet'!$E$12+1,1))</f>
        <v>502.65044103360322</v>
      </c>
      <c r="CE35" s="59">
        <f t="shared" si="40"/>
        <v>321.65762891855167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4.6153846153846132</v>
      </c>
      <c r="N36" s="13">
        <f>IF('Données projet'!$A$36&gt;35,N35+M36-V35,IF(A36&lt;'Données projet'!$A$36,$K$205^A36,IF(A36='Données projet'!$A$36,'Données projet'!$B$36,N35+M36-V35)))</f>
        <v>77.307692307692292</v>
      </c>
      <c r="O36" s="13">
        <f>N36*VLOOKUP('Données projet'!$B$9,Paramètres!$A$1:$I$89,3,0)*VLOOKUP('Données projet'!$B$9,Paramètres!$A$1:$I$89,5,0)</f>
        <v>80.801999999999992</v>
      </c>
      <c r="P36" s="13">
        <f t="shared" si="33"/>
        <v>22.333163311057419</v>
      </c>
      <c r="Q36" s="20">
        <f t="shared" si="53"/>
        <v>179.62707610009167</v>
      </c>
      <c r="R36" s="59">
        <f t="shared" si="0"/>
        <v>472.96040943342496</v>
      </c>
      <c r="S36" s="59">
        <f ca="1">AVERAGE(OFFSET($R$3,0,0,'Données projet'!$E$9+1,1))-AVERAGE(OFFSET($H$3,0,0,'Données projet'!$E$9+1,1))</f>
        <v>239.26156489359892</v>
      </c>
      <c r="T36" s="59">
        <f t="shared" si="34"/>
        <v>213.97034450798111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8.541133190754989</v>
      </c>
      <c r="AB36" s="21">
        <f>EXP(-LN(2)/2)*AB35+(1-EXP(-LN(2)/2))/(LN(2)/2)*V36*Y36*VLOOKUP('Données projet'!$B$9,Paramètres!$A$1:$I$89,3,0)*0.475*44/12</f>
        <v>0</v>
      </c>
      <c r="AC36" s="22">
        <f t="shared" si="3"/>
        <v>8.541133190754989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4.5856818181818184</v>
      </c>
      <c r="AI36" s="13">
        <f>IF('Données projet'!$A$62&gt;35,AI35+AH36-AQ35,IF(A36&lt;'Données projet'!$A$62,$AF$205^A36,IF(A36='Données projet'!$A$62,'Données projet'!$B$62,AI35+AH36-AQ35)))</f>
        <v>151.32750000000013</v>
      </c>
      <c r="AJ36" s="13">
        <f>AI36*VLOOKUP('Données projet'!$B$10,Paramètres!$A$1:$I$89,3,0)*VLOOKUP('Données projet'!$B$10,Paramètres!$A$1:$I$89,5,0)</f>
        <v>153.44608500000015</v>
      </c>
      <c r="AK36" s="13">
        <f t="shared" si="35"/>
        <v>39.360682532628346</v>
      </c>
      <c r="AL36" s="20">
        <f t="shared" si="4"/>
        <v>335.80512011932797</v>
      </c>
      <c r="AM36" s="59">
        <f t="shared" si="5"/>
        <v>629.13845345266122</v>
      </c>
      <c r="AN36" s="59">
        <f ca="1">AVERAGE(OFFSET($AM$3,0,0,'Données projet'!$E$10+1,1))-AVERAGE(OFFSET($H$3,0,0,'Données projet'!$E$10+1,1))</f>
        <v>543.88440431478944</v>
      </c>
      <c r="AO36" s="59">
        <f t="shared" si="36"/>
        <v>342.63929463709457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3.3603333333333336</v>
      </c>
      <c r="BD36" s="12">
        <f>IF('Données projet'!$A$88&gt;35,BD35+BC36-BL35,IF(A36&lt;'Données projet'!$A$88,$BA$205^A36,IF(A36='Données projet'!$A$88,'Données projet'!$B$88,BD35+BC36-BL35)))</f>
        <v>110.89099999999999</v>
      </c>
      <c r="BE36" s="13">
        <f>BD36*VLOOKUP('Données projet'!$B$11,Paramètres!$A$1:$I$89,3,0)*VLOOKUP('Données projet'!$B$11,Paramètres!$A$1:$I$89,5,0)</f>
        <v>126.28267080000001</v>
      </c>
      <c r="BF36" s="13">
        <f t="shared" si="37"/>
        <v>33.135948744330882</v>
      </c>
      <c r="BG36" s="20">
        <f t="shared" si="7"/>
        <v>277.65409570637627</v>
      </c>
      <c r="BH36" s="59">
        <f t="shared" si="8"/>
        <v>570.98742903970958</v>
      </c>
      <c r="BI36" s="59">
        <f ca="1">AVERAGE(OFFSET($BH$3,0,0,'Données projet'!$E$11+1,1))-AVERAGE(OFFSET($H$3,0,0,'Données projet'!$E$11+1,1))</f>
        <v>593.28343396240075</v>
      </c>
      <c r="BJ36" s="59">
        <f t="shared" si="38"/>
        <v>289.66477662068695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4.016578947368421</v>
      </c>
      <c r="BY36" s="12">
        <f>IF('Données projet'!$A$114&gt;35,BY35+BX36-CG35,IF(A36&lt;'Données projet'!$A$114,$BV$205^A36,IF(A36='Données projet'!$A$114,'Données projet'!$B$114,BY35+BX36-CG35)))</f>
        <v>132.54710526315785</v>
      </c>
      <c r="BZ36" s="13">
        <f>BY36*VLOOKUP('Données projet'!$B$12,Paramètres!$A$1:$I$89,3,0)*VLOOKUP('Données projet'!$B$12,Paramètres!$A$1:$I$89,5,0)</f>
        <v>142.67370410526308</v>
      </c>
      <c r="CA36" s="13">
        <f t="shared" si="39"/>
        <v>36.908837549372954</v>
      </c>
      <c r="CB36" s="20">
        <f t="shared" si="10"/>
        <v>312.77292671515772</v>
      </c>
      <c r="CC36" s="59">
        <f t="shared" si="11"/>
        <v>606.10626004849109</v>
      </c>
      <c r="CD36" s="59">
        <f ca="1">AVERAGE(OFFSET($CC$3,0,0,'Données projet'!$E$12+1,1))-AVERAGE(OFFSET($H$3,0,0,'Données projet'!$E$12+1,1))</f>
        <v>502.65044103360322</v>
      </c>
      <c r="CE36" s="59">
        <f t="shared" si="40"/>
        <v>321.65762891855167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4.6153846153846132</v>
      </c>
      <c r="N37" s="13">
        <f>IF('Données projet'!$A$36&gt;35,N36+M37-V36,IF(A37&lt;'Données projet'!$A$36,$K$205^A37,IF(A37='Données projet'!$A$36,'Données projet'!$B$36,N36+M37-V36)))</f>
        <v>81.923076923076906</v>
      </c>
      <c r="O37" s="13">
        <f>N37*VLOOKUP('Données projet'!$B$9,Paramètres!$A$1:$I$89,3,0)*VLOOKUP('Données projet'!$B$9,Paramètres!$A$1:$I$89,5,0)</f>
        <v>85.625999999999991</v>
      </c>
      <c r="P37" s="13">
        <f t="shared" si="33"/>
        <v>23.507282308556064</v>
      </c>
      <c r="Q37" s="20">
        <f t="shared" si="53"/>
        <v>190.07380002073512</v>
      </c>
      <c r="R37" s="59">
        <f t="shared" si="0"/>
        <v>483.40713335406843</v>
      </c>
      <c r="S37" s="59">
        <f ca="1">AVERAGE(OFFSET($R$3,0,0,'Données projet'!$E$9+1,1))-AVERAGE(OFFSET($H$3,0,0,'Données projet'!$E$9+1,1))</f>
        <v>239.26156489359892</v>
      </c>
      <c r="T37" s="59">
        <f t="shared" si="34"/>
        <v>213.97034450798111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8.3075754544951206</v>
      </c>
      <c r="AB37" s="21">
        <f>EXP(-LN(2)/2)*AB36+(1-EXP(-LN(2)/2))/(LN(2)/2)*V37*Y37*VLOOKUP('Données projet'!$B$9,Paramètres!$A$1:$I$89,3,0)*0.475*44/12</f>
        <v>0</v>
      </c>
      <c r="AC37" s="22">
        <f t="shared" si="3"/>
        <v>8.3075754544951206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4.5856818181818184</v>
      </c>
      <c r="AI37" s="13">
        <f>IF('Données projet'!$A$62&gt;35,AI36+AH37-AQ36,IF(A37&lt;'Données projet'!$A$62,$AF$205^A37,IF(A37='Données projet'!$A$62,'Données projet'!$B$62,AI36+AH37-AQ36)))</f>
        <v>155.91318181818195</v>
      </c>
      <c r="AJ37" s="13">
        <f>AI37*VLOOKUP('Données projet'!$B$10,Paramètres!$A$1:$I$89,3,0)*VLOOKUP('Données projet'!$B$10,Paramètres!$A$1:$I$89,5,0)</f>
        <v>158.09596636363651</v>
      </c>
      <c r="AK37" s="13">
        <f t="shared" si="35"/>
        <v>40.412756538928058</v>
      </c>
      <c r="AL37" s="20">
        <f t="shared" si="4"/>
        <v>345.7360257219666</v>
      </c>
      <c r="AM37" s="59">
        <f t="shared" si="5"/>
        <v>639.06935905529986</v>
      </c>
      <c r="AN37" s="59">
        <f ca="1">AVERAGE(OFFSET($AM$3,0,0,'Données projet'!$E$10+1,1))-AVERAGE(OFFSET($H$3,0,0,'Données projet'!$E$10+1,1))</f>
        <v>543.88440431478944</v>
      </c>
      <c r="AO37" s="59">
        <f t="shared" si="36"/>
        <v>342.63929463709457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3.3603333333333336</v>
      </c>
      <c r="BD37" s="12">
        <f>IF('Données projet'!$A$88&gt;35,BD36+BC37-BL36,IF(A37&lt;'Données projet'!$A$88,$BA$205^A37,IF(A37='Données projet'!$A$88,'Données projet'!$B$88,BD36+BC37-BL36)))</f>
        <v>114.25133333333332</v>
      </c>
      <c r="BE37" s="13">
        <f>BD37*VLOOKUP('Données projet'!$B$11,Paramètres!$A$1:$I$89,3,0)*VLOOKUP('Données projet'!$B$11,Paramètres!$A$1:$I$89,5,0)</f>
        <v>130.10941839999998</v>
      </c>
      <c r="BF37" s="13">
        <f t="shared" si="37"/>
        <v>34.021641473848256</v>
      </c>
      <c r="BG37" s="20">
        <f t="shared" si="7"/>
        <v>285.86159594695238</v>
      </c>
      <c r="BH37" s="59">
        <f t="shared" si="8"/>
        <v>579.19492928028569</v>
      </c>
      <c r="BI37" s="59">
        <f ca="1">AVERAGE(OFFSET($BH$3,0,0,'Données projet'!$E$11+1,1))-AVERAGE(OFFSET($H$3,0,0,'Données projet'!$E$11+1,1))</f>
        <v>593.28343396240075</v>
      </c>
      <c r="BJ37" s="59">
        <f t="shared" si="38"/>
        <v>289.66477662068695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4.016578947368421</v>
      </c>
      <c r="BY37" s="12">
        <f>IF('Données projet'!$A$114&gt;35,BY36+BX37-CG36,IF(A37&lt;'Données projet'!$A$114,$BV$205^A37,IF(A37='Données projet'!$A$114,'Données projet'!$B$114,BY36+BX37-CG36)))</f>
        <v>136.56368421052628</v>
      </c>
      <c r="BZ37" s="13">
        <f>BY37*VLOOKUP('Données projet'!$B$12,Paramètres!$A$1:$I$89,3,0)*VLOOKUP('Données projet'!$B$12,Paramètres!$A$1:$I$89,5,0)</f>
        <v>146.99714968421048</v>
      </c>
      <c r="CA37" s="13">
        <f t="shared" si="39"/>
        <v>37.895376046418704</v>
      </c>
      <c r="CB37" s="20">
        <f t="shared" si="10"/>
        <v>322.02114898084585</v>
      </c>
      <c r="CC37" s="59">
        <f t="shared" si="11"/>
        <v>615.35448231417922</v>
      </c>
      <c r="CD37" s="59">
        <f ca="1">AVERAGE(OFFSET($CC$3,0,0,'Données projet'!$E$12+1,1))-AVERAGE(OFFSET($H$3,0,0,'Données projet'!$E$12+1,1))</f>
        <v>502.65044103360322</v>
      </c>
      <c r="CE37" s="59">
        <f t="shared" si="40"/>
        <v>321.65762891855167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86.538461538461533</v>
      </c>
      <c r="L38" s="12">
        <f>VLOOKUP(A38,'Données projet'!$A$35:$I$55,9,0)</f>
        <v>4.6153846153846132</v>
      </c>
      <c r="M38" s="12">
        <f t="array" ref="M38">INDEX(L:L,MIN(IF(ISNUMBER(L38:L234),ROW(L38:L234),"")))</f>
        <v>4.6153846153846132</v>
      </c>
      <c r="N38" s="13">
        <f>IF('Données projet'!$A$36&gt;35,N37+M38-V37,IF(A38&lt;'Données projet'!$A$36,$K$205^A38,IF(A38='Données projet'!$A$36,'Données projet'!$B$36,N37+M38-V37)))</f>
        <v>86.538461538461519</v>
      </c>
      <c r="O38" s="13">
        <f>N38*VLOOKUP('Données projet'!$B$9,Paramètres!$A$1:$I$89,3,0)*VLOOKUP('Données projet'!$B$9,Paramètres!$A$1:$I$89,5,0)</f>
        <v>90.449999999999989</v>
      </c>
      <c r="P38" s="13">
        <f t="shared" si="33"/>
        <v>24.673722634554377</v>
      </c>
      <c r="Q38" s="20">
        <f t="shared" si="53"/>
        <v>200.50715025518218</v>
      </c>
      <c r="R38" s="59">
        <f t="shared" si="0"/>
        <v>493.8404835885155</v>
      </c>
      <c r="S38" s="59">
        <f ca="1">AVERAGE(OFFSET($R$3,0,0,'Données projet'!$E$9+1,1))-AVERAGE(OFFSET($H$3,0,0,'Données projet'!$E$9+1,1))</f>
        <v>239.26156489359892</v>
      </c>
      <c r="T38" s="59">
        <f t="shared" si="34"/>
        <v>213.97034450798111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12.820512820512819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0.215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11.252724522259671</v>
      </c>
      <c r="AB38" s="21">
        <f>EXP(-LN(2)/2)*AB37+(1-EXP(-LN(2)/2))/(LN(2)/2)*V38*Y38*VLOOKUP('Données projet'!$B$9,Paramètres!$A$1:$I$89,3,0)*0.475*44/12</f>
        <v>0</v>
      </c>
      <c r="AC38" s="22">
        <f t="shared" si="3"/>
        <v>11.252724522259671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4.5856818181818184</v>
      </c>
      <c r="AI38" s="13">
        <f>IF('Données projet'!$A$62&gt;35,AI37+AH38-AQ37,IF(A38&lt;'Données projet'!$A$62,$AF$205^A38,IF(A38='Données projet'!$A$62,'Données projet'!$B$62,AI37+AH38-AQ37)))</f>
        <v>160.49886363636378</v>
      </c>
      <c r="AJ38" s="13">
        <f>AI38*VLOOKUP('Données projet'!$B$10,Paramètres!$A$1:$I$89,3,0)*VLOOKUP('Données projet'!$B$10,Paramètres!$A$1:$I$89,5,0)</f>
        <v>162.74584772727289</v>
      </c>
      <c r="AK38" s="13">
        <f t="shared" si="35"/>
        <v>41.461234349504345</v>
      </c>
      <c r="AL38" s="20">
        <f t="shared" si="4"/>
        <v>355.66066795038699</v>
      </c>
      <c r="AM38" s="59">
        <f t="shared" si="5"/>
        <v>648.99400128372031</v>
      </c>
      <c r="AN38" s="59">
        <f ca="1">AVERAGE(OFFSET($AM$3,0,0,'Données projet'!$E$10+1,1))-AVERAGE(OFFSET($H$3,0,0,'Données projet'!$E$10+1,1))</f>
        <v>543.88440431478944</v>
      </c>
      <c r="AO38" s="59">
        <f t="shared" si="36"/>
        <v>342.63929463709457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3.3603333333333336</v>
      </c>
      <c r="BD38" s="12">
        <f>IF('Données projet'!$A$88&gt;35,BD37+BC38-BL37,IF(A38&lt;'Données projet'!$A$88,$BA$205^A38,IF(A38='Données projet'!$A$88,'Données projet'!$B$88,BD37+BC38-BL37)))</f>
        <v>117.61166666666665</v>
      </c>
      <c r="BE38" s="13">
        <f>BD38*VLOOKUP('Données projet'!$B$11,Paramètres!$A$1:$I$89,3,0)*VLOOKUP('Données projet'!$B$11,Paramètres!$A$1:$I$89,5,0)</f>
        <v>133.93616599999999</v>
      </c>
      <c r="BF38" s="13">
        <f t="shared" si="37"/>
        <v>34.904306731546029</v>
      </c>
      <c r="BG38" s="20">
        <f t="shared" si="7"/>
        <v>294.06382334077597</v>
      </c>
      <c r="BH38" s="59">
        <f t="shared" si="8"/>
        <v>587.39715667410928</v>
      </c>
      <c r="BI38" s="59">
        <f ca="1">AVERAGE(OFFSET($BH$3,0,0,'Données projet'!$E$11+1,1))-AVERAGE(OFFSET($H$3,0,0,'Données projet'!$E$11+1,1))</f>
        <v>593.28343396240075</v>
      </c>
      <c r="BJ38" s="59">
        <f t="shared" si="38"/>
        <v>289.66477662068695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4.016578947368421</v>
      </c>
      <c r="BY38" s="12">
        <f>IF('Données projet'!$A$114&gt;35,BY37+BX38-CG37,IF(A38&lt;'Données projet'!$A$114,$BV$205^A38,IF(A38='Données projet'!$A$114,'Données projet'!$B$114,BY37+BX38-CG37)))</f>
        <v>140.58026315789471</v>
      </c>
      <c r="BZ38" s="13">
        <f>BY38*VLOOKUP('Données projet'!$B$12,Paramètres!$A$1:$I$89,3,0)*VLOOKUP('Données projet'!$B$12,Paramètres!$A$1:$I$89,5,0)</f>
        <v>151.32059526315786</v>
      </c>
      <c r="CA38" s="13">
        <f t="shared" si="39"/>
        <v>38.878542360991709</v>
      </c>
      <c r="CB38" s="20">
        <f t="shared" si="10"/>
        <v>331.26349802872716</v>
      </c>
      <c r="CC38" s="59">
        <f t="shared" si="11"/>
        <v>624.59683136206047</v>
      </c>
      <c r="CD38" s="59">
        <f ca="1">AVERAGE(OFFSET($CC$3,0,0,'Données projet'!$E$12+1,1))-AVERAGE(OFFSET($H$3,0,0,'Données projet'!$E$12+1,1))</f>
        <v>502.65044103360322</v>
      </c>
      <c r="CE38" s="59">
        <f t="shared" si="40"/>
        <v>321.65762891855167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4.4871794871794863</v>
      </c>
      <c r="N39" s="13">
        <f>IF('Données projet'!$A$36&gt;35,N38+M39-V38,IF(A39&lt;'Données projet'!$A$36,$K$205^A39,IF(A39='Données projet'!$A$36,'Données projet'!$B$36,N38+M39-V38)))</f>
        <v>78.20512820512819</v>
      </c>
      <c r="O39" s="13">
        <f>N39*VLOOKUP('Données projet'!$B$9,Paramètres!$A$1:$I$89,3,0)*VLOOKUP('Données projet'!$B$9,Paramètres!$A$1:$I$89,5,0)</f>
        <v>81.739999999999995</v>
      </c>
      <c r="P39" s="13">
        <f t="shared" si="33"/>
        <v>22.56208894179845</v>
      </c>
      <c r="Q39" s="20">
        <f t="shared" si="53"/>
        <v>181.65947157363226</v>
      </c>
      <c r="R39" s="59">
        <f t="shared" si="0"/>
        <v>474.9928049069656</v>
      </c>
      <c r="S39" s="59">
        <f ca="1">AVERAGE(OFFSET($R$3,0,0,'Données projet'!$E$9+1,1))-AVERAGE(OFFSET($H$3,0,0,'Données projet'!$E$9+1,1))</f>
        <v>239.26156489359892</v>
      </c>
      <c r="T39" s="59">
        <f t="shared" si="34"/>
        <v>213.97034450798111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10.945018178443416</v>
      </c>
      <c r="AB39" s="21">
        <f>EXP(-LN(2)/2)*AB38+(1-EXP(-LN(2)/2))/(LN(2)/2)*V39*Y39*VLOOKUP('Données projet'!$B$9,Paramètres!$A$1:$I$89,3,0)*0.475*44/12</f>
        <v>0</v>
      </c>
      <c r="AC39" s="22">
        <f t="shared" si="3"/>
        <v>10.945018178443416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4.5856818181818184</v>
      </c>
      <c r="AI39" s="13">
        <f>IF('Données projet'!$A$62&gt;35,AI38+AH39-AQ38,IF(A39&lt;'Données projet'!$A$62,$AF$205^A39,IF(A39='Données projet'!$A$62,'Données projet'!$B$62,AI38+AH39-AQ38)))</f>
        <v>165.08454545454561</v>
      </c>
      <c r="AJ39" s="13">
        <f>AI39*VLOOKUP('Données projet'!$B$10,Paramètres!$A$1:$I$89,3,0)*VLOOKUP('Données projet'!$B$10,Paramètres!$A$1:$I$89,5,0)</f>
        <v>167.39572909090927</v>
      </c>
      <c r="AK39" s="13">
        <f t="shared" si="35"/>
        <v>42.506230513776089</v>
      </c>
      <c r="AL39" s="20">
        <f t="shared" si="4"/>
        <v>365.5792463114937</v>
      </c>
      <c r="AM39" s="59">
        <f t="shared" si="5"/>
        <v>658.91257964482702</v>
      </c>
      <c r="AN39" s="59">
        <f ca="1">AVERAGE(OFFSET($AM$3,0,0,'Données projet'!$E$10+1,1))-AVERAGE(OFFSET($H$3,0,0,'Données projet'!$E$10+1,1))</f>
        <v>543.88440431478944</v>
      </c>
      <c r="AO39" s="59">
        <f t="shared" si="36"/>
        <v>342.63929463709457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3.3603333333333336</v>
      </c>
      <c r="BD39" s="12">
        <f>IF('Données projet'!$A$88&gt;35,BD38+BC39-BL38,IF(A39&lt;'Données projet'!$A$88,$BA$205^A39,IF(A39='Données projet'!$A$88,'Données projet'!$B$88,BD38+BC39-BL38)))</f>
        <v>120.97199999999998</v>
      </c>
      <c r="BE39" s="13">
        <f>BD39*VLOOKUP('Données projet'!$B$11,Paramètres!$A$1:$I$89,3,0)*VLOOKUP('Données projet'!$B$11,Paramètres!$A$1:$I$89,5,0)</f>
        <v>137.76291359999996</v>
      </c>
      <c r="BF39" s="13">
        <f t="shared" si="37"/>
        <v>35.784040951312875</v>
      </c>
      <c r="BG39" s="20">
        <f t="shared" si="7"/>
        <v>302.26094584353649</v>
      </c>
      <c r="BH39" s="59">
        <f t="shared" si="8"/>
        <v>595.5942791768698</v>
      </c>
      <c r="BI39" s="59">
        <f ca="1">AVERAGE(OFFSET($BH$3,0,0,'Données projet'!$E$11+1,1))-AVERAGE(OFFSET($H$3,0,0,'Données projet'!$E$11+1,1))</f>
        <v>593.28343396240075</v>
      </c>
      <c r="BJ39" s="59">
        <f t="shared" si="38"/>
        <v>289.66477662068695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4.016578947368421</v>
      </c>
      <c r="BY39" s="12">
        <f>IF('Données projet'!$A$114&gt;35,BY38+BX39-CG38,IF(A39&lt;'Données projet'!$A$114,$BV$205^A39,IF(A39='Données projet'!$A$114,'Données projet'!$B$114,BY38+BX39-CG38)))</f>
        <v>144.59684210526314</v>
      </c>
      <c r="BZ39" s="13">
        <f>BY39*VLOOKUP('Données projet'!$B$12,Paramètres!$A$1:$I$89,3,0)*VLOOKUP('Données projet'!$B$12,Paramètres!$A$1:$I$89,5,0)</f>
        <v>155.64404084210523</v>
      </c>
      <c r="CA39" s="13">
        <f t="shared" si="39"/>
        <v>39.858443907029468</v>
      </c>
      <c r="CB39" s="20">
        <f t="shared" si="10"/>
        <v>340.50016093807625</v>
      </c>
      <c r="CC39" s="59">
        <f t="shared" si="11"/>
        <v>633.83349427140956</v>
      </c>
      <c r="CD39" s="59">
        <f ca="1">AVERAGE(OFFSET($CC$3,0,0,'Données projet'!$E$12+1,1))-AVERAGE(OFFSET($H$3,0,0,'Données projet'!$E$12+1,1))</f>
        <v>502.65044103360322</v>
      </c>
      <c r="CE39" s="59">
        <f t="shared" si="40"/>
        <v>321.65762891855167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4.4871794871794863</v>
      </c>
      <c r="N40" s="13">
        <f>IF('Données projet'!$A$36&gt;35,N39+M40-V39,IF(A40&lt;'Données projet'!$A$36,$K$205^A40,IF(A40='Données projet'!$A$36,'Données projet'!$B$36,N39+M40-V39)))</f>
        <v>82.692307692307679</v>
      </c>
      <c r="O40" s="13">
        <f>N40*VLOOKUP('Données projet'!$B$9,Paramètres!$A$1:$I$89,3,0)*VLOOKUP('Données projet'!$B$9,Paramètres!$A$1:$I$89,5,0)</f>
        <v>86.429999999999993</v>
      </c>
      <c r="P40" s="13">
        <f t="shared" si="33"/>
        <v>23.702209286798929</v>
      </c>
      <c r="Q40" s="20">
        <f t="shared" si="53"/>
        <v>191.81359784117478</v>
      </c>
      <c r="R40" s="59">
        <f t="shared" si="0"/>
        <v>485.1469311745081</v>
      </c>
      <c r="S40" s="59">
        <f ca="1">AVERAGE(OFFSET($R$3,0,0,'Données projet'!$E$9+1,1))-AVERAGE(OFFSET($H$3,0,0,'Données projet'!$E$9+1,1))</f>
        <v>239.26156489359892</v>
      </c>
      <c r="T40" s="59">
        <f t="shared" si="34"/>
        <v>213.97034450798111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10.64572608078039</v>
      </c>
      <c r="AB40" s="21">
        <f>EXP(-LN(2)/2)*AB39+(1-EXP(-LN(2)/2))/(LN(2)/2)*V40*Y40*VLOOKUP('Données projet'!$B$9,Paramètres!$A$1:$I$89,3,0)*0.475*44/12</f>
        <v>0</v>
      </c>
      <c r="AC40" s="22">
        <f t="shared" si="3"/>
        <v>10.64572608078039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4.5856818181818184</v>
      </c>
      <c r="AI40" s="13">
        <f>IF('Données projet'!$A$62&gt;35,AI39+AH40-AQ39,IF(A40&lt;'Données projet'!$A$62,$AF$205^A40,IF(A40='Données projet'!$A$62,'Données projet'!$B$62,AI39+AH40-AQ39)))</f>
        <v>169.67022727272743</v>
      </c>
      <c r="AJ40" s="13">
        <f>AI40*VLOOKUP('Données projet'!$B$10,Paramètres!$A$1:$I$89,3,0)*VLOOKUP('Données projet'!$B$10,Paramètres!$A$1:$I$89,5,0)</f>
        <v>172.04561045454562</v>
      </c>
      <c r="AK40" s="13">
        <f t="shared" si="35"/>
        <v>43.547852855189419</v>
      </c>
      <c r="AL40" s="20">
        <f t="shared" si="4"/>
        <v>375.49194859778851</v>
      </c>
      <c r="AM40" s="59">
        <f t="shared" si="5"/>
        <v>668.82528193112182</v>
      </c>
      <c r="AN40" s="59">
        <f ca="1">AVERAGE(OFFSET($AM$3,0,0,'Données projet'!$E$10+1,1))-AVERAGE(OFFSET($H$3,0,0,'Données projet'!$E$10+1,1))</f>
        <v>543.88440431478944</v>
      </c>
      <c r="AO40" s="59">
        <f t="shared" si="36"/>
        <v>342.63929463709457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3.3603333333333336</v>
      </c>
      <c r="BD40" s="12">
        <f>IF('Données projet'!$A$88&gt;35,BD39+BC40-BL39,IF(A40&lt;'Données projet'!$A$88,$BA$205^A40,IF(A40='Données projet'!$A$88,'Données projet'!$B$88,BD39+BC40-BL39)))</f>
        <v>124.33233333333331</v>
      </c>
      <c r="BE40" s="13">
        <f>BD40*VLOOKUP('Données projet'!$B$11,Paramètres!$A$1:$I$89,3,0)*VLOOKUP('Données projet'!$B$11,Paramètres!$A$1:$I$89,5,0)</f>
        <v>141.58966119999997</v>
      </c>
      <c r="BF40" s="13">
        <f t="shared" si="37"/>
        <v>36.66093490475005</v>
      </c>
      <c r="BG40" s="20">
        <f t="shared" si="7"/>
        <v>310.45312154910624</v>
      </c>
      <c r="BH40" s="59">
        <f t="shared" si="8"/>
        <v>603.78645488243956</v>
      </c>
      <c r="BI40" s="59">
        <f ca="1">AVERAGE(OFFSET($BH$3,0,0,'Données projet'!$E$11+1,1))-AVERAGE(OFFSET($H$3,0,0,'Données projet'!$E$11+1,1))</f>
        <v>593.28343396240075</v>
      </c>
      <c r="BJ40" s="59">
        <f t="shared" si="38"/>
        <v>289.66477662068695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4.016578947368421</v>
      </c>
      <c r="BY40" s="12">
        <f>IF('Données projet'!$A$114&gt;35,BY39+BX40-CG39,IF(A40&lt;'Données projet'!$A$114,$BV$205^A40,IF(A40='Données projet'!$A$114,'Données projet'!$B$114,BY39+BX40-CG39)))</f>
        <v>148.61342105263157</v>
      </c>
      <c r="BZ40" s="13">
        <f>BY40*VLOOKUP('Données projet'!$B$12,Paramètres!$A$1:$I$89,3,0)*VLOOKUP('Données projet'!$B$12,Paramètres!$A$1:$I$89,5,0)</f>
        <v>159.96748642105263</v>
      </c>
      <c r="CA40" s="13">
        <f t="shared" si="39"/>
        <v>40.835181791469168</v>
      </c>
      <c r="CB40" s="20">
        <f t="shared" si="10"/>
        <v>349.73131380347536</v>
      </c>
      <c r="CC40" s="59">
        <f t="shared" si="11"/>
        <v>643.06464713680862</v>
      </c>
      <c r="CD40" s="59">
        <f ca="1">AVERAGE(OFFSET($CC$3,0,0,'Données projet'!$E$12+1,1))-AVERAGE(OFFSET($H$3,0,0,'Données projet'!$E$12+1,1))</f>
        <v>502.65044103360322</v>
      </c>
      <c r="CE40" s="59">
        <f t="shared" si="40"/>
        <v>321.65762891855167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4.4871794871794863</v>
      </c>
      <c r="N41" s="13">
        <f>IF('Données projet'!$A$36&gt;35,N40+M41-V40,IF(A41&lt;'Données projet'!$A$36,$K$205^A41,IF(A41='Données projet'!$A$36,'Données projet'!$B$36,N40+M41-V40)))</f>
        <v>87.179487179487168</v>
      </c>
      <c r="O41" s="13">
        <f>N41*VLOOKUP('Données projet'!$B$9,Paramètres!$A$1:$I$89,3,0)*VLOOKUP('Données projet'!$B$9,Paramètres!$A$1:$I$89,5,0)</f>
        <v>91.12</v>
      </c>
      <c r="P41" s="13">
        <f t="shared" si="33"/>
        <v>24.835147287678563</v>
      </c>
      <c r="Q41" s="20">
        <f t="shared" si="53"/>
        <v>201.95521485937351</v>
      </c>
      <c r="R41" s="59">
        <f t="shared" si="0"/>
        <v>495.2885481927068</v>
      </c>
      <c r="S41" s="59">
        <f ca="1">AVERAGE(OFFSET($R$3,0,0,'Données projet'!$E$9+1,1))-AVERAGE(OFFSET($H$3,0,0,'Données projet'!$E$9+1,1))</f>
        <v>239.26156489359892</v>
      </c>
      <c r="T41" s="59">
        <f t="shared" si="34"/>
        <v>213.97034450798111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10.354618141267046</v>
      </c>
      <c r="AB41" s="21">
        <f>EXP(-LN(2)/2)*AB40+(1-EXP(-LN(2)/2))/(LN(2)/2)*V41*Y41*VLOOKUP('Données projet'!$B$9,Paramètres!$A$1:$I$89,3,0)*0.475*44/12</f>
        <v>0</v>
      </c>
      <c r="AC41" s="22">
        <f t="shared" si="3"/>
        <v>10.354618141267046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4.5856818181818184</v>
      </c>
      <c r="AI41" s="13">
        <f>IF('Données projet'!$A$62&gt;35,AI40+AH41-AQ40,IF(A41&lt;'Données projet'!$A$62,$AF$205^A41,IF(A41='Données projet'!$A$62,'Données projet'!$B$62,AI40+AH41-AQ40)))</f>
        <v>174.25590909090926</v>
      </c>
      <c r="AJ41" s="13">
        <f>AI41*VLOOKUP('Données projet'!$B$10,Paramètres!$A$1:$I$89,3,0)*VLOOKUP('Données projet'!$B$10,Paramètres!$A$1:$I$89,5,0)</f>
        <v>176.69549181818198</v>
      </c>
      <c r="AK41" s="13">
        <f t="shared" si="35"/>
        <v>44.586203037114942</v>
      </c>
      <c r="AL41" s="20">
        <f t="shared" si="4"/>
        <v>385.39895187297543</v>
      </c>
      <c r="AM41" s="59">
        <f t="shared" si="5"/>
        <v>678.73228520630869</v>
      </c>
      <c r="AN41" s="59">
        <f ca="1">AVERAGE(OFFSET($AM$3,0,0,'Données projet'!$E$10+1,1))-AVERAGE(OFFSET($H$3,0,0,'Données projet'!$E$10+1,1))</f>
        <v>543.88440431478944</v>
      </c>
      <c r="AO41" s="59">
        <f t="shared" si="36"/>
        <v>342.63929463709457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3.3603333333333336</v>
      </c>
      <c r="BD41" s="12">
        <f>IF('Données projet'!$A$88&gt;35,BD40+BC41-BL40,IF(A41&lt;'Données projet'!$A$88,$BA$205^A41,IF(A41='Données projet'!$A$88,'Données projet'!$B$88,BD40+BC41-BL40)))</f>
        <v>127.69266666666664</v>
      </c>
      <c r="BE41" s="13">
        <f>BD41*VLOOKUP('Données projet'!$B$11,Paramètres!$A$1:$I$89,3,0)*VLOOKUP('Données projet'!$B$11,Paramètres!$A$1:$I$89,5,0)</f>
        <v>145.41640879999997</v>
      </c>
      <c r="BF41" s="13">
        <f t="shared" si="37"/>
        <v>37.535074177574629</v>
      </c>
      <c r="BG41" s="20">
        <f t="shared" si="7"/>
        <v>318.64049951927569</v>
      </c>
      <c r="BH41" s="59">
        <f t="shared" si="8"/>
        <v>611.97383285260901</v>
      </c>
      <c r="BI41" s="59">
        <f ca="1">AVERAGE(OFFSET($BH$3,0,0,'Données projet'!$E$11+1,1))-AVERAGE(OFFSET($H$3,0,0,'Données projet'!$E$11+1,1))</f>
        <v>593.28343396240075</v>
      </c>
      <c r="BJ41" s="59">
        <f t="shared" si="38"/>
        <v>289.66477662068695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>
        <f>VLOOKUP(A41,'Données projet'!$A$113:$I$133,2,0)</f>
        <v>152.63</v>
      </c>
      <c r="BW41" s="12">
        <f>VLOOKUP(A41,'Données projet'!$A$113:$I$133,9,0)</f>
        <v>4.016578947368421</v>
      </c>
      <c r="BX41" s="12">
        <f t="array" ref="BX41">INDEX(BW:BW,MIN(IF(ISNUMBER(BW41:BW237),ROW(BW41:BW237),"")))</f>
        <v>4.016578947368421</v>
      </c>
      <c r="BY41" s="12">
        <f>IF('Données projet'!$A$114&gt;35,BY40+BX41-CG40,IF(A41&lt;'Données projet'!$A$114,$BV$205^A41,IF(A41='Données projet'!$A$114,'Données projet'!$B$114,BY40+BX41-CG40)))</f>
        <v>152.63</v>
      </c>
      <c r="BZ41" s="13">
        <f>BY41*VLOOKUP('Données projet'!$B$12,Paramètres!$A$1:$I$89,3,0)*VLOOKUP('Données projet'!$B$12,Paramètres!$A$1:$I$89,5,0)</f>
        <v>164.290932</v>
      </c>
      <c r="CA41" s="13">
        <f t="shared" si="39"/>
        <v>41.808851344894258</v>
      </c>
      <c r="CB41" s="20">
        <f t="shared" si="10"/>
        <v>358.95712265902421</v>
      </c>
      <c r="CC41" s="59">
        <f t="shared" si="11"/>
        <v>652.29045599235747</v>
      </c>
      <c r="CD41" s="59">
        <f ca="1">AVERAGE(OFFSET($CC$3,0,0,'Données projet'!$E$12+1,1))-AVERAGE(OFFSET($H$3,0,0,'Données projet'!$E$12+1,1))</f>
        <v>502.65044103360322</v>
      </c>
      <c r="CE41" s="59">
        <f t="shared" si="40"/>
        <v>321.65762891855167</v>
      </c>
      <c r="CF41" s="15">
        <f>IF(ISNA(VLOOKUP(A41,'Données projet'!$A$113:$I$133,3,0)),0,VLOOKUP(A41,'Données projet'!$A$113:$I$133,3,0))</f>
        <v>1</v>
      </c>
      <c r="CG41" s="15">
        <f>IF(ISNA(VLOOKUP(A41,'Données projet'!$A$113:$I$133,4,0)),0,VLOOKUP(A41,'Données projet'!$A$113:$I$133,4,0))</f>
        <v>71.569999999999993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0.34400000000000003</v>
      </c>
      <c r="CJ41" s="16">
        <f>IF(ISNA(VLOOKUP(A41,'Données projet'!$A$113:$I$133,7,0)),0%,VLOOKUP(A41,'Données projet'!$A$113:$I$133,7,0))</f>
        <v>0.2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29.180780319338094</v>
      </c>
      <c r="CM41" s="21">
        <f>EXP(-LN(2)/2)*CM40+(1-EXP(-LN(2)/2))/(LN(2)/2)*CG41*CJ41*VLOOKUP('Données projet'!$B$12,Paramètres!$A$1:$I$89,3,0)*0.475*44/12</f>
        <v>14.537475476794066</v>
      </c>
      <c r="CN41" s="22">
        <f t="shared" si="12"/>
        <v>43.718255796132162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4.4871794871794863</v>
      </c>
      <c r="N42" s="13">
        <f>IF('Données projet'!$A$36&gt;35,N41+M42-V41,IF(A42&lt;'Données projet'!$A$36,$K$205^A42,IF(A42='Données projet'!$A$36,'Données projet'!$B$36,N41+M42-V41)))</f>
        <v>91.666666666666657</v>
      </c>
      <c r="O42" s="13">
        <f>N42*VLOOKUP('Données projet'!$B$9,Paramètres!$A$1:$I$89,3,0)*VLOOKUP('Données projet'!$B$9,Paramètres!$A$1:$I$89,5,0)</f>
        <v>95.81</v>
      </c>
      <c r="P42" s="13">
        <f t="shared" si="33"/>
        <v>25.961314793499493</v>
      </c>
      <c r="Q42" s="20">
        <f t="shared" si="53"/>
        <v>212.08503993201165</v>
      </c>
      <c r="R42" s="59">
        <f t="shared" si="0"/>
        <v>505.41837326534494</v>
      </c>
      <c r="S42" s="59">
        <f ca="1">AVERAGE(OFFSET($R$3,0,0,'Données projet'!$E$9+1,1))-AVERAGE(OFFSET($H$3,0,0,'Données projet'!$E$9+1,1))</f>
        <v>239.26156489359892</v>
      </c>
      <c r="T42" s="59">
        <f t="shared" si="34"/>
        <v>213.97034450798111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10.071470563668397</v>
      </c>
      <c r="AB42" s="21">
        <f>EXP(-LN(2)/2)*AB41+(1-EXP(-LN(2)/2))/(LN(2)/2)*V42*Y42*VLOOKUP('Données projet'!$B$9,Paramètres!$A$1:$I$89,3,0)*0.475*44/12</f>
        <v>0</v>
      </c>
      <c r="AC42" s="22">
        <f t="shared" si="3"/>
        <v>10.071470563668397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4.5856818181818184</v>
      </c>
      <c r="AI42" s="13">
        <f>IF('Données projet'!$A$62&gt;35,AI41+AH42-AQ41,IF(A42&lt;'Données projet'!$A$62,$AF$205^A42,IF(A42='Données projet'!$A$62,'Données projet'!$B$62,AI41+AH42-AQ41)))</f>
        <v>178.84159090909108</v>
      </c>
      <c r="AJ42" s="13">
        <f>AI42*VLOOKUP('Données projet'!$B$10,Paramètres!$A$1:$I$89,3,0)*VLOOKUP('Données projet'!$B$10,Paramètres!$A$1:$I$89,5,0)</f>
        <v>181.34537318181836</v>
      </c>
      <c r="AK42" s="13">
        <f t="shared" si="35"/>
        <v>45.621377067501193</v>
      </c>
      <c r="AL42" s="20">
        <f t="shared" si="4"/>
        <v>395.3004233508982</v>
      </c>
      <c r="AM42" s="59">
        <f t="shared" si="5"/>
        <v>688.63375668423146</v>
      </c>
      <c r="AN42" s="59">
        <f ca="1">AVERAGE(OFFSET($AM$3,0,0,'Données projet'!$E$10+1,1))-AVERAGE(OFFSET($H$3,0,0,'Données projet'!$E$10+1,1))</f>
        <v>543.88440431478944</v>
      </c>
      <c r="AO42" s="59">
        <f t="shared" si="36"/>
        <v>342.63929463709457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3.3603333333333336</v>
      </c>
      <c r="BD42" s="12">
        <f>IF('Données projet'!$A$88&gt;35,BD41+BC42-BL41,IF(A42&lt;'Données projet'!$A$88,$BA$205^A42,IF(A42='Données projet'!$A$88,'Données projet'!$B$88,BD41+BC42-BL41)))</f>
        <v>131.05299999999997</v>
      </c>
      <c r="BE42" s="13">
        <f>BD42*VLOOKUP('Données projet'!$B$11,Paramètres!$A$1:$I$89,3,0)*VLOOKUP('Données projet'!$B$11,Paramètres!$A$1:$I$89,5,0)</f>
        <v>149.24315639999995</v>
      </c>
      <c r="BF42" s="13">
        <f t="shared" si="37"/>
        <v>38.406539594463815</v>
      </c>
      <c r="BG42" s="20">
        <f t="shared" si="7"/>
        <v>326.82322052369108</v>
      </c>
      <c r="BH42" s="59">
        <f t="shared" si="8"/>
        <v>620.15655385702439</v>
      </c>
      <c r="BI42" s="59">
        <f ca="1">AVERAGE(OFFSET($BH$3,0,0,'Données projet'!$E$11+1,1))-AVERAGE(OFFSET($H$3,0,0,'Données projet'!$E$11+1,1))</f>
        <v>593.28343396240075</v>
      </c>
      <c r="BJ42" s="59">
        <f t="shared" si="38"/>
        <v>289.66477662068695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9.8128571428571423</v>
      </c>
      <c r="BY42" s="12">
        <f>IF('Données projet'!$A$114&gt;35,BY41+BX42-CG41,IF(A42&lt;'Données projet'!$A$114,$BV$205^A42,IF(A42='Données projet'!$A$114,'Données projet'!$B$114,BY41+BX42-CG41)))</f>
        <v>90.872857142857157</v>
      </c>
      <c r="BZ42" s="13">
        <f>BY42*VLOOKUP('Données projet'!$B$12,Paramètres!$A$1:$I$89,3,0)*VLOOKUP('Données projet'!$B$12,Paramètres!$A$1:$I$89,5,0)</f>
        <v>97.815543428571445</v>
      </c>
      <c r="CA42" s="13">
        <f t="shared" si="39"/>
        <v>26.44091381797092</v>
      </c>
      <c r="CB42" s="20">
        <f t="shared" si="10"/>
        <v>216.41332970439461</v>
      </c>
      <c r="CC42" s="59">
        <f t="shared" si="11"/>
        <v>509.7466630377279</v>
      </c>
      <c r="CD42" s="59">
        <f ca="1">AVERAGE(OFFSET($CC$3,0,0,'Données projet'!$E$12+1,1))-AVERAGE(OFFSET($H$3,0,0,'Données projet'!$E$12+1,1))</f>
        <v>502.65044103360322</v>
      </c>
      <c r="CE42" s="59">
        <f t="shared" si="40"/>
        <v>321.65762891855167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28.382830346955249</v>
      </c>
      <c r="CM42" s="21">
        <f>EXP(-LN(2)/2)*CM41+(1-EXP(-LN(2)/2))/(LN(2)/2)*CG42*CJ42*VLOOKUP('Données projet'!$B$12,Paramètres!$A$1:$I$89,3,0)*0.475*44/12</f>
        <v>10.279547490974224</v>
      </c>
      <c r="CN42" s="22">
        <f t="shared" si="12"/>
        <v>38.662377837929469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96.153846153846146</v>
      </c>
      <c r="L43" s="12">
        <f>VLOOKUP(A43,'Données projet'!$A$35:$I$55,9,0)</f>
        <v>4.4871794871794863</v>
      </c>
      <c r="M43" s="12">
        <f t="array" ref="M43">INDEX(L:L,MIN(IF(ISNUMBER(L43:L239),ROW(L43:L239),"")))</f>
        <v>4.4871794871794863</v>
      </c>
      <c r="N43" s="13">
        <f>IF('Données projet'!$A$36&gt;35,N42+M43-V42,IF(A43&lt;'Données projet'!$A$36,$K$205^A43,IF(A43='Données projet'!$A$36,'Données projet'!$B$36,N42+M43-V42)))</f>
        <v>96.153846153846146</v>
      </c>
      <c r="O43" s="13">
        <f>N43*VLOOKUP('Données projet'!$B$9,Paramètres!$A$1:$I$89,3,0)*VLOOKUP('Données projet'!$B$9,Paramètres!$A$1:$I$89,5,0)</f>
        <v>100.5</v>
      </c>
      <c r="P43" s="13">
        <f t="shared" si="33"/>
        <v>27.081081054477867</v>
      </c>
      <c r="Q43" s="20">
        <f t="shared" si="53"/>
        <v>222.20371616988226</v>
      </c>
      <c r="R43" s="59">
        <f t="shared" si="0"/>
        <v>515.5370495032156</v>
      </c>
      <c r="S43" s="59">
        <f ca="1">AVERAGE(OFFSET($R$3,0,0,'Données projet'!$E$9+1,1))-AVERAGE(OFFSET($H$3,0,0,'Données projet'!$E$9+1,1))</f>
        <v>239.26156489359892</v>
      </c>
      <c r="T43" s="59">
        <f t="shared" si="34"/>
        <v>213.97034450798111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12.820512820512819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0.215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12.968385826913392</v>
      </c>
      <c r="AB43" s="21">
        <f>EXP(-LN(2)/2)*AB42+(1-EXP(-LN(2)/2))/(LN(2)/2)*V43*Y43*VLOOKUP('Données projet'!$B$9,Paramètres!$A$1:$I$89,3,0)*0.475*44/12</f>
        <v>0</v>
      </c>
      <c r="AC43" s="22">
        <f t="shared" si="3"/>
        <v>12.968385826913392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4.5856818181818184</v>
      </c>
      <c r="AI43" s="13">
        <f>IF('Données projet'!$A$62&gt;35,AI42+AH43-AQ42,IF(A43&lt;'Données projet'!$A$62,$AF$205^A43,IF(A43='Données projet'!$A$62,'Données projet'!$B$62,AI42+AH43-AQ42)))</f>
        <v>183.42727272727291</v>
      </c>
      <c r="AJ43" s="13">
        <f>AI43*VLOOKUP('Données projet'!$B$10,Paramètres!$A$1:$I$89,3,0)*VLOOKUP('Données projet'!$B$10,Paramètres!$A$1:$I$89,5,0)</f>
        <v>185.99525454545474</v>
      </c>
      <c r="AK43" s="13">
        <f t="shared" si="35"/>
        <v>46.653465750312407</v>
      </c>
      <c r="AL43" s="20">
        <f t="shared" si="4"/>
        <v>405.19652118179442</v>
      </c>
      <c r="AM43" s="59">
        <f t="shared" si="5"/>
        <v>698.52985451512768</v>
      </c>
      <c r="AN43" s="59">
        <f ca="1">AVERAGE(OFFSET($AM$3,0,0,'Données projet'!$E$10+1,1))-AVERAGE(OFFSET($H$3,0,0,'Données projet'!$E$10+1,1))</f>
        <v>543.88440431478944</v>
      </c>
      <c r="AO43" s="59">
        <f t="shared" si="36"/>
        <v>342.63929463709457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3.3603333333333336</v>
      </c>
      <c r="BD43" s="12">
        <f>IF('Données projet'!$A$88&gt;35,BD42+BC43-BL42,IF(A43&lt;'Données projet'!$A$88,$BA$205^A43,IF(A43='Données projet'!$A$88,'Données projet'!$B$88,BD42+BC43-BL42)))</f>
        <v>134.4133333333333</v>
      </c>
      <c r="BE43" s="13">
        <f>BD43*VLOOKUP('Données projet'!$B$11,Paramètres!$A$1:$I$89,3,0)*VLOOKUP('Données projet'!$B$11,Paramètres!$A$1:$I$89,5,0)</f>
        <v>153.06990399999998</v>
      </c>
      <c r="BF43" s="13">
        <f t="shared" si="37"/>
        <v>39.275407599099857</v>
      </c>
      <c r="BG43" s="20">
        <f t="shared" si="7"/>
        <v>335.00141770176555</v>
      </c>
      <c r="BH43" s="59">
        <f t="shared" si="8"/>
        <v>628.33475103509886</v>
      </c>
      <c r="BI43" s="59">
        <f ca="1">AVERAGE(OFFSET($BH$3,0,0,'Données projet'!$E$11+1,1))-AVERAGE(OFFSET($H$3,0,0,'Données projet'!$E$11+1,1))</f>
        <v>593.28343396240075</v>
      </c>
      <c r="BJ43" s="59">
        <f t="shared" si="38"/>
        <v>289.66477662068695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9.8128571428571423</v>
      </c>
      <c r="BY43" s="12">
        <f>IF('Données projet'!$A$114&gt;35,BY42+BX43-CG42,IF(A43&lt;'Données projet'!$A$114,$BV$205^A43,IF(A43='Données projet'!$A$114,'Données projet'!$B$114,BY42+BX43-CG42)))</f>
        <v>100.6857142857143</v>
      </c>
      <c r="BZ43" s="13">
        <f>BY43*VLOOKUP('Données projet'!$B$12,Paramètres!$A$1:$I$89,3,0)*VLOOKUP('Données projet'!$B$12,Paramètres!$A$1:$I$89,5,0)</f>
        <v>108.37810285714286</v>
      </c>
      <c r="CA43" s="13">
        <f t="shared" si="39"/>
        <v>28.948523222937034</v>
      </c>
      <c r="CB43" s="20">
        <f t="shared" si="10"/>
        <v>239.17720708947249</v>
      </c>
      <c r="CC43" s="59">
        <f t="shared" si="11"/>
        <v>532.51054042280578</v>
      </c>
      <c r="CD43" s="59">
        <f ca="1">AVERAGE(OFFSET($CC$3,0,0,'Données projet'!$E$12+1,1))-AVERAGE(OFFSET($H$3,0,0,'Données projet'!$E$12+1,1))</f>
        <v>502.65044103360322</v>
      </c>
      <c r="CE43" s="59">
        <f t="shared" si="40"/>
        <v>321.65762891855167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27.606700358529579</v>
      </c>
      <c r="CM43" s="21">
        <f>EXP(-LN(2)/2)*CM42+(1-EXP(-LN(2)/2))/(LN(2)/2)*CG43*CJ43*VLOOKUP('Données projet'!$B$12,Paramètres!$A$1:$I$89,3,0)*0.475*44/12</f>
        <v>7.2687377383970349</v>
      </c>
      <c r="CN43" s="22">
        <f t="shared" si="12"/>
        <v>34.875438096926615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4.1025641025641022</v>
      </c>
      <c r="N44" s="13">
        <f>IF('Données projet'!$A$36&gt;35,N43+M44-V43,IF(A44&lt;'Données projet'!$A$36,$K$205^A44,IF(A44='Données projet'!$A$36,'Données projet'!$B$36,N43+M44-V43)))</f>
        <v>87.435897435897431</v>
      </c>
      <c r="O44" s="13">
        <f>N44*VLOOKUP('Données projet'!$B$9,Paramètres!$A$1:$I$89,3,0)*VLOOKUP('Données projet'!$B$9,Paramètres!$A$1:$I$89,5,0)</f>
        <v>91.388000000000005</v>
      </c>
      <c r="P44" s="13">
        <f t="shared" si="33"/>
        <v>24.899678416779619</v>
      </c>
      <c r="Q44" s="20">
        <f t="shared" si="53"/>
        <v>202.53437324255785</v>
      </c>
      <c r="R44" s="59">
        <f t="shared" si="0"/>
        <v>495.86770657589113</v>
      </c>
      <c r="S44" s="59">
        <f ca="1">AVERAGE(OFFSET($R$3,0,0,'Données projet'!$E$9+1,1))-AVERAGE(OFFSET($H$3,0,0,'Données projet'!$E$9+1,1))</f>
        <v>239.26156489359892</v>
      </c>
      <c r="T44" s="59">
        <f t="shared" si="34"/>
        <v>213.97034450798111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12.613764634498676</v>
      </c>
      <c r="AB44" s="21">
        <f>EXP(-LN(2)/2)*AB43+(1-EXP(-LN(2)/2))/(LN(2)/2)*V44*Y44*VLOOKUP('Données projet'!$B$9,Paramètres!$A$1:$I$89,3,0)*0.475*44/12</f>
        <v>0</v>
      </c>
      <c r="AC44" s="22">
        <f t="shared" si="3"/>
        <v>12.613764634498676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4.5856818181818184</v>
      </c>
      <c r="AI44" s="13">
        <f>IF('Données projet'!$A$62&gt;35,AI43+AH44-AQ43,IF(A44&lt;'Données projet'!$A$62,$AF$205^A44,IF(A44='Données projet'!$A$62,'Données projet'!$B$62,AI43+AH44-AQ43)))</f>
        <v>188.01295454545473</v>
      </c>
      <c r="AJ44" s="13">
        <f>AI44*VLOOKUP('Données projet'!$B$10,Paramètres!$A$1:$I$89,3,0)*VLOOKUP('Données projet'!$B$10,Paramètres!$A$1:$I$89,5,0)</f>
        <v>190.6451359090911</v>
      </c>
      <c r="AK44" s="13">
        <f t="shared" si="35"/>
        <v>47.682555090551759</v>
      </c>
      <c r="AL44" s="20">
        <f t="shared" si="4"/>
        <v>415.08739515771134</v>
      </c>
      <c r="AM44" s="59">
        <f t="shared" si="5"/>
        <v>708.42072849104466</v>
      </c>
      <c r="AN44" s="59">
        <f ca="1">AVERAGE(OFFSET($AM$3,0,0,'Données projet'!$E$10+1,1))-AVERAGE(OFFSET($H$3,0,0,'Données projet'!$E$10+1,1))</f>
        <v>543.88440431478944</v>
      </c>
      <c r="AO44" s="59">
        <f t="shared" si="36"/>
        <v>342.63929463709457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3.3603333333333336</v>
      </c>
      <c r="BD44" s="12">
        <f>IF('Données projet'!$A$88&gt;35,BD43+BC44-BL43,IF(A44&lt;'Données projet'!$A$88,$BA$205^A44,IF(A44='Données projet'!$A$88,'Données projet'!$B$88,BD43+BC44-BL43)))</f>
        <v>137.77366666666663</v>
      </c>
      <c r="BE44" s="13">
        <f>BD44*VLOOKUP('Données projet'!$B$11,Paramètres!$A$1:$I$89,3,0)*VLOOKUP('Données projet'!$B$11,Paramètres!$A$1:$I$89,5,0)</f>
        <v>156.89665159999996</v>
      </c>
      <c r="BF44" s="13">
        <f t="shared" si="37"/>
        <v>40.141750595140159</v>
      </c>
      <c r="BG44" s="20">
        <f t="shared" si="7"/>
        <v>343.17521715653567</v>
      </c>
      <c r="BH44" s="59">
        <f t="shared" si="8"/>
        <v>636.50855048986898</v>
      </c>
      <c r="BI44" s="59">
        <f ca="1">AVERAGE(OFFSET($BH$3,0,0,'Données projet'!$E$11+1,1))-AVERAGE(OFFSET($H$3,0,0,'Données projet'!$E$11+1,1))</f>
        <v>593.28343396240075</v>
      </c>
      <c r="BJ44" s="59">
        <f t="shared" si="38"/>
        <v>289.66477662068695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9.8128571428571423</v>
      </c>
      <c r="BY44" s="12">
        <f>IF('Données projet'!$A$114&gt;35,BY43+BX44-CG43,IF(A44&lt;'Données projet'!$A$114,$BV$205^A44,IF(A44='Données projet'!$A$114,'Données projet'!$B$114,BY43+BX44-CG43)))</f>
        <v>110.49857142857144</v>
      </c>
      <c r="BZ44" s="13">
        <f>BY44*VLOOKUP('Données projet'!$B$12,Paramètres!$A$1:$I$89,3,0)*VLOOKUP('Données projet'!$B$12,Paramètres!$A$1:$I$89,5,0)</f>
        <v>118.9406622857143</v>
      </c>
      <c r="CA44" s="13">
        <f t="shared" si="39"/>
        <v>31.427798808658942</v>
      </c>
      <c r="CB44" s="20">
        <f t="shared" si="10"/>
        <v>261.89173640603332</v>
      </c>
      <c r="CC44" s="59">
        <f t="shared" si="11"/>
        <v>555.22506973936663</v>
      </c>
      <c r="CD44" s="59">
        <f ca="1">AVERAGE(OFFSET($CC$3,0,0,'Données projet'!$E$12+1,1))-AVERAGE(OFFSET($H$3,0,0,'Données projet'!$E$12+1,1))</f>
        <v>502.65044103360322</v>
      </c>
      <c r="CE44" s="59">
        <f t="shared" si="40"/>
        <v>321.65762891855167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26.851793685452311</v>
      </c>
      <c r="CM44" s="21">
        <f>EXP(-LN(2)/2)*CM43+(1-EXP(-LN(2)/2))/(LN(2)/2)*CG44*CJ44*VLOOKUP('Données projet'!$B$12,Paramètres!$A$1:$I$89,3,0)*0.475*44/12</f>
        <v>5.1397737454871129</v>
      </c>
      <c r="CN44" s="22">
        <f t="shared" si="12"/>
        <v>31.991567430939423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4.1025641025641022</v>
      </c>
      <c r="N45" s="13">
        <f>IF('Données projet'!$A$36&gt;35,N44+M45-V44,IF(A45&lt;'Données projet'!$A$36,$K$205^A45,IF(A45='Données projet'!$A$36,'Données projet'!$B$36,N44+M45-V44)))</f>
        <v>91.538461538461533</v>
      </c>
      <c r="O45" s="13">
        <f>N45*VLOOKUP('Données projet'!$B$9,Paramètres!$A$1:$I$89,3,0)*VLOOKUP('Données projet'!$B$9,Paramètres!$A$1:$I$89,5,0)</f>
        <v>95.676000000000002</v>
      </c>
      <c r="P45" s="13">
        <f t="shared" si="33"/>
        <v>25.929229078869259</v>
      </c>
      <c r="Q45" s="20">
        <f t="shared" si="53"/>
        <v>211.79577397903063</v>
      </c>
      <c r="R45" s="59">
        <f t="shared" si="0"/>
        <v>505.12910731236394</v>
      </c>
      <c r="S45" s="59">
        <f ca="1">AVERAGE(OFFSET($R$3,0,0,'Données projet'!$E$9+1,1))-AVERAGE(OFFSET($H$3,0,0,'Données projet'!$E$9+1,1))</f>
        <v>239.26156489359892</v>
      </c>
      <c r="T45" s="59">
        <f t="shared" si="34"/>
        <v>213.97034450798111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12.268840577239256</v>
      </c>
      <c r="AB45" s="21">
        <f>EXP(-LN(2)/2)*AB44+(1-EXP(-LN(2)/2))/(LN(2)/2)*V45*Y45*VLOOKUP('Données projet'!$B$9,Paramètres!$A$1:$I$89,3,0)*0.475*44/12</f>
        <v>0</v>
      </c>
      <c r="AC45" s="22">
        <f t="shared" si="3"/>
        <v>12.268840577239256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4.5856818181818184</v>
      </c>
      <c r="AI45" s="13">
        <f>IF('Données projet'!$A$62&gt;35,AI44+AH45-AQ44,IF(A45&lt;'Données projet'!$A$62,$AF$205^A45,IF(A45='Données projet'!$A$62,'Données projet'!$B$62,AI44+AH45-AQ44)))</f>
        <v>192.59863636363656</v>
      </c>
      <c r="AJ45" s="13">
        <f>AI45*VLOOKUP('Données projet'!$B$10,Paramètres!$A$1:$I$89,3,0)*VLOOKUP('Données projet'!$B$10,Paramètres!$A$1:$I$89,5,0)</f>
        <v>195.29501727272748</v>
      </c>
      <c r="AK45" s="13">
        <f t="shared" si="35"/>
        <v>48.708726658657454</v>
      </c>
      <c r="AL45" s="20">
        <f t="shared" si="4"/>
        <v>424.97318734716208</v>
      </c>
      <c r="AM45" s="59">
        <f t="shared" si="5"/>
        <v>718.3065206804954</v>
      </c>
      <c r="AN45" s="59">
        <f ca="1">AVERAGE(OFFSET($AM$3,0,0,'Données projet'!$E$10+1,1))-AVERAGE(OFFSET($H$3,0,0,'Données projet'!$E$10+1,1))</f>
        <v>543.88440431478944</v>
      </c>
      <c r="AO45" s="59">
        <f t="shared" si="36"/>
        <v>342.63929463709457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3.3603333333333336</v>
      </c>
      <c r="BD45" s="12">
        <f>IF('Données projet'!$A$88&gt;35,BD44+BC45-BL44,IF(A45&lt;'Données projet'!$A$88,$BA$205^A45,IF(A45='Données projet'!$A$88,'Données projet'!$B$88,BD44+BC45-BL44)))</f>
        <v>141.13399999999996</v>
      </c>
      <c r="BE45" s="13">
        <f>BD45*VLOOKUP('Données projet'!$B$11,Paramètres!$A$1:$I$89,3,0)*VLOOKUP('Données projet'!$B$11,Paramètres!$A$1:$I$89,5,0)</f>
        <v>160.72339919999996</v>
      </c>
      <c r="BF45" s="13">
        <f t="shared" si="37"/>
        <v>41.005637252985878</v>
      </c>
      <c r="BG45" s="20">
        <f t="shared" si="7"/>
        <v>351.34473848895027</v>
      </c>
      <c r="BH45" s="59">
        <f t="shared" si="8"/>
        <v>644.67807182228353</v>
      </c>
      <c r="BI45" s="59">
        <f ca="1">AVERAGE(OFFSET($BH$3,0,0,'Données projet'!$E$11+1,1))-AVERAGE(OFFSET($H$3,0,0,'Données projet'!$E$11+1,1))</f>
        <v>593.28343396240075</v>
      </c>
      <c r="BJ45" s="59">
        <f t="shared" si="38"/>
        <v>289.66477662068695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9.8128571428571423</v>
      </c>
      <c r="BY45" s="12">
        <f>IF('Données projet'!$A$114&gt;35,BY44+BX45-CG44,IF(A45&lt;'Données projet'!$A$114,$BV$205^A45,IF(A45='Données projet'!$A$114,'Données projet'!$B$114,BY44+BX45-CG44)))</f>
        <v>120.31142857142858</v>
      </c>
      <c r="BZ45" s="13">
        <f>BY45*VLOOKUP('Données projet'!$B$12,Paramètres!$A$1:$I$89,3,0)*VLOOKUP('Données projet'!$B$12,Paramètres!$A$1:$I$89,5,0)</f>
        <v>129.5032217142857</v>
      </c>
      <c r="CA45" s="13">
        <f t="shared" si="39"/>
        <v>33.881542889982931</v>
      </c>
      <c r="CB45" s="20">
        <f t="shared" si="10"/>
        <v>284.56179835243455</v>
      </c>
      <c r="CC45" s="59">
        <f t="shared" si="11"/>
        <v>577.89513168576786</v>
      </c>
      <c r="CD45" s="59">
        <f ca="1">AVERAGE(OFFSET($CC$3,0,0,'Données projet'!$E$12+1,1))-AVERAGE(OFFSET($H$3,0,0,'Données projet'!$E$12+1,1))</f>
        <v>502.65044103360322</v>
      </c>
      <c r="CE45" s="59">
        <f t="shared" si="40"/>
        <v>321.65762891855167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26.117529975049159</v>
      </c>
      <c r="CM45" s="21">
        <f>EXP(-LN(2)/2)*CM44+(1-EXP(-LN(2)/2))/(LN(2)/2)*CG45*CJ45*VLOOKUP('Données projet'!$B$12,Paramètres!$A$1:$I$89,3,0)*0.475*44/12</f>
        <v>3.6343688691985179</v>
      </c>
      <c r="CN45" s="22">
        <f t="shared" si="12"/>
        <v>29.751898844247677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4.1025641025641022</v>
      </c>
      <c r="N46" s="13">
        <f>IF('Données projet'!$A$36&gt;35,N45+M46-V45,IF(A46&lt;'Données projet'!$A$36,$K$205^A46,IF(A46='Données projet'!$A$36,'Données projet'!$B$36,N45+M46-V45)))</f>
        <v>95.641025641025635</v>
      </c>
      <c r="O46" s="13">
        <f>N46*VLOOKUP('Données projet'!$B$9,Paramètres!$A$1:$I$89,3,0)*VLOOKUP('Données projet'!$B$9,Paramètres!$A$1:$I$89,5,0)</f>
        <v>99.963999999999999</v>
      </c>
      <c r="P46" s="13">
        <f t="shared" si="33"/>
        <v>26.953420865059858</v>
      </c>
      <c r="Q46" s="20">
        <f t="shared" si="53"/>
        <v>221.04784133997921</v>
      </c>
      <c r="R46" s="59">
        <f t="shared" si="0"/>
        <v>514.38117467331256</v>
      </c>
      <c r="S46" s="59">
        <f ca="1">AVERAGE(OFFSET($R$3,0,0,'Données projet'!$E$9+1,1))-AVERAGE(OFFSET($H$3,0,0,'Données projet'!$E$9+1,1))</f>
        <v>239.26156489359892</v>
      </c>
      <c r="T46" s="59">
        <f t="shared" si="34"/>
        <v>213.97034450798111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11.933348486464364</v>
      </c>
      <c r="AB46" s="21">
        <f>EXP(-LN(2)/2)*AB45+(1-EXP(-LN(2)/2))/(LN(2)/2)*V46*Y46*VLOOKUP('Données projet'!$B$9,Paramètres!$A$1:$I$89,3,0)*0.475*44/12</f>
        <v>0</v>
      </c>
      <c r="AC46" s="22">
        <f t="shared" si="3"/>
        <v>11.933348486464364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4.5856818181818184</v>
      </c>
      <c r="AI46" s="13">
        <f>IF('Données projet'!$A$62&gt;35,AI45+AH46-AQ45,IF(A46&lt;'Données projet'!$A$62,$AF$205^A46,IF(A46='Données projet'!$A$62,'Données projet'!$B$62,AI45+AH46-AQ45)))</f>
        <v>197.18431818181838</v>
      </c>
      <c r="AJ46" s="13">
        <f>AI46*VLOOKUP('Données projet'!$B$10,Paramètres!$A$1:$I$89,3,0)*VLOOKUP('Données projet'!$B$10,Paramètres!$A$1:$I$89,5,0)</f>
        <v>199.94489863636389</v>
      </c>
      <c r="AK46" s="13">
        <f t="shared" si="35"/>
        <v>49.732057919216892</v>
      </c>
      <c r="AL46" s="20">
        <f t="shared" si="4"/>
        <v>434.85403266763655</v>
      </c>
      <c r="AM46" s="59">
        <f t="shared" si="5"/>
        <v>728.18736600096986</v>
      </c>
      <c r="AN46" s="59">
        <f ca="1">AVERAGE(OFFSET($AM$3,0,0,'Données projet'!$E$10+1,1))-AVERAGE(OFFSET($H$3,0,0,'Données projet'!$E$10+1,1))</f>
        <v>543.88440431478944</v>
      </c>
      <c r="AO46" s="59">
        <f t="shared" si="36"/>
        <v>342.63929463709457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3.3603333333333336</v>
      </c>
      <c r="BD46" s="12">
        <f>IF('Données projet'!$A$88&gt;35,BD45+BC46-BL45,IF(A46&lt;'Données projet'!$A$88,$BA$205^A46,IF(A46='Données projet'!$A$88,'Données projet'!$B$88,BD45+BC46-BL45)))</f>
        <v>144.49433333333329</v>
      </c>
      <c r="BE46" s="13">
        <f>BD46*VLOOKUP('Données projet'!$B$11,Paramètres!$A$1:$I$89,3,0)*VLOOKUP('Données projet'!$B$11,Paramètres!$A$1:$I$89,5,0)</f>
        <v>164.55014679999996</v>
      </c>
      <c r="BF46" s="13">
        <f t="shared" si="37"/>
        <v>41.867132786511242</v>
      </c>
      <c r="BG46" s="20">
        <f t="shared" si="7"/>
        <v>359.5100952798403</v>
      </c>
      <c r="BH46" s="59">
        <f t="shared" si="8"/>
        <v>652.84342861317361</v>
      </c>
      <c r="BI46" s="59">
        <f ca="1">AVERAGE(OFFSET($BH$3,0,0,'Données projet'!$E$11+1,1))-AVERAGE(OFFSET($H$3,0,0,'Données projet'!$E$11+1,1))</f>
        <v>593.28343396240075</v>
      </c>
      <c r="BJ46" s="59">
        <f t="shared" si="38"/>
        <v>289.66477662068695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9.8128571428571423</v>
      </c>
      <c r="BY46" s="12">
        <f>IF('Données projet'!$A$114&gt;35,BY45+BX46-CG45,IF(A46&lt;'Données projet'!$A$114,$BV$205^A46,IF(A46='Données projet'!$A$114,'Données projet'!$B$114,BY45+BX46-CG45)))</f>
        <v>130.12428571428572</v>
      </c>
      <c r="BZ46" s="13">
        <f>BY46*VLOOKUP('Données projet'!$B$12,Paramètres!$A$1:$I$89,3,0)*VLOOKUP('Données projet'!$B$12,Paramètres!$A$1:$I$89,5,0)</f>
        <v>140.06578114285713</v>
      </c>
      <c r="CA46" s="13">
        <f t="shared" si="39"/>
        <v>36.312074619085465</v>
      </c>
      <c r="CB46" s="20">
        <f t="shared" si="10"/>
        <v>307.1914321187167</v>
      </c>
      <c r="CC46" s="59">
        <f t="shared" si="11"/>
        <v>600.52476545205002</v>
      </c>
      <c r="CD46" s="59">
        <f ca="1">AVERAGE(OFFSET($CC$3,0,0,'Données projet'!$E$12+1,1))-AVERAGE(OFFSET($H$3,0,0,'Données projet'!$E$12+1,1))</f>
        <v>502.65044103360322</v>
      </c>
      <c r="CE46" s="59">
        <f t="shared" si="40"/>
        <v>321.65762891855167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25.403344744420231</v>
      </c>
      <c r="CM46" s="21">
        <f>EXP(-LN(2)/2)*CM45+(1-EXP(-LN(2)/2))/(LN(2)/2)*CG46*CJ46*VLOOKUP('Données projet'!$B$12,Paramètres!$A$1:$I$89,3,0)*0.475*44/12</f>
        <v>2.5698868727435569</v>
      </c>
      <c r="CN46" s="22">
        <f t="shared" si="12"/>
        <v>27.973231617163787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4.1025641025641022</v>
      </c>
      <c r="N47" s="13">
        <f>IF('Données projet'!$A$36&gt;35,N46+M47-V46,IF(A47&lt;'Données projet'!$A$36,$K$205^A47,IF(A47='Données projet'!$A$36,'Données projet'!$B$36,N46+M47-V46)))</f>
        <v>99.743589743589737</v>
      </c>
      <c r="O47" s="13">
        <f>N47*VLOOKUP('Données projet'!$B$9,Paramètres!$A$1:$I$89,3,0)*VLOOKUP('Données projet'!$B$9,Paramètres!$A$1:$I$89,5,0)</f>
        <v>104.252</v>
      </c>
      <c r="P47" s="13">
        <f t="shared" si="33"/>
        <v>27.972509924429268</v>
      </c>
      <c r="Q47" s="20">
        <f t="shared" si="53"/>
        <v>230.2910214517143</v>
      </c>
      <c r="R47" s="59">
        <f t="shared" si="0"/>
        <v>523.62435478504767</v>
      </c>
      <c r="S47" s="59">
        <f ca="1">AVERAGE(OFFSET($R$3,0,0,'Données projet'!$E$9+1,1))-AVERAGE(OFFSET($H$3,0,0,'Données projet'!$E$9+1,1))</f>
        <v>239.26156489359892</v>
      </c>
      <c r="T47" s="59">
        <f t="shared" si="34"/>
        <v>213.97034450798111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11.607030444554473</v>
      </c>
      <c r="AB47" s="21">
        <f>EXP(-LN(2)/2)*AB46+(1-EXP(-LN(2)/2))/(LN(2)/2)*V47*Y47*VLOOKUP('Données projet'!$B$9,Paramètres!$A$1:$I$89,3,0)*0.475*44/12</f>
        <v>0</v>
      </c>
      <c r="AC47" s="22">
        <f t="shared" si="3"/>
        <v>11.607030444554473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>
        <f>VLOOKUP(A47,'Données projet'!$A$61:$I$81,2,0)</f>
        <v>201.77</v>
      </c>
      <c r="AG47" s="12">
        <f>VLOOKUP(A47,'Données projet'!$A$61:$I$81,9,0)</f>
        <v>4.5856818181818184</v>
      </c>
      <c r="AH47" s="12">
        <f t="array" ref="AH47">INDEX(AG:AG,MIN(IF(ISNUMBER(AG47:AG243),ROW(AG47:AG243),"")))</f>
        <v>4.5856818181818184</v>
      </c>
      <c r="AI47" s="13">
        <f>IF('Données projet'!$A$62&gt;35,AI46+AH47-AQ46,IF(A47&lt;'Données projet'!$A$62,$AF$205^A47,IF(A47='Données projet'!$A$62,'Données projet'!$B$62,AI46+AH47-AQ46)))</f>
        <v>201.77000000000021</v>
      </c>
      <c r="AJ47" s="13">
        <f>AI47*VLOOKUP('Données projet'!$B$10,Paramètres!$A$1:$I$89,3,0)*VLOOKUP('Données projet'!$B$10,Paramètres!$A$1:$I$89,5,0)</f>
        <v>204.59478000000021</v>
      </c>
      <c r="AK47" s="13">
        <f t="shared" si="35"/>
        <v>50.752622528241282</v>
      </c>
      <c r="AL47" s="20">
        <f t="shared" si="4"/>
        <v>444.73005940335389</v>
      </c>
      <c r="AM47" s="59">
        <f t="shared" si="5"/>
        <v>738.06339273668721</v>
      </c>
      <c r="AN47" s="59">
        <f ca="1">AVERAGE(OFFSET($AM$3,0,0,'Données projet'!$E$10+1,1))-AVERAGE(OFFSET($H$3,0,0,'Données projet'!$E$10+1,1))</f>
        <v>543.88440431478944</v>
      </c>
      <c r="AO47" s="59">
        <f t="shared" si="36"/>
        <v>342.63929463709457</v>
      </c>
      <c r="AP47" s="15">
        <f>IF(ISNA(VLOOKUP(A47,'Données projet'!$A$61:$I$81,3,0)),0,VLOOKUP(A47,'Données projet'!$A$61:$I$81,3,0))</f>
        <v>1</v>
      </c>
      <c r="AQ47" s="15">
        <f>IF(ISNA(VLOOKUP(A47,'Données projet'!$A$61:$I$81,4,0)),0,VLOOKUP(A47,'Données projet'!$A$61:$I$81,4,0))</f>
        <v>76.680000000000007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0.34400000000000003</v>
      </c>
      <c r="AT47" s="16">
        <f>IF(ISNA(VLOOKUP(A47,'Données projet'!$A$61:$I$81,7,0)),0%,VLOOKUP(A47,'Données projet'!$A$61:$I$81,7,0))</f>
        <v>0.2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29.451827898833201</v>
      </c>
      <c r="AW47" s="21">
        <f>EXP(-LN(2)/2)*AW46+(1-EXP(-LN(2)/2))/(LN(2)/2)*AQ47*AT47*VLOOKUP('Données projet'!$B$10,Paramètres!$A$1:$I$89,3,0)*0.475*44/12</f>
        <v>14.672507765061672</v>
      </c>
      <c r="AX47" s="21">
        <f t="shared" si="6"/>
        <v>44.124335663894875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3.3603333333333336</v>
      </c>
      <c r="BD47" s="12">
        <f>IF('Données projet'!$A$88&gt;35,BD46+BC47-BL46,IF(A47&lt;'Données projet'!$A$88,$BA$205^A47,IF(A47='Données projet'!$A$88,'Données projet'!$B$88,BD46+BC47-BL46)))</f>
        <v>147.85466666666662</v>
      </c>
      <c r="BE47" s="13">
        <f>BD47*VLOOKUP('Données projet'!$B$11,Paramètres!$A$1:$I$89,3,0)*VLOOKUP('Données projet'!$B$11,Paramètres!$A$1:$I$89,5,0)</f>
        <v>168.37689439999994</v>
      </c>
      <c r="BF47" s="13">
        <f t="shared" si="37"/>
        <v>42.726299203325233</v>
      </c>
      <c r="BG47" s="20">
        <f t="shared" si="7"/>
        <v>367.6713955257913</v>
      </c>
      <c r="BH47" s="59">
        <f t="shared" si="8"/>
        <v>661.00472885912461</v>
      </c>
      <c r="BI47" s="59">
        <f ca="1">AVERAGE(OFFSET($BH$3,0,0,'Données projet'!$E$11+1,1))-AVERAGE(OFFSET($H$3,0,0,'Données projet'!$E$11+1,1))</f>
        <v>593.28343396240075</v>
      </c>
      <c r="BJ47" s="59">
        <f t="shared" si="38"/>
        <v>289.66477662068695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9.8128571428571423</v>
      </c>
      <c r="BY47" s="12">
        <f>IF('Données projet'!$A$114&gt;35,BY46+BX47-CG46,IF(A47&lt;'Données projet'!$A$114,$BV$205^A47,IF(A47='Données projet'!$A$114,'Données projet'!$B$114,BY46+BX47-CG46)))</f>
        <v>139.93714285714287</v>
      </c>
      <c r="BZ47" s="13">
        <f>BY47*VLOOKUP('Données projet'!$B$12,Paramètres!$A$1:$I$89,3,0)*VLOOKUP('Données projet'!$B$12,Paramètres!$A$1:$I$89,5,0)</f>
        <v>150.62834057142859</v>
      </c>
      <c r="CA47" s="13">
        <f t="shared" si="39"/>
        <v>38.721343512275389</v>
      </c>
      <c r="CB47" s="20">
        <f t="shared" si="10"/>
        <v>329.78403311245108</v>
      </c>
      <c r="CC47" s="59">
        <f t="shared" si="11"/>
        <v>623.11736644578446</v>
      </c>
      <c r="CD47" s="59">
        <f ca="1">AVERAGE(OFFSET($CC$3,0,0,'Données projet'!$E$12+1,1))-AVERAGE(OFFSET($H$3,0,0,'Données projet'!$E$12+1,1))</f>
        <v>502.65044103360322</v>
      </c>
      <c r="CE47" s="59">
        <f t="shared" si="40"/>
        <v>321.65762891855167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24.708688946480219</v>
      </c>
      <c r="CM47" s="21">
        <f>EXP(-LN(2)/2)*CM46+(1-EXP(-LN(2)/2))/(LN(2)/2)*CG47*CJ47*VLOOKUP('Données projet'!$B$12,Paramètres!$A$1:$I$89,3,0)*0.475*44/12</f>
        <v>1.8171844345992594</v>
      </c>
      <c r="CN47" s="22">
        <f t="shared" si="12"/>
        <v>26.525873381079478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103.84615384615384</v>
      </c>
      <c r="L48" s="12">
        <f>VLOOKUP(A48,'Données projet'!$A$35:$I$55,9,0)</f>
        <v>4.1025641025641022</v>
      </c>
      <c r="M48" s="12">
        <f t="array" ref="M48">INDEX(L:L,MIN(IF(ISNUMBER(L48:L244),ROW(L48:L244),"")))</f>
        <v>4.1025641025641022</v>
      </c>
      <c r="N48" s="13">
        <f>IF('Données projet'!$A$36&gt;35,N47+M48-V47,IF(A48&lt;'Données projet'!$A$36,$K$205^A48,IF(A48='Données projet'!$A$36,'Données projet'!$B$36,N47+M48-V47)))</f>
        <v>103.84615384615384</v>
      </c>
      <c r="O48" s="13">
        <f>N48*VLOOKUP('Données projet'!$B$9,Paramètres!$A$1:$I$89,3,0)*VLOOKUP('Données projet'!$B$9,Paramètres!$A$1:$I$89,5,0)</f>
        <v>108.54</v>
      </c>
      <c r="P48" s="13">
        <f t="shared" si="33"/>
        <v>28.986730142355373</v>
      </c>
      <c r="Q48" s="20">
        <f t="shared" si="53"/>
        <v>239.52572166460229</v>
      </c>
      <c r="R48" s="59">
        <f t="shared" si="0"/>
        <v>532.85905499793557</v>
      </c>
      <c r="S48" s="59">
        <f ca="1">AVERAGE(OFFSET($R$3,0,0,'Données projet'!$E$9+1,1))-AVERAGE(OFFSET($H$3,0,0,'Données projet'!$E$9+1,1))</f>
        <v>239.26156489359892</v>
      </c>
      <c r="T48" s="59">
        <f t="shared" si="34"/>
        <v>213.97034450798111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12.179487179487179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0.215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14.303339734332848</v>
      </c>
      <c r="AB48" s="21">
        <f>EXP(-LN(2)/2)*AB47+(1-EXP(-LN(2)/2))/(LN(2)/2)*V48*Y48*VLOOKUP('Données projet'!$B$9,Paramètres!$A$1:$I$89,3,0)*0.475*44/12</f>
        <v>0</v>
      </c>
      <c r="AC48" s="22">
        <f t="shared" si="3"/>
        <v>14.303339734332848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9.6799999999999979</v>
      </c>
      <c r="AI48" s="13">
        <f>IF('Données projet'!$A$62&gt;35,AI47+AH48-AQ47,IF(A48&lt;'Données projet'!$A$62,$AF$205^A48,IF(A48='Données projet'!$A$62,'Données projet'!$B$62,AI47+AH48-AQ47)))</f>
        <v>134.77000000000021</v>
      </c>
      <c r="AJ48" s="13">
        <f>AI48*VLOOKUP('Données projet'!$B$10,Paramètres!$A$1:$I$89,3,0)*VLOOKUP('Données projet'!$B$10,Paramètres!$A$1:$I$89,5,0)</f>
        <v>136.65678000000023</v>
      </c>
      <c r="AK48" s="13">
        <f t="shared" si="35"/>
        <v>35.530046714169004</v>
      </c>
      <c r="AL48" s="20">
        <f t="shared" si="4"/>
        <v>299.89205652717806</v>
      </c>
      <c r="AM48" s="59">
        <f t="shared" si="5"/>
        <v>593.22538986051131</v>
      </c>
      <c r="AN48" s="59">
        <f ca="1">AVERAGE(OFFSET($AM$3,0,0,'Données projet'!$E$10+1,1))-AVERAGE(OFFSET($H$3,0,0,'Données projet'!$E$10+1,1))</f>
        <v>543.88440431478944</v>
      </c>
      <c r="AO48" s="59">
        <f t="shared" si="36"/>
        <v>342.63929463709457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28.64646611613529</v>
      </c>
      <c r="AW48" s="21">
        <f>EXP(-LN(2)/2)*AW47+(1-EXP(-LN(2)/2))/(LN(2)/2)*AQ48*AT48*VLOOKUP('Données projet'!$B$10,Paramètres!$A$1:$I$89,3,0)*0.475*44/12</f>
        <v>10.375029737687385</v>
      </c>
      <c r="AX48" s="21">
        <f t="shared" si="6"/>
        <v>39.021495853822671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3.3603333333333336</v>
      </c>
      <c r="BD48" s="12">
        <f>IF('Données projet'!$A$88&gt;35,BD47+BC48-BL47,IF(A48&lt;'Données projet'!$A$88,$BA$205^A48,IF(A48='Données projet'!$A$88,'Données projet'!$B$88,BD47+BC48-BL47)))</f>
        <v>151.21499999999995</v>
      </c>
      <c r="BE48" s="13">
        <f>BD48*VLOOKUP('Données projet'!$B$11,Paramètres!$A$1:$I$89,3,0)*VLOOKUP('Données projet'!$B$11,Paramètres!$A$1:$I$89,5,0)</f>
        <v>172.20364199999995</v>
      </c>
      <c r="BF48" s="13">
        <f t="shared" si="37"/>
        <v>43.583195531641088</v>
      </c>
      <c r="BG48" s="20">
        <f t="shared" si="7"/>
        <v>375.82874203427474</v>
      </c>
      <c r="BH48" s="59">
        <f t="shared" si="8"/>
        <v>669.16207536760805</v>
      </c>
      <c r="BI48" s="59">
        <f ca="1">AVERAGE(OFFSET($BH$3,0,0,'Données projet'!$E$11+1,1))-AVERAGE(OFFSET($H$3,0,0,'Données projet'!$E$11+1,1))</f>
        <v>593.28343396240075</v>
      </c>
      <c r="BJ48" s="59">
        <f t="shared" si="38"/>
        <v>289.66477662068695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149.75</v>
      </c>
      <c r="BW48" s="12">
        <f>VLOOKUP(A48,'Données projet'!$A$113:$I$133,9,0)</f>
        <v>9.8128571428571423</v>
      </c>
      <c r="BX48" s="12">
        <f t="array" ref="BX48">INDEX(BW:BW,MIN(IF(ISNUMBER(BW48:BW244),ROW(BW48:BW244),"")))</f>
        <v>9.8128571428571423</v>
      </c>
      <c r="BY48" s="12">
        <f>IF('Données projet'!$A$114&gt;35,BY47+BX48-CG47,IF(A48&lt;'Données projet'!$A$114,$BV$205^A48,IF(A48='Données projet'!$A$114,'Données projet'!$B$114,BY47+BX48-CG47)))</f>
        <v>149.75000000000003</v>
      </c>
      <c r="BZ48" s="13">
        <f>BY48*VLOOKUP('Données projet'!$B$12,Paramètres!$A$1:$I$89,3,0)*VLOOKUP('Données projet'!$B$12,Paramètres!$A$1:$I$89,5,0)</f>
        <v>161.19090000000003</v>
      </c>
      <c r="CA48" s="13">
        <f t="shared" si="39"/>
        <v>41.111010187440861</v>
      </c>
      <c r="CB48" s="20">
        <f t="shared" si="10"/>
        <v>352.3424935764595</v>
      </c>
      <c r="CC48" s="59">
        <f t="shared" si="11"/>
        <v>645.67582690979282</v>
      </c>
      <c r="CD48" s="59">
        <f ca="1">AVERAGE(OFFSET($CC$3,0,0,'Données projet'!$E$12+1,1))-AVERAGE(OFFSET($H$3,0,0,'Données projet'!$E$12+1,1))</f>
        <v>502.65044103360322</v>
      </c>
      <c r="CE48" s="59">
        <f t="shared" si="40"/>
        <v>321.65762891855167</v>
      </c>
      <c r="CF48" s="15">
        <f>IF(ISNA(VLOOKUP(A48,'Données projet'!$A$113:$I$133,3,0)),0,VLOOKUP(A48,'Données projet'!$A$113:$I$133,3,0))</f>
        <v>2</v>
      </c>
      <c r="CG48" s="15">
        <f>IF(ISNA(VLOOKUP(A48,'Données projet'!$A$113:$I$133,4,0)),0,VLOOKUP(A48,'Données projet'!$A$113:$I$133,4,0))</f>
        <v>41.69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0.34400000000000003</v>
      </c>
      <c r="CJ48" s="16">
        <f>IF(ISNA(VLOOKUP(A48,'Données projet'!$A$113:$I$133,7,0)),0%,VLOOKUP(A48,'Données projet'!$A$113:$I$133,7,0))</f>
        <v>0.2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41.031026752604731</v>
      </c>
      <c r="CM48" s="21">
        <f>EXP(-LN(2)/2)*CM47+(1-EXP(-LN(2)/2))/(LN(2)/2)*CG48*CJ48*VLOOKUP('Données projet'!$B$12,Paramètres!$A$1:$I$89,3,0)*0.475*44/12</f>
        <v>9.7531193847795556</v>
      </c>
      <c r="CN48" s="22">
        <f t="shared" si="12"/>
        <v>50.784146137384283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3.8461538461538454</v>
      </c>
      <c r="N49" s="13">
        <f>IF('Données projet'!$A$36&gt;35,N48+M49-V48,IF(A49&lt;'Données projet'!$A$36,$K$205^A49,IF(A49='Données projet'!$A$36,'Données projet'!$B$36,N48+M49-V48)))</f>
        <v>95.512820512820497</v>
      </c>
      <c r="O49" s="13">
        <f>N49*VLOOKUP('Données projet'!$B$9,Paramètres!$A$1:$I$89,3,0)*VLOOKUP('Données projet'!$B$9,Paramètres!$A$1:$I$89,5,0)</f>
        <v>99.83</v>
      </c>
      <c r="P49" s="13">
        <f t="shared" si="33"/>
        <v>26.92149338297099</v>
      </c>
      <c r="Q49" s="20">
        <f t="shared" si="53"/>
        <v>220.75885097534115</v>
      </c>
      <c r="R49" s="59">
        <f t="shared" si="0"/>
        <v>514.0921843086744</v>
      </c>
      <c r="S49" s="59">
        <f ca="1">AVERAGE(OFFSET($R$3,0,0,'Données projet'!$E$9+1,1))-AVERAGE(OFFSET($H$3,0,0,'Données projet'!$E$9+1,1))</f>
        <v>239.26156489359892</v>
      </c>
      <c r="T49" s="59">
        <f t="shared" si="34"/>
        <v>213.97034450798111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13.912214157117571</v>
      </c>
      <c r="AB49" s="21">
        <f>EXP(-LN(2)/2)*AB48+(1-EXP(-LN(2)/2))/(LN(2)/2)*V49*Y49*VLOOKUP('Données projet'!$B$9,Paramètres!$A$1:$I$89,3,0)*0.475*44/12</f>
        <v>0</v>
      </c>
      <c r="AC49" s="22">
        <f t="shared" si="3"/>
        <v>13.912214157117571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9.6799999999999979</v>
      </c>
      <c r="AI49" s="13">
        <f>IF('Données projet'!$A$62&gt;35,AI48+AH49-AQ48,IF(A49&lt;'Données projet'!$A$62,$AF$205^A49,IF(A49='Données projet'!$A$62,'Données projet'!$B$62,AI48+AH49-AQ48)))</f>
        <v>144.45000000000022</v>
      </c>
      <c r="AJ49" s="13">
        <f>AI49*VLOOKUP('Données projet'!$B$10,Paramètres!$A$1:$I$89,3,0)*VLOOKUP('Données projet'!$B$10,Paramètres!$A$1:$I$89,5,0)</f>
        <v>146.47230000000022</v>
      </c>
      <c r="AK49" s="13">
        <f t="shared" si="35"/>
        <v>37.775796111534383</v>
      </c>
      <c r="AL49" s="20">
        <f t="shared" si="4"/>
        <v>320.89876739425608</v>
      </c>
      <c r="AM49" s="59">
        <f t="shared" si="5"/>
        <v>614.23210072758934</v>
      </c>
      <c r="AN49" s="59">
        <f ca="1">AVERAGE(OFFSET($AM$3,0,0,'Données projet'!$E$10+1,1))-AVERAGE(OFFSET($H$3,0,0,'Données projet'!$E$10+1,1))</f>
        <v>543.88440431478944</v>
      </c>
      <c r="AO49" s="59">
        <f t="shared" si="36"/>
        <v>342.63929463709457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27.863126993737389</v>
      </c>
      <c r="AW49" s="21">
        <f>EXP(-LN(2)/2)*AW48+(1-EXP(-LN(2)/2))/(LN(2)/2)*AQ49*AT49*VLOOKUP('Données projet'!$B$10,Paramètres!$A$1:$I$89,3,0)*0.475*44/12</f>
        <v>7.3362538825308379</v>
      </c>
      <c r="AX49" s="21">
        <f t="shared" si="6"/>
        <v>35.199380876268229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3.3603333333333336</v>
      </c>
      <c r="BD49" s="12">
        <f>IF('Données projet'!$A$88&gt;35,BD48+BC49-BL48,IF(A49&lt;'Données projet'!$A$88,$BA$205^A49,IF(A49='Données projet'!$A$88,'Données projet'!$B$88,BD48+BC49-BL48)))</f>
        <v>154.57533333333328</v>
      </c>
      <c r="BE49" s="13">
        <f>BD49*VLOOKUP('Données projet'!$B$11,Paramètres!$A$1:$I$89,3,0)*VLOOKUP('Données projet'!$B$11,Paramètres!$A$1:$I$89,5,0)</f>
        <v>176.03038959999992</v>
      </c>
      <c r="BF49" s="13">
        <f t="shared" si="37"/>
        <v>44.437878026410679</v>
      </c>
      <c r="BG49" s="20">
        <f t="shared" si="7"/>
        <v>383.98223278266511</v>
      </c>
      <c r="BH49" s="59">
        <f t="shared" si="8"/>
        <v>677.31556611599842</v>
      </c>
      <c r="BI49" s="59">
        <f ca="1">AVERAGE(OFFSET($BH$3,0,0,'Données projet'!$E$11+1,1))-AVERAGE(OFFSET($H$3,0,0,'Données projet'!$E$11+1,1))</f>
        <v>593.28343396240075</v>
      </c>
      <c r="BJ49" s="59">
        <f t="shared" si="38"/>
        <v>289.66477662068695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10.001428571428571</v>
      </c>
      <c r="BY49" s="12">
        <f>IF('Données projet'!$A$114&gt;35,BY48+BX49-CG48,IF(A49&lt;'Données projet'!$A$114,$BV$205^A49,IF(A49='Données projet'!$A$114,'Données projet'!$B$114,BY48+BX49-CG48)))</f>
        <v>118.06142857142859</v>
      </c>
      <c r="BZ49" s="13">
        <f>BY49*VLOOKUP('Données projet'!$B$12,Paramètres!$A$1:$I$89,3,0)*VLOOKUP('Données projet'!$B$12,Paramètres!$A$1:$I$89,5,0)</f>
        <v>127.08132171428572</v>
      </c>
      <c r="CA49" s="13">
        <f t="shared" si="39"/>
        <v>33.321049778221109</v>
      </c>
      <c r="CB49" s="20">
        <f t="shared" si="10"/>
        <v>279.36746368278273</v>
      </c>
      <c r="CC49" s="59">
        <f t="shared" si="11"/>
        <v>572.70079701611598</v>
      </c>
      <c r="CD49" s="59">
        <f ca="1">AVERAGE(OFFSET($CC$3,0,0,'Données projet'!$E$12+1,1))-AVERAGE(OFFSET($H$3,0,0,'Données projet'!$E$12+1,1))</f>
        <v>502.65044103360322</v>
      </c>
      <c r="CE49" s="59">
        <f t="shared" si="40"/>
        <v>321.65762891855167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39.909031168326834</v>
      </c>
      <c r="CM49" s="21">
        <f>EXP(-LN(2)/2)*CM48+(1-EXP(-LN(2)/2))/(LN(2)/2)*CG49*CJ49*VLOOKUP('Données projet'!$B$12,Paramètres!$A$1:$I$89,3,0)*0.475*44/12</f>
        <v>6.8964968546995928</v>
      </c>
      <c r="CN49" s="22">
        <f t="shared" si="12"/>
        <v>46.805528023026426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3.8461538461538454</v>
      </c>
      <c r="N50" s="13">
        <f>IF('Données projet'!$A$36&gt;35,N49+M50-V49,IF(A50&lt;'Données projet'!$A$36,$K$205^A50,IF(A50='Données projet'!$A$36,'Données projet'!$B$36,N49+M50-V49)))</f>
        <v>99.358974358974336</v>
      </c>
      <c r="O50" s="13">
        <f>N50*VLOOKUP('Données projet'!$B$9,Paramètres!$A$1:$I$89,3,0)*VLOOKUP('Données projet'!$B$9,Paramètres!$A$1:$I$89,5,0)</f>
        <v>103.84999999999998</v>
      </c>
      <c r="P50" s="13">
        <f t="shared" si="33"/>
        <v>27.877180626240445</v>
      </c>
      <c r="Q50" s="20">
        <f t="shared" si="53"/>
        <v>229.42483959070205</v>
      </c>
      <c r="R50" s="59">
        <f t="shared" si="0"/>
        <v>522.75817292403531</v>
      </c>
      <c r="S50" s="59">
        <f ca="1">AVERAGE(OFFSET($R$3,0,0,'Données projet'!$E$9+1,1))-AVERAGE(OFFSET($H$3,0,0,'Données projet'!$E$9+1,1))</f>
        <v>239.26156489359892</v>
      </c>
      <c r="T50" s="59">
        <f t="shared" si="34"/>
        <v>213.97034450798111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13.531783929379646</v>
      </c>
      <c r="AB50" s="21">
        <f>EXP(-LN(2)/2)*AB49+(1-EXP(-LN(2)/2))/(LN(2)/2)*V50*Y50*VLOOKUP('Données projet'!$B$9,Paramètres!$A$1:$I$89,3,0)*0.475*44/12</f>
        <v>0</v>
      </c>
      <c r="AC50" s="22">
        <f t="shared" si="3"/>
        <v>13.531783929379646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9.6799999999999979</v>
      </c>
      <c r="AI50" s="13">
        <f>IF('Données projet'!$A$62&gt;35,AI49+AH50-AQ49,IF(A50&lt;'Données projet'!$A$62,$AF$205^A50,IF(A50='Données projet'!$A$62,'Données projet'!$B$62,AI49+AH50-AQ49)))</f>
        <v>154.13000000000022</v>
      </c>
      <c r="AJ50" s="13">
        <f>AI50*VLOOKUP('Données projet'!$B$10,Paramètres!$A$1:$I$89,3,0)*VLOOKUP('Données projet'!$B$10,Paramètres!$A$1:$I$89,5,0)</f>
        <v>156.28782000000024</v>
      </c>
      <c r="AK50" s="13">
        <f t="shared" si="35"/>
        <v>40.004082361936817</v>
      </c>
      <c r="AL50" s="20">
        <f t="shared" si="4"/>
        <v>341.87506328037369</v>
      </c>
      <c r="AM50" s="59">
        <f t="shared" si="5"/>
        <v>635.20839661370701</v>
      </c>
      <c r="AN50" s="59">
        <f ca="1">AVERAGE(OFFSET($AM$3,0,0,'Données projet'!$E$10+1,1))-AVERAGE(OFFSET($H$3,0,0,'Données projet'!$E$10+1,1))</f>
        <v>543.88440431478944</v>
      </c>
      <c r="AO50" s="59">
        <f t="shared" si="36"/>
        <v>342.63929463709457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27.101208320835472</v>
      </c>
      <c r="AW50" s="21">
        <f>EXP(-LN(2)/2)*AW49+(1-EXP(-LN(2)/2))/(LN(2)/2)*AQ50*AT50*VLOOKUP('Données projet'!$B$10,Paramètres!$A$1:$I$89,3,0)*0.475*44/12</f>
        <v>5.1875148688436932</v>
      </c>
      <c r="AX50" s="21">
        <f t="shared" si="6"/>
        <v>32.288723189679168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3.3603333333333336</v>
      </c>
      <c r="BD50" s="12">
        <f>IF('Données projet'!$A$88&gt;35,BD49+BC50-BL49,IF(A50&lt;'Données projet'!$A$88,$BA$205^A50,IF(A50='Données projet'!$A$88,'Données projet'!$B$88,BD49+BC50-BL49)))</f>
        <v>157.93566666666661</v>
      </c>
      <c r="BE50" s="13">
        <f>BD50*VLOOKUP('Données projet'!$B$11,Paramètres!$A$1:$I$89,3,0)*VLOOKUP('Données projet'!$B$11,Paramètres!$A$1:$I$89,5,0)</f>
        <v>179.85713719999993</v>
      </c>
      <c r="BF50" s="13">
        <f t="shared" si="37"/>
        <v>45.290400357029107</v>
      </c>
      <c r="BG50" s="20">
        <f t="shared" si="7"/>
        <v>392.13196124515889</v>
      </c>
      <c r="BH50" s="59">
        <f t="shared" si="8"/>
        <v>685.46529457849215</v>
      </c>
      <c r="BI50" s="59">
        <f ca="1">AVERAGE(OFFSET($BH$3,0,0,'Données projet'!$E$11+1,1))-AVERAGE(OFFSET($H$3,0,0,'Données projet'!$E$11+1,1))</f>
        <v>593.28343396240075</v>
      </c>
      <c r="BJ50" s="59">
        <f t="shared" si="38"/>
        <v>289.66477662068695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10.001428571428571</v>
      </c>
      <c r="BY50" s="12">
        <f>IF('Données projet'!$A$114&gt;35,BY49+BX50-CG49,IF(A50&lt;'Données projet'!$A$114,$BV$205^A50,IF(A50='Données projet'!$A$114,'Données projet'!$B$114,BY49+BX50-CG49)))</f>
        <v>128.06285714285715</v>
      </c>
      <c r="BZ50" s="13">
        <f>BY50*VLOOKUP('Données projet'!$B$12,Paramètres!$A$1:$I$89,3,0)*VLOOKUP('Données projet'!$B$12,Paramètres!$A$1:$I$89,5,0)</f>
        <v>137.84685942857143</v>
      </c>
      <c r="CA50" s="13">
        <f t="shared" si="39"/>
        <v>35.803307170263928</v>
      </c>
      <c r="CB50" s="20">
        <f t="shared" si="10"/>
        <v>302.4407068263049</v>
      </c>
      <c r="CC50" s="59">
        <f t="shared" si="11"/>
        <v>595.77404015963816</v>
      </c>
      <c r="CD50" s="59">
        <f ca="1">AVERAGE(OFFSET($CC$3,0,0,'Données projet'!$E$12+1,1))-AVERAGE(OFFSET($H$3,0,0,'Données projet'!$E$12+1,1))</f>
        <v>502.65044103360322</v>
      </c>
      <c r="CE50" s="59">
        <f t="shared" si="40"/>
        <v>321.65762891855167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38.817716612304203</v>
      </c>
      <c r="CM50" s="21">
        <f>EXP(-LN(2)/2)*CM49+(1-EXP(-LN(2)/2))/(LN(2)/2)*CG50*CJ50*VLOOKUP('Données projet'!$B$12,Paramètres!$A$1:$I$89,3,0)*0.475*44/12</f>
        <v>4.8765596923897787</v>
      </c>
      <c r="CN50" s="22">
        <f t="shared" si="12"/>
        <v>43.694276304693979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3.8461538461538454</v>
      </c>
      <c r="N51" s="13">
        <f>IF('Données projet'!$A$36&gt;35,N50+M51-V50,IF(A51&lt;'Données projet'!$A$36,$K$205^A51,IF(A51='Données projet'!$A$36,'Données projet'!$B$36,N50+M51-V50)))</f>
        <v>103.20512820512818</v>
      </c>
      <c r="O51" s="13">
        <f>N51*VLOOKUP('Données projet'!$B$9,Paramètres!$A$1:$I$89,3,0)*VLOOKUP('Données projet'!$B$9,Paramètres!$A$1:$I$89,5,0)</f>
        <v>107.86999999999998</v>
      </c>
      <c r="P51" s="13">
        <f t="shared" si="33"/>
        <v>28.828570280930691</v>
      </c>
      <c r="Q51" s="20">
        <f t="shared" si="53"/>
        <v>238.08334323928753</v>
      </c>
      <c r="R51" s="59">
        <f t="shared" si="0"/>
        <v>531.41667657262087</v>
      </c>
      <c r="S51" s="59">
        <f ca="1">AVERAGE(OFFSET($R$3,0,0,'Données projet'!$E$9+1,1))-AVERAGE(OFFSET($H$3,0,0,'Données projet'!$E$9+1,1))</f>
        <v>239.26156489359892</v>
      </c>
      <c r="T51" s="59">
        <f t="shared" si="34"/>
        <v>213.97034450798111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13.16175658622517</v>
      </c>
      <c r="AB51" s="21">
        <f>EXP(-LN(2)/2)*AB50+(1-EXP(-LN(2)/2))/(LN(2)/2)*V51*Y51*VLOOKUP('Données projet'!$B$9,Paramètres!$A$1:$I$89,3,0)*0.475*44/12</f>
        <v>0</v>
      </c>
      <c r="AC51" s="22">
        <f t="shared" si="3"/>
        <v>13.16175658622517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9.6799999999999979</v>
      </c>
      <c r="AI51" s="13">
        <f>IF('Données projet'!$A$62&gt;35,AI50+AH51-AQ50,IF(A51&lt;'Données projet'!$A$62,$AF$205^A51,IF(A51='Données projet'!$A$62,'Données projet'!$B$62,AI50+AH51-AQ50)))</f>
        <v>163.81000000000023</v>
      </c>
      <c r="AJ51" s="13">
        <f>AI51*VLOOKUP('Données projet'!$B$10,Paramètres!$A$1:$I$89,3,0)*VLOOKUP('Données projet'!$B$10,Paramètres!$A$1:$I$89,5,0)</f>
        <v>166.10334000000026</v>
      </c>
      <c r="AK51" s="13">
        <f t="shared" si="35"/>
        <v>42.216127076984677</v>
      </c>
      <c r="AL51" s="20">
        <f t="shared" si="4"/>
        <v>362.82307182574874</v>
      </c>
      <c r="AM51" s="59">
        <f t="shared" si="5"/>
        <v>656.15640515908206</v>
      </c>
      <c r="AN51" s="59">
        <f ca="1">AVERAGE(OFFSET($AM$3,0,0,'Données projet'!$E$10+1,1))-AVERAGE(OFFSET($H$3,0,0,'Données projet'!$E$10+1,1))</f>
        <v>543.88440431478944</v>
      </c>
      <c r="AO51" s="59">
        <f t="shared" si="36"/>
        <v>342.63929463709457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26.360124354111619</v>
      </c>
      <c r="AW51" s="21">
        <f>EXP(-LN(2)/2)*AW50+(1-EXP(-LN(2)/2))/(LN(2)/2)*AQ51*AT51*VLOOKUP('Données projet'!$B$10,Paramètres!$A$1:$I$89,3,0)*0.475*44/12</f>
        <v>3.6681269412654194</v>
      </c>
      <c r="AX51" s="21">
        <f t="shared" si="6"/>
        <v>30.028251295377039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3.3603333333333336</v>
      </c>
      <c r="BD51" s="12">
        <f>IF('Données projet'!$A$88&gt;35,BD50+BC51-BL50,IF(A51&lt;'Données projet'!$A$88,$BA$205^A51,IF(A51='Données projet'!$A$88,'Données projet'!$B$88,BD50+BC51-BL50)))</f>
        <v>161.29599999999994</v>
      </c>
      <c r="BE51" s="13">
        <f>BD51*VLOOKUP('Données projet'!$B$11,Paramètres!$A$1:$I$89,3,0)*VLOOKUP('Données projet'!$B$11,Paramètres!$A$1:$I$89,5,0)</f>
        <v>183.68388479999993</v>
      </c>
      <c r="BF51" s="13">
        <f t="shared" si="37"/>
        <v>46.140813778613008</v>
      </c>
      <c r="BG51" s="20">
        <f t="shared" si="7"/>
        <v>400.27801669108413</v>
      </c>
      <c r="BH51" s="59">
        <f t="shared" si="8"/>
        <v>693.61135002441745</v>
      </c>
      <c r="BI51" s="59">
        <f ca="1">AVERAGE(OFFSET($BH$3,0,0,'Données projet'!$E$11+1,1))-AVERAGE(OFFSET($H$3,0,0,'Données projet'!$E$11+1,1))</f>
        <v>593.28343396240075</v>
      </c>
      <c r="BJ51" s="59">
        <f t="shared" si="38"/>
        <v>289.66477662068695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10.001428571428571</v>
      </c>
      <c r="BY51" s="12">
        <f>IF('Données projet'!$A$114&gt;35,BY50+BX51-CG50,IF(A51&lt;'Données projet'!$A$114,$BV$205^A51,IF(A51='Données projet'!$A$114,'Données projet'!$B$114,BY50+BX51-CG50)))</f>
        <v>138.06428571428572</v>
      </c>
      <c r="BZ51" s="13">
        <f>BY51*VLOOKUP('Données projet'!$B$12,Paramètres!$A$1:$I$89,3,0)*VLOOKUP('Données projet'!$B$12,Paramètres!$A$1:$I$89,5,0)</f>
        <v>148.61239714285713</v>
      </c>
      <c r="CA51" s="13">
        <f t="shared" si="39"/>
        <v>38.263077530368669</v>
      </c>
      <c r="CB51" s="20">
        <f t="shared" si="10"/>
        <v>325.47478505586827</v>
      </c>
      <c r="CC51" s="59">
        <f t="shared" si="11"/>
        <v>618.80811838920158</v>
      </c>
      <c r="CD51" s="59">
        <f ca="1">AVERAGE(OFFSET($CC$3,0,0,'Données projet'!$E$12+1,1))-AVERAGE(OFFSET($H$3,0,0,'Données projet'!$E$12+1,1))</f>
        <v>502.65044103360322</v>
      </c>
      <c r="CE51" s="59">
        <f t="shared" si="40"/>
        <v>321.65762891855167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37.756244110205749</v>
      </c>
      <c r="CM51" s="21">
        <f>EXP(-LN(2)/2)*CM50+(1-EXP(-LN(2)/2))/(LN(2)/2)*CG51*CJ51*VLOOKUP('Données projet'!$B$12,Paramètres!$A$1:$I$89,3,0)*0.475*44/12</f>
        <v>3.4482484273497969</v>
      </c>
      <c r="CN51" s="22">
        <f t="shared" si="12"/>
        <v>41.204492537555545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3.8461538461538454</v>
      </c>
      <c r="N52" s="13">
        <f>IF('Données projet'!$A$36&gt;35,N51+M52-V51,IF(A52&lt;'Données projet'!$A$36,$K$205^A52,IF(A52='Données projet'!$A$36,'Données projet'!$B$36,N51+M52-V51)))</f>
        <v>107.05128205128202</v>
      </c>
      <c r="O52" s="13">
        <f>N52*VLOOKUP('Données projet'!$B$9,Paramètres!$A$1:$I$89,3,0)*VLOOKUP('Données projet'!$B$9,Paramètres!$A$1:$I$89,5,0)</f>
        <v>111.88999999999997</v>
      </c>
      <c r="P52" s="13">
        <f t="shared" si="33"/>
        <v>29.775840844916228</v>
      </c>
      <c r="Q52" s="20">
        <f t="shared" si="53"/>
        <v>246.73467280489569</v>
      </c>
      <c r="R52" s="59">
        <f t="shared" si="0"/>
        <v>540.06800613822907</v>
      </c>
      <c r="S52" s="59">
        <f ca="1">AVERAGE(OFFSET($R$3,0,0,'Données projet'!$E$9+1,1))-AVERAGE(OFFSET($H$3,0,0,'Données projet'!$E$9+1,1))</f>
        <v>239.26156489359892</v>
      </c>
      <c r="T52" s="59">
        <f t="shared" si="34"/>
        <v>213.97034450798111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12.801847660228146</v>
      </c>
      <c r="AB52" s="21">
        <f>EXP(-LN(2)/2)*AB51+(1-EXP(-LN(2)/2))/(LN(2)/2)*V52*Y52*VLOOKUP('Données projet'!$B$9,Paramètres!$A$1:$I$89,3,0)*0.475*44/12</f>
        <v>0</v>
      </c>
      <c r="AC52" s="22">
        <f t="shared" si="3"/>
        <v>12.801847660228146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9.6799999999999979</v>
      </c>
      <c r="AI52" s="13">
        <f>IF('Données projet'!$A$62&gt;35,AI51+AH52-AQ51,IF(A52&lt;'Données projet'!$A$62,$AF$205^A52,IF(A52='Données projet'!$A$62,'Données projet'!$B$62,AI51+AH52-AQ51)))</f>
        <v>173.49000000000024</v>
      </c>
      <c r="AJ52" s="13">
        <f>AI52*VLOOKUP('Données projet'!$B$10,Paramètres!$A$1:$I$89,3,0)*VLOOKUP('Données projet'!$B$10,Paramètres!$A$1:$I$89,5,0)</f>
        <v>175.91886000000025</v>
      </c>
      <c r="AK52" s="13">
        <f t="shared" si="35"/>
        <v>44.412999335069074</v>
      </c>
      <c r="AL52" s="20">
        <f t="shared" si="4"/>
        <v>383.74465500857906</v>
      </c>
      <c r="AM52" s="59">
        <f t="shared" si="5"/>
        <v>677.07798834191237</v>
      </c>
      <c r="AN52" s="59">
        <f ca="1">AVERAGE(OFFSET($AM$3,0,0,'Données projet'!$E$10+1,1))-AVERAGE(OFFSET($H$3,0,0,'Données projet'!$E$10+1,1))</f>
        <v>543.88440431478944</v>
      </c>
      <c r="AO52" s="59">
        <f t="shared" si="36"/>
        <v>342.63929463709457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25.639305367429746</v>
      </c>
      <c r="AW52" s="21">
        <f>EXP(-LN(2)/2)*AW51+(1-EXP(-LN(2)/2))/(LN(2)/2)*AQ52*AT52*VLOOKUP('Données projet'!$B$10,Paramètres!$A$1:$I$89,3,0)*0.475*44/12</f>
        <v>2.593757434421847</v>
      </c>
      <c r="AX52" s="21">
        <f t="shared" si="6"/>
        <v>28.233062801851592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3.3603333333333336</v>
      </c>
      <c r="BD52" s="12">
        <f>IF('Données projet'!$A$88&gt;35,BD51+BC52-BL51,IF(A52&lt;'Données projet'!$A$88,$BA$205^A52,IF(A52='Données projet'!$A$88,'Données projet'!$B$88,BD51+BC52-BL51)))</f>
        <v>164.65633333333327</v>
      </c>
      <c r="BE52" s="13">
        <f>BD52*VLOOKUP('Données projet'!$B$11,Paramètres!$A$1:$I$89,3,0)*VLOOKUP('Données projet'!$B$11,Paramètres!$A$1:$I$89,5,0)</f>
        <v>187.51063239999991</v>
      </c>
      <c r="BF52" s="13">
        <f t="shared" si="37"/>
        <v>46.989167288603106</v>
      </c>
      <c r="BG52" s="20">
        <f t="shared" si="7"/>
        <v>408.42048445765022</v>
      </c>
      <c r="BH52" s="59">
        <f t="shared" si="8"/>
        <v>701.75381779098348</v>
      </c>
      <c r="BI52" s="59">
        <f ca="1">AVERAGE(OFFSET($BH$3,0,0,'Données projet'!$E$11+1,1))-AVERAGE(OFFSET($H$3,0,0,'Données projet'!$E$11+1,1))</f>
        <v>593.28343396240075</v>
      </c>
      <c r="BJ52" s="59">
        <f t="shared" si="38"/>
        <v>289.66477662068695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10.001428571428571</v>
      </c>
      <c r="BY52" s="12">
        <f>IF('Données projet'!$A$114&gt;35,BY51+BX52-CG51,IF(A52&lt;'Données projet'!$A$114,$BV$205^A52,IF(A52='Données projet'!$A$114,'Données projet'!$B$114,BY51+BX52-CG51)))</f>
        <v>148.06571428571428</v>
      </c>
      <c r="BZ52" s="13">
        <f>BY52*VLOOKUP('Données projet'!$B$12,Paramètres!$A$1:$I$89,3,0)*VLOOKUP('Données projet'!$B$12,Paramètres!$A$1:$I$89,5,0)</f>
        <v>159.37793485714283</v>
      </c>
      <c r="CA52" s="13">
        <f t="shared" si="39"/>
        <v>40.702175082823857</v>
      </c>
      <c r="CB52" s="20">
        <f t="shared" si="10"/>
        <v>348.47285814544199</v>
      </c>
      <c r="CC52" s="59">
        <f t="shared" si="11"/>
        <v>641.8061914787753</v>
      </c>
      <c r="CD52" s="59">
        <f ca="1">AVERAGE(OFFSET($CC$3,0,0,'Données projet'!$E$12+1,1))-AVERAGE(OFFSET($H$3,0,0,'Données projet'!$E$12+1,1))</f>
        <v>502.65044103360322</v>
      </c>
      <c r="CE52" s="59">
        <f t="shared" si="40"/>
        <v>321.65762891855167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36.723797629497589</v>
      </c>
      <c r="CM52" s="21">
        <f>EXP(-LN(2)/2)*CM51+(1-EXP(-LN(2)/2))/(LN(2)/2)*CG52*CJ52*VLOOKUP('Données projet'!$B$12,Paramètres!$A$1:$I$89,3,0)*0.475*44/12</f>
        <v>2.4382798461948898</v>
      </c>
      <c r="CN52" s="22">
        <f t="shared" si="12"/>
        <v>39.162077475692477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110.89743589743588</v>
      </c>
      <c r="L53" s="12">
        <f>VLOOKUP(A53,'Données projet'!$A$35:$I$55,9,0)</f>
        <v>3.8461538461538454</v>
      </c>
      <c r="M53" s="12">
        <f t="array" ref="M53">INDEX(L:L,MIN(IF(ISNUMBER(L53:L249),ROW(L53:L249),"")))</f>
        <v>3.8461538461538454</v>
      </c>
      <c r="N53" s="13">
        <f>IF('Données projet'!$A$36&gt;35,N52+M53-V52,IF(A53&lt;'Données projet'!$A$36,$K$205^A53,IF(A53='Données projet'!$A$36,'Données projet'!$B$36,N52+M53-V52)))</f>
        <v>110.89743589743586</v>
      </c>
      <c r="O53" s="13">
        <f>N53*VLOOKUP('Données projet'!$B$9,Paramètres!$A$1:$I$89,3,0)*VLOOKUP('Données projet'!$B$9,Paramètres!$A$1:$I$89,5,0)</f>
        <v>115.90999999999997</v>
      </c>
      <c r="P53" s="13">
        <f t="shared" si="33"/>
        <v>30.719157262842881</v>
      </c>
      <c r="Q53" s="20">
        <f t="shared" si="53"/>
        <v>255.37911556611792</v>
      </c>
      <c r="R53" s="59">
        <f t="shared" si="0"/>
        <v>548.71244889945126</v>
      </c>
      <c r="S53" s="59">
        <f ca="1">AVERAGE(OFFSET($R$3,0,0,'Données projet'!$E$9+1,1))-AVERAGE(OFFSET($H$3,0,0,'Données projet'!$E$9+1,1))</f>
        <v>239.26156489359892</v>
      </c>
      <c r="T53" s="59">
        <f t="shared" si="34"/>
        <v>213.97034450798111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11.538461538461538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0.215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15.306868602639014</v>
      </c>
      <c r="AB53" s="21">
        <f>EXP(-LN(2)/2)*AB52+(1-EXP(-LN(2)/2))/(LN(2)/2)*V53*Y53*VLOOKUP('Données projet'!$B$9,Paramètres!$A$1:$I$89,3,0)*0.475*44/12</f>
        <v>0</v>
      </c>
      <c r="AC53" s="22">
        <f t="shared" si="3"/>
        <v>15.306868602639014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9.6799999999999979</v>
      </c>
      <c r="AI53" s="13">
        <f>IF('Données projet'!$A$62&gt;35,AI52+AH53-AQ52,IF(A53&lt;'Données projet'!$A$62,$AF$205^A53,IF(A53='Données projet'!$A$62,'Données projet'!$B$62,AI52+AH53-AQ52)))</f>
        <v>183.17000000000024</v>
      </c>
      <c r="AJ53" s="13">
        <f>AI53*VLOOKUP('Données projet'!$B$10,Paramètres!$A$1:$I$89,3,0)*VLOOKUP('Données projet'!$B$10,Paramètres!$A$1:$I$89,5,0)</f>
        <v>185.73438000000027</v>
      </c>
      <c r="AK53" s="13">
        <f t="shared" si="35"/>
        <v>46.59564217659004</v>
      </c>
      <c r="AL53" s="20">
        <f t="shared" si="4"/>
        <v>404.64145529089478</v>
      </c>
      <c r="AM53" s="59">
        <f t="shared" si="5"/>
        <v>697.97478862422804</v>
      </c>
      <c r="AN53" s="59">
        <f ca="1">AVERAGE(OFFSET($AM$3,0,0,'Données projet'!$E$10+1,1))-AVERAGE(OFFSET($H$3,0,0,'Données projet'!$E$10+1,1))</f>
        <v>543.88440431478944</v>
      </c>
      <c r="AO53" s="59">
        <f t="shared" si="36"/>
        <v>342.63929463709457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24.938197213844909</v>
      </c>
      <c r="AW53" s="21">
        <f>EXP(-LN(2)/2)*AW52+(1-EXP(-LN(2)/2))/(LN(2)/2)*AQ53*AT53*VLOOKUP('Données projet'!$B$10,Paramètres!$A$1:$I$89,3,0)*0.475*44/12</f>
        <v>1.8340634706327099</v>
      </c>
      <c r="AX53" s="21">
        <f t="shared" si="6"/>
        <v>26.772260684477619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3.3603333333333336</v>
      </c>
      <c r="BD53" s="12">
        <f>IF('Données projet'!$A$88&gt;35,BD52+BC53-BL52,IF(A53&lt;'Données projet'!$A$88,$BA$205^A53,IF(A53='Données projet'!$A$88,'Données projet'!$B$88,BD52+BC53-BL52)))</f>
        <v>168.01666666666659</v>
      </c>
      <c r="BE53" s="13">
        <f>BD53*VLOOKUP('Données projet'!$B$11,Paramètres!$A$1:$I$89,3,0)*VLOOKUP('Données projet'!$B$11,Paramètres!$A$1:$I$89,5,0)</f>
        <v>191.33737999999994</v>
      </c>
      <c r="BF53" s="13">
        <f t="shared" si="37"/>
        <v>47.835507770222058</v>
      </c>
      <c r="BG53" s="20">
        <f t="shared" si="7"/>
        <v>416.55944619980323</v>
      </c>
      <c r="BH53" s="59">
        <f t="shared" si="8"/>
        <v>709.89277953313649</v>
      </c>
      <c r="BI53" s="59">
        <f ca="1">AVERAGE(OFFSET($BH$3,0,0,'Données projet'!$E$11+1,1))-AVERAGE(OFFSET($H$3,0,0,'Données projet'!$E$11+1,1))</f>
        <v>593.28343396240075</v>
      </c>
      <c r="BJ53" s="59">
        <f t="shared" si="38"/>
        <v>289.66477662068695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10.001428571428571</v>
      </c>
      <c r="BY53" s="12">
        <f>IF('Données projet'!$A$114&gt;35,BY52+BX53-CG52,IF(A53&lt;'Données projet'!$A$114,$BV$205^A53,IF(A53='Données projet'!$A$114,'Données projet'!$B$114,BY52+BX53-CG52)))</f>
        <v>158.06714285714284</v>
      </c>
      <c r="BZ53" s="13">
        <f>BY53*VLOOKUP('Données projet'!$B$12,Paramètres!$A$1:$I$89,3,0)*VLOOKUP('Données projet'!$B$12,Paramètres!$A$1:$I$89,5,0)</f>
        <v>170.14347257142856</v>
      </c>
      <c r="CA53" s="13">
        <f t="shared" si="39"/>
        <v>43.122155090778605</v>
      </c>
      <c r="CB53" s="20">
        <f t="shared" si="10"/>
        <v>371.43763484501079</v>
      </c>
      <c r="CC53" s="59">
        <f t="shared" si="11"/>
        <v>664.77096817834411</v>
      </c>
      <c r="CD53" s="59">
        <f ca="1">AVERAGE(OFFSET($CC$3,0,0,'Données projet'!$E$12+1,1))-AVERAGE(OFFSET($H$3,0,0,'Données projet'!$E$12+1,1))</f>
        <v>502.65044103360322</v>
      </c>
      <c r="CE53" s="59">
        <f t="shared" si="40"/>
        <v>321.65762891855167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35.719583452098391</v>
      </c>
      <c r="CM53" s="21">
        <f>EXP(-LN(2)/2)*CM52+(1-EXP(-LN(2)/2))/(LN(2)/2)*CG53*CJ53*VLOOKUP('Données projet'!$B$12,Paramètres!$A$1:$I$89,3,0)*0.475*44/12</f>
        <v>1.7241242136748989</v>
      </c>
      <c r="CN53" s="22">
        <f t="shared" si="12"/>
        <v>37.443707665773289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3.3333333333333344</v>
      </c>
      <c r="N54" s="13">
        <f>IF('Données projet'!$A$36&gt;35,N53+M54-V53,IF(A54&lt;'Données projet'!$A$36,$K$205^A54,IF(A54='Données projet'!$A$36,'Données projet'!$B$36,N53+M54-V53)))</f>
        <v>102.69230769230765</v>
      </c>
      <c r="O54" s="13">
        <f>N54*VLOOKUP('Données projet'!$B$9,Paramètres!$A$1:$I$89,3,0)*VLOOKUP('Données projet'!$B$9,Paramètres!$A$1:$I$89,5,0)</f>
        <v>107.33399999999996</v>
      </c>
      <c r="P54" s="13">
        <f t="shared" si="33"/>
        <v>28.701960070059993</v>
      </c>
      <c r="Q54" s="20">
        <f t="shared" si="53"/>
        <v>236.9292971220211</v>
      </c>
      <c r="R54" s="59">
        <f t="shared" si="0"/>
        <v>530.26263045535438</v>
      </c>
      <c r="S54" s="59">
        <f ca="1">AVERAGE(OFFSET($R$3,0,0,'Données projet'!$E$9+1,1))-AVERAGE(OFFSET($H$3,0,0,'Données projet'!$E$9+1,1))</f>
        <v>239.26156489359892</v>
      </c>
      <c r="T54" s="59">
        <f t="shared" si="34"/>
        <v>213.97034450798111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14.888301475746614</v>
      </c>
      <c r="AB54" s="21">
        <f>EXP(-LN(2)/2)*AB53+(1-EXP(-LN(2)/2))/(LN(2)/2)*V54*Y54*VLOOKUP('Données projet'!$B$9,Paramètres!$A$1:$I$89,3,0)*0.475*44/12</f>
        <v>0</v>
      </c>
      <c r="AC54" s="22">
        <f t="shared" si="3"/>
        <v>14.888301475746614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>
        <f>VLOOKUP(A54,'Données projet'!$A$61:$I$81,2,0)</f>
        <v>192.85</v>
      </c>
      <c r="AG54" s="12">
        <f>VLOOKUP(A54,'Données projet'!$A$61:$I$81,9,0)</f>
        <v>9.6799999999999979</v>
      </c>
      <c r="AH54" s="12">
        <f t="array" ref="AH54">INDEX(AG:AG,MIN(IF(ISNUMBER(AG54:AG250),ROW(AG54:AG250),"")))</f>
        <v>9.6799999999999979</v>
      </c>
      <c r="AI54" s="13">
        <f>IF('Données projet'!$A$62&gt;35,AI53+AH54-AQ53,IF(A54&lt;'Données projet'!$A$62,$AF$205^A54,IF(A54='Données projet'!$A$62,'Données projet'!$B$62,AI53+AH54-AQ53)))</f>
        <v>192.85000000000025</v>
      </c>
      <c r="AJ54" s="13">
        <f>AI54*VLOOKUP('Données projet'!$B$10,Paramètres!$A$1:$I$89,3,0)*VLOOKUP('Données projet'!$B$10,Paramètres!$A$1:$I$89,5,0)</f>
        <v>195.54990000000026</v>
      </c>
      <c r="AK54" s="13">
        <f t="shared" si="35"/>
        <v>48.764893338569415</v>
      </c>
      <c r="AL54" s="20">
        <f t="shared" si="4"/>
        <v>425.51493173134213</v>
      </c>
      <c r="AM54" s="59">
        <f t="shared" si="5"/>
        <v>718.84826506467539</v>
      </c>
      <c r="AN54" s="59">
        <f ca="1">AVERAGE(OFFSET($AM$3,0,0,'Données projet'!$E$10+1,1))-AVERAGE(OFFSET($H$3,0,0,'Données projet'!$E$10+1,1))</f>
        <v>543.88440431478944</v>
      </c>
      <c r="AO54" s="59">
        <f t="shared" si="36"/>
        <v>342.63929463709457</v>
      </c>
      <c r="AP54" s="15">
        <f>IF(ISNA(VLOOKUP(A54,'Données projet'!$A$61:$I$81,3,0)),0,VLOOKUP(A54,'Données projet'!$A$61:$I$81,3,0))</f>
        <v>2</v>
      </c>
      <c r="AQ54" s="15">
        <f>IF(ISNA(VLOOKUP(A54,'Données projet'!$A$61:$I$81,4,0)),0,VLOOKUP(A54,'Données projet'!$A$61:$I$81,4,0))</f>
        <v>48.769999999999982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0.34400000000000003</v>
      </c>
      <c r="AT54" s="16">
        <f>IF(ISNA(VLOOKUP(A54,'Données projet'!$A$61:$I$81,7,0)),0%,VLOOKUP(A54,'Données projet'!$A$61:$I$81,7,0))</f>
        <v>0.2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42.988207256215688</v>
      </c>
      <c r="AW54" s="21">
        <f>EXP(-LN(2)/2)*AW53+(1-EXP(-LN(2)/2))/(LN(2)/2)*AQ54*AT54*VLOOKUP('Données projet'!$B$10,Paramètres!$A$1:$I$89,3,0)*0.475*44/12</f>
        <v>10.62888450362273</v>
      </c>
      <c r="AX54" s="21">
        <f t="shared" si="6"/>
        <v>53.617091759838416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3.3603333333333336</v>
      </c>
      <c r="BD54" s="12">
        <f>IF('Données projet'!$A$88&gt;35,BD53+BC54-BL53,IF(A54&lt;'Données projet'!$A$88,$BA$205^A54,IF(A54='Données projet'!$A$88,'Données projet'!$B$88,BD53+BC54-BL53)))</f>
        <v>171.37699999999992</v>
      </c>
      <c r="BE54" s="13">
        <f>BD54*VLOOKUP('Données projet'!$B$11,Paramètres!$A$1:$I$89,3,0)*VLOOKUP('Données projet'!$B$11,Paramètres!$A$1:$I$89,5,0)</f>
        <v>195.16412759999992</v>
      </c>
      <c r="BF54" s="13">
        <f t="shared" si="37"/>
        <v>48.679880124131074</v>
      </c>
      <c r="BG54" s="20">
        <f t="shared" si="7"/>
        <v>424.69498011952811</v>
      </c>
      <c r="BH54" s="59">
        <f t="shared" si="8"/>
        <v>718.02831345286143</v>
      </c>
      <c r="BI54" s="59">
        <f ca="1">AVERAGE(OFFSET($BH$3,0,0,'Données projet'!$E$11+1,1))-AVERAGE(OFFSET($H$3,0,0,'Données projet'!$E$11+1,1))</f>
        <v>593.28343396240075</v>
      </c>
      <c r="BJ54" s="59">
        <f t="shared" si="38"/>
        <v>289.66477662068695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10.001428571428571</v>
      </c>
      <c r="BY54" s="12">
        <f>IF('Données projet'!$A$114&gt;35,BY53+BX54-CG53,IF(A54&lt;'Données projet'!$A$114,$BV$205^A54,IF(A54='Données projet'!$A$114,'Données projet'!$B$114,BY53+BX54-CG53)))</f>
        <v>168.0685714285714</v>
      </c>
      <c r="BZ54" s="13">
        <f>BY54*VLOOKUP('Données projet'!$B$12,Paramètres!$A$1:$I$89,3,0)*VLOOKUP('Données projet'!$B$12,Paramètres!$A$1:$I$89,5,0)</f>
        <v>180.90901028571423</v>
      </c>
      <c r="CA54" s="13">
        <f t="shared" si="39"/>
        <v>45.524364878568001</v>
      </c>
      <c r="CB54" s="20">
        <f t="shared" si="10"/>
        <v>394.3714617444582</v>
      </c>
      <c r="CC54" s="59">
        <f t="shared" si="11"/>
        <v>687.70479507779146</v>
      </c>
      <c r="CD54" s="59">
        <f ca="1">AVERAGE(OFFSET($CC$3,0,0,'Données projet'!$E$12+1,1))-AVERAGE(OFFSET($H$3,0,0,'Données projet'!$E$12+1,1))</f>
        <v>502.65044103360322</v>
      </c>
      <c r="CE54" s="59">
        <f t="shared" si="40"/>
        <v>321.65762891855167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34.742829564189506</v>
      </c>
      <c r="CM54" s="21">
        <f>EXP(-LN(2)/2)*CM53+(1-EXP(-LN(2)/2))/(LN(2)/2)*CG54*CJ54*VLOOKUP('Données projet'!$B$12,Paramètres!$A$1:$I$89,3,0)*0.475*44/12</f>
        <v>1.2191399230974451</v>
      </c>
      <c r="CN54" s="22">
        <f t="shared" si="12"/>
        <v>35.96196948728695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3.3333333333333344</v>
      </c>
      <c r="N55" s="13">
        <f>IF('Données projet'!$A$36&gt;35,N54+M55-V54,IF(A55&lt;'Données projet'!$A$36,$K$205^A55,IF(A55='Données projet'!$A$36,'Données projet'!$B$36,N54+M55-V54)))</f>
        <v>106.02564102564098</v>
      </c>
      <c r="O55" s="13">
        <f>N55*VLOOKUP('Données projet'!$B$9,Paramètres!$A$1:$I$89,3,0)*VLOOKUP('Données projet'!$B$9,Paramètres!$A$1:$I$89,5,0)</f>
        <v>110.81799999999996</v>
      </c>
      <c r="P55" s="13">
        <f t="shared" si="33"/>
        <v>29.523628571023192</v>
      </c>
      <c r="Q55" s="20">
        <f t="shared" si="53"/>
        <v>244.42833642786528</v>
      </c>
      <c r="R55" s="59">
        <f t="shared" si="0"/>
        <v>537.76166976119862</v>
      </c>
      <c r="S55" s="59">
        <f ca="1">AVERAGE(OFFSET($R$3,0,0,'Données projet'!$E$9+1,1))-AVERAGE(OFFSET($H$3,0,0,'Données projet'!$E$9+1,1))</f>
        <v>239.26156489359892</v>
      </c>
      <c r="T55" s="59">
        <f t="shared" si="34"/>
        <v>213.97034450798111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14.481180088950575</v>
      </c>
      <c r="AB55" s="21">
        <f>EXP(-LN(2)/2)*AB54+(1-EXP(-LN(2)/2))/(LN(2)/2)*V55*Y55*VLOOKUP('Données projet'!$B$9,Paramètres!$A$1:$I$89,3,0)*0.475*44/12</f>
        <v>0</v>
      </c>
      <c r="AC55" s="22">
        <f t="shared" si="3"/>
        <v>14.481180088950575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9.1524999999999999</v>
      </c>
      <c r="AI55" s="13">
        <f>IF('Données projet'!$A$62&gt;35,AI54+AH55-AQ54,IF(A55&lt;'Données projet'!$A$62,$AF$205^A55,IF(A55='Données projet'!$A$62,'Données projet'!$B$62,AI54+AH55-AQ54)))</f>
        <v>153.23250000000027</v>
      </c>
      <c r="AJ55" s="13">
        <f>AI55*VLOOKUP('Données projet'!$B$10,Paramètres!$A$1:$I$89,3,0)*VLOOKUP('Données projet'!$B$10,Paramètres!$A$1:$I$89,5,0)</f>
        <v>155.37775500000029</v>
      </c>
      <c r="AK55" s="13">
        <f t="shared" si="35"/>
        <v>39.798183106747906</v>
      </c>
      <c r="AL55" s="20">
        <f t="shared" si="4"/>
        <v>339.93142553591974</v>
      </c>
      <c r="AM55" s="59">
        <f t="shared" si="5"/>
        <v>633.264758869253</v>
      </c>
      <c r="AN55" s="59">
        <f ca="1">AVERAGE(OFFSET($AM$3,0,0,'Données projet'!$E$10+1,1))-AVERAGE(OFFSET($H$3,0,0,'Données projet'!$E$10+1,1))</f>
        <v>543.88440431478944</v>
      </c>
      <c r="AO55" s="59">
        <f t="shared" si="36"/>
        <v>342.63929463709457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41.812692468142899</v>
      </c>
      <c r="AW55" s="21">
        <f>EXP(-LN(2)/2)*AW54+(1-EXP(-LN(2)/2))/(LN(2)/2)*AQ55*AT55*VLOOKUP('Données projet'!$B$10,Paramètres!$A$1:$I$89,3,0)*0.475*44/12</f>
        <v>7.5157563089602446</v>
      </c>
      <c r="AX55" s="21">
        <f t="shared" si="6"/>
        <v>49.328448777103141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3.3603333333333336</v>
      </c>
      <c r="BD55" s="12">
        <f>IF('Données projet'!$A$88&gt;35,BD54+BC55-BL54,IF(A55&lt;'Données projet'!$A$88,$BA$205^A55,IF(A55='Données projet'!$A$88,'Données projet'!$B$88,BD54+BC55-BL54)))</f>
        <v>174.73733333333325</v>
      </c>
      <c r="BE55" s="13">
        <f>BD55*VLOOKUP('Données projet'!$B$11,Paramètres!$A$1:$I$89,3,0)*VLOOKUP('Données projet'!$B$11,Paramètres!$A$1:$I$89,5,0)</f>
        <v>198.99087519999992</v>
      </c>
      <c r="BF55" s="13">
        <f t="shared" si="37"/>
        <v>49.522327389469048</v>
      </c>
      <c r="BG55" s="20">
        <f t="shared" si="7"/>
        <v>432.82716117665836</v>
      </c>
      <c r="BH55" s="59">
        <f t="shared" si="8"/>
        <v>726.16049450999162</v>
      </c>
      <c r="BI55" s="59">
        <f ca="1">AVERAGE(OFFSET($BH$3,0,0,'Données projet'!$E$11+1,1))-AVERAGE(OFFSET($H$3,0,0,'Données projet'!$E$11+1,1))</f>
        <v>593.28343396240075</v>
      </c>
      <c r="BJ55" s="59">
        <f t="shared" si="38"/>
        <v>289.66477662068695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>
        <f>VLOOKUP(A55,'Données projet'!$A$113:$I$133,2,0)</f>
        <v>178.07</v>
      </c>
      <c r="BW55" s="12">
        <f>VLOOKUP(A55,'Données projet'!$A$113:$I$133,9,0)</f>
        <v>10.001428571428571</v>
      </c>
      <c r="BX55" s="12">
        <f t="array" ref="BX55">INDEX(BW:BW,MIN(IF(ISNUMBER(BW55:BW251),ROW(BW55:BW251),"")))</f>
        <v>10.001428571428571</v>
      </c>
      <c r="BY55" s="12">
        <f>IF('Données projet'!$A$114&gt;35,BY54+BX55-CG54,IF(A55&lt;'Données projet'!$A$114,$BV$205^A55,IF(A55='Données projet'!$A$114,'Données projet'!$B$114,BY54+BX55-CG54)))</f>
        <v>178.06999999999996</v>
      </c>
      <c r="BZ55" s="13">
        <f>BY55*VLOOKUP('Données projet'!$B$12,Paramètres!$A$1:$I$89,3,0)*VLOOKUP('Données projet'!$B$12,Paramètres!$A$1:$I$89,5,0)</f>
        <v>191.67454799999996</v>
      </c>
      <c r="CA55" s="13">
        <f t="shared" si="39"/>
        <v>47.909982358169465</v>
      </c>
      <c r="CB55" s="20">
        <f t="shared" si="10"/>
        <v>417.27639037381169</v>
      </c>
      <c r="CC55" s="59">
        <f t="shared" si="11"/>
        <v>710.60972370714501</v>
      </c>
      <c r="CD55" s="59">
        <f ca="1">AVERAGE(OFFSET($CC$3,0,0,'Données projet'!$E$12+1,1))-AVERAGE(OFFSET($H$3,0,0,'Données projet'!$E$12+1,1))</f>
        <v>502.65044103360322</v>
      </c>
      <c r="CE55" s="59">
        <f t="shared" si="40"/>
        <v>321.65762891855167</v>
      </c>
      <c r="CF55" s="15">
        <f>IF(ISNA(VLOOKUP(A55,'Données projet'!$A$113:$I$133,3,0)),0,VLOOKUP(A55,'Données projet'!$A$113:$I$133,3,0))</f>
        <v>3</v>
      </c>
      <c r="CG55" s="15">
        <f>IF(ISNA(VLOOKUP(A55,'Données projet'!$A$113:$I$133,4,0)),0,VLOOKUP(A55,'Données projet'!$A$113:$I$133,4,0))</f>
        <v>44.400000000000006</v>
      </c>
      <c r="CH55" s="16">
        <f>IF(ISNA(VLOOKUP(A55,'Données projet'!$A$113:$I$133,5,0)),0%,VLOOKUP(A55,'Données projet'!$A$113:$I$133,5,0)*VLOOKUP('Données projet'!$B$12,Paramètres!$A$1:$I$89,7,0))</f>
        <v>0.15049999999999999</v>
      </c>
      <c r="CI55" s="16">
        <f>IF(ISNA(VLOOKUP(A55,'Données projet'!$A$113:$I$133,6,0)),0%,VLOOKUP(A55,'Données projet'!$A$113:$I$133,6,0)*VLOOKUP('Données projet'!$B$12,Paramètres!$A$1:$I$89,7,0))</f>
        <v>8.6000000000000007E-2</v>
      </c>
      <c r="CJ55" s="16">
        <f>IF(ISNA(VLOOKUP(A55,'Données projet'!$A$113:$I$133,7,0)),0%,VLOOKUP(A55,'Données projet'!$A$113:$I$133,7,0))</f>
        <v>0.1</v>
      </c>
      <c r="CK55" s="21">
        <f>EXP(-LN(2)/35)*CK54+(1-EXP(-LN(2)/35))/(LN(2)/35)*CG55*CH55*VLOOKUP('Données projet'!$B$12,Paramètres!$A$1:$I$89,3,0)*0.475*44/12</f>
        <v>7.9513389967118711</v>
      </c>
      <c r="CL55" s="21">
        <f>EXP(-LN(2)/25)*CL54+(1-EXP(-LN(2)/25))/(LN(2)/25)*Calculateur!CG55*Calculateur!CI55*VLOOKUP('Données projet'!$B$12,Paramètres!$A$1:$I$89,3,0)*0.475*44/12</f>
        <v>38.318517374358819</v>
      </c>
      <c r="CM55" s="21">
        <f>EXP(-LN(2)/2)*CM54+(1-EXP(-LN(2)/2))/(LN(2)/2)*CG55*CJ55*VLOOKUP('Données projet'!$B$12,Paramètres!$A$1:$I$89,3,0)*0.475*44/12</f>
        <v>5.3713810335501559</v>
      </c>
      <c r="CN55" s="22">
        <f t="shared" si="12"/>
        <v>51.641237404620846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3.3333333333333344</v>
      </c>
      <c r="N56" s="13">
        <f>IF('Données projet'!$A$36&gt;35,N55+M56-V55,IF(A56&lt;'Données projet'!$A$36,$K$205^A56,IF(A56='Données projet'!$A$36,'Données projet'!$B$36,N55+M56-V55)))</f>
        <v>109.35897435897431</v>
      </c>
      <c r="O56" s="13">
        <f>N56*VLOOKUP('Données projet'!$B$9,Paramètres!$A$1:$I$89,3,0)*VLOOKUP('Données projet'!$B$9,Paramètres!$A$1:$I$89,5,0)</f>
        <v>114.30199999999996</v>
      </c>
      <c r="P56" s="13">
        <f t="shared" si="33"/>
        <v>30.342295155235718</v>
      </c>
      <c r="Q56" s="20">
        <f t="shared" si="53"/>
        <v>251.9221473953688</v>
      </c>
      <c r="R56" s="59">
        <f t="shared" si="0"/>
        <v>545.25548072870208</v>
      </c>
      <c r="S56" s="59">
        <f ca="1">AVERAGE(OFFSET($R$3,0,0,'Données projet'!$E$9+1,1))-AVERAGE(OFFSET($H$3,0,0,'Données projet'!$E$9+1,1))</f>
        <v>239.26156489359892</v>
      </c>
      <c r="T56" s="59">
        <f t="shared" si="34"/>
        <v>213.97034450798111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14.085191457886058</v>
      </c>
      <c r="AB56" s="21">
        <f>EXP(-LN(2)/2)*AB55+(1-EXP(-LN(2)/2))/(LN(2)/2)*V56*Y56*VLOOKUP('Données projet'!$B$9,Paramètres!$A$1:$I$89,3,0)*0.475*44/12</f>
        <v>0</v>
      </c>
      <c r="AC56" s="22">
        <f t="shared" si="3"/>
        <v>14.085191457886058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9.1524999999999999</v>
      </c>
      <c r="AI56" s="13">
        <f>IF('Données projet'!$A$62&gt;35,AI55+AH56-AQ55,IF(A56&lt;'Données projet'!$A$62,$AF$205^A56,IF(A56='Données projet'!$A$62,'Données projet'!$B$62,AI55+AH56-AQ55)))</f>
        <v>162.38500000000028</v>
      </c>
      <c r="AJ56" s="13">
        <f>AI56*VLOOKUP('Données projet'!$B$10,Paramètres!$A$1:$I$89,3,0)*VLOOKUP('Données projet'!$B$10,Paramètres!$A$1:$I$89,5,0)</f>
        <v>164.65839000000028</v>
      </c>
      <c r="AK56" s="13">
        <f t="shared" si="35"/>
        <v>41.89146685089203</v>
      </c>
      <c r="AL56" s="20">
        <f t="shared" si="4"/>
        <v>359.74100068197072</v>
      </c>
      <c r="AM56" s="59">
        <f t="shared" si="5"/>
        <v>653.07433401530398</v>
      </c>
      <c r="AN56" s="59">
        <f ca="1">AVERAGE(OFFSET($AM$3,0,0,'Données projet'!$E$10+1,1))-AVERAGE(OFFSET($H$3,0,0,'Données projet'!$E$10+1,1))</f>
        <v>543.88440431478944</v>
      </c>
      <c r="AO56" s="59">
        <f t="shared" si="36"/>
        <v>342.63929463709457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40.669322193767599</v>
      </c>
      <c r="AW56" s="21">
        <f>EXP(-LN(2)/2)*AW55+(1-EXP(-LN(2)/2))/(LN(2)/2)*AQ56*AT56*VLOOKUP('Données projet'!$B$10,Paramètres!$A$1:$I$89,3,0)*0.475*44/12</f>
        <v>5.3144422518113661</v>
      </c>
      <c r="AX56" s="21">
        <f t="shared" si="6"/>
        <v>45.983764445578963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3.3603333333333336</v>
      </c>
      <c r="BD56" s="12">
        <f>IF('Données projet'!$A$88&gt;35,BD55+BC56-BL55,IF(A56&lt;'Données projet'!$A$88,$BA$205^A56,IF(A56='Données projet'!$A$88,'Données projet'!$B$88,BD55+BC56-BL55)))</f>
        <v>178.09766666666658</v>
      </c>
      <c r="BE56" s="13">
        <f>BD56*VLOOKUP('Données projet'!$B$11,Paramètres!$A$1:$I$89,3,0)*VLOOKUP('Données projet'!$B$11,Paramètres!$A$1:$I$89,5,0)</f>
        <v>202.8176227999999</v>
      </c>
      <c r="BF56" s="13">
        <f t="shared" si="37"/>
        <v>50.362890855317765</v>
      </c>
      <c r="BG56" s="20">
        <f t="shared" si="7"/>
        <v>440.95606128301159</v>
      </c>
      <c r="BH56" s="59">
        <f t="shared" si="8"/>
        <v>734.28939461634491</v>
      </c>
      <c r="BI56" s="59">
        <f ca="1">AVERAGE(OFFSET($BH$3,0,0,'Données projet'!$E$11+1,1))-AVERAGE(OFFSET($H$3,0,0,'Données projet'!$E$11+1,1))</f>
        <v>593.28343396240075</v>
      </c>
      <c r="BJ56" s="59">
        <f t="shared" si="38"/>
        <v>289.66477662068695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9.8828571428571443</v>
      </c>
      <c r="BY56" s="12">
        <f>IF('Données projet'!$A$114&gt;35,BY55+BX56-CG55,IF(A56&lt;'Données projet'!$A$114,$BV$205^A56,IF(A56='Données projet'!$A$114,'Données projet'!$B$114,BY55+BX56-CG55)))</f>
        <v>143.55285714285711</v>
      </c>
      <c r="BZ56" s="13">
        <f>BY56*VLOOKUP('Données projet'!$B$12,Paramètres!$A$1:$I$89,3,0)*VLOOKUP('Données projet'!$B$12,Paramètres!$A$1:$I$89,5,0)</f>
        <v>154.52029542857136</v>
      </c>
      <c r="CA56" s="13">
        <f t="shared" si="39"/>
        <v>39.604057192238628</v>
      </c>
      <c r="CB56" s="20">
        <f t="shared" si="10"/>
        <v>338.09991414791068</v>
      </c>
      <c r="CC56" s="59">
        <f t="shared" si="11"/>
        <v>631.43324748124405</v>
      </c>
      <c r="CD56" s="59">
        <f ca="1">AVERAGE(OFFSET($CC$3,0,0,'Données projet'!$E$12+1,1))-AVERAGE(OFFSET($H$3,0,0,'Données projet'!$E$12+1,1))</f>
        <v>502.65044103360322</v>
      </c>
      <c r="CE56" s="59">
        <f t="shared" si="40"/>
        <v>321.65762891855167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7.7954180888242579</v>
      </c>
      <c r="CL56" s="21">
        <f>EXP(-LN(2)/25)*CL55+(1-EXP(-LN(2)/25))/(LN(2)/25)*Calculateur!CG56*Calculateur!CI56*VLOOKUP('Données projet'!$B$12,Paramètres!$A$1:$I$89,3,0)*0.475*44/12</f>
        <v>37.270695501673728</v>
      </c>
      <c r="CM56" s="21">
        <f>EXP(-LN(2)/2)*CM55+(1-EXP(-LN(2)/2))/(LN(2)/2)*CG56*CJ56*VLOOKUP('Données projet'!$B$12,Paramètres!$A$1:$I$89,3,0)*0.475*44/12</f>
        <v>3.7981399531601219</v>
      </c>
      <c r="CN56" s="22">
        <f t="shared" si="12"/>
        <v>48.864253543658108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3.3333333333333344</v>
      </c>
      <c r="N57" s="13">
        <f>IF('Données projet'!$A$36&gt;35,N56+M57-V56,IF(A57&lt;'Données projet'!$A$36,$K$205^A57,IF(A57='Données projet'!$A$36,'Données projet'!$B$36,N56+M57-V56)))</f>
        <v>112.69230769230764</v>
      </c>
      <c r="O57" s="13">
        <f>N57*VLOOKUP('Données projet'!$B$9,Paramètres!$A$1:$I$89,3,0)*VLOOKUP('Données projet'!$B$9,Paramètres!$A$1:$I$89,5,0)</f>
        <v>117.78599999999996</v>
      </c>
      <c r="P57" s="13">
        <f t="shared" si="33"/>
        <v>31.158061824774272</v>
      </c>
      <c r="Q57" s="20">
        <f t="shared" si="53"/>
        <v>259.41090767814842</v>
      </c>
      <c r="R57" s="59">
        <f t="shared" si="0"/>
        <v>552.74424101148179</v>
      </c>
      <c r="S57" s="59">
        <f ca="1">AVERAGE(OFFSET($R$3,0,0,'Données projet'!$E$9+1,1))-AVERAGE(OFFSET($H$3,0,0,'Données projet'!$E$9+1,1))</f>
        <v>239.26156489359892</v>
      </c>
      <c r="T57" s="59">
        <f t="shared" si="34"/>
        <v>213.97034450798111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13.700031156762137</v>
      </c>
      <c r="AB57" s="21">
        <f>EXP(-LN(2)/2)*AB56+(1-EXP(-LN(2)/2))/(LN(2)/2)*V57*Y57*VLOOKUP('Données projet'!$B$9,Paramètres!$A$1:$I$89,3,0)*0.475*44/12</f>
        <v>0</v>
      </c>
      <c r="AC57" s="22">
        <f t="shared" si="3"/>
        <v>13.700031156762137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9.1524999999999999</v>
      </c>
      <c r="AI57" s="13">
        <f>IF('Données projet'!$A$62&gt;35,AI56+AH57-AQ56,IF(A57&lt;'Données projet'!$A$62,$AF$205^A57,IF(A57='Données projet'!$A$62,'Données projet'!$B$62,AI56+AH57-AQ56)))</f>
        <v>171.53750000000028</v>
      </c>
      <c r="AJ57" s="13">
        <f>AI57*VLOOKUP('Données projet'!$B$10,Paramètres!$A$1:$I$89,3,0)*VLOOKUP('Données projet'!$B$10,Paramètres!$A$1:$I$89,5,0)</f>
        <v>173.9390250000003</v>
      </c>
      <c r="AK57" s="13">
        <f t="shared" si="35"/>
        <v>43.971054591967565</v>
      </c>
      <c r="AL57" s="20">
        <f t="shared" si="4"/>
        <v>379.5267219560107</v>
      </c>
      <c r="AM57" s="59">
        <f t="shared" si="5"/>
        <v>672.86005528934402</v>
      </c>
      <c r="AN57" s="59">
        <f ca="1">AVERAGE(OFFSET($AM$3,0,0,'Données projet'!$E$10+1,1))-AVERAGE(OFFSET($H$3,0,0,'Données projet'!$E$10+1,1))</f>
        <v>543.88440431478944</v>
      </c>
      <c r="AO57" s="59">
        <f t="shared" si="36"/>
        <v>342.63929463709457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39.557217439672321</v>
      </c>
      <c r="AW57" s="21">
        <f>EXP(-LN(2)/2)*AW56+(1-EXP(-LN(2)/2))/(LN(2)/2)*AQ57*AT57*VLOOKUP('Données projet'!$B$10,Paramètres!$A$1:$I$89,3,0)*0.475*44/12</f>
        <v>3.7578781544801227</v>
      </c>
      <c r="AX57" s="21">
        <f t="shared" si="6"/>
        <v>43.315095594152446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3.3603333333333336</v>
      </c>
      <c r="BD57" s="12">
        <f>IF('Données projet'!$A$88&gt;35,BD56+BC57-BL56,IF(A57&lt;'Données projet'!$A$88,$BA$205^A57,IF(A57='Données projet'!$A$88,'Données projet'!$B$88,BD56+BC57-BL56)))</f>
        <v>181.45799999999991</v>
      </c>
      <c r="BE57" s="13">
        <f>BD57*VLOOKUP('Données projet'!$B$11,Paramètres!$A$1:$I$89,3,0)*VLOOKUP('Données projet'!$B$11,Paramètres!$A$1:$I$89,5,0)</f>
        <v>206.6443703999999</v>
      </c>
      <c r="BF57" s="13">
        <f t="shared" si="37"/>
        <v>51.201610163516591</v>
      </c>
      <c r="BG57" s="20">
        <f t="shared" si="7"/>
        <v>449.08174948145785</v>
      </c>
      <c r="BH57" s="59">
        <f t="shared" si="8"/>
        <v>742.41508281479116</v>
      </c>
      <c r="BI57" s="59">
        <f ca="1">AVERAGE(OFFSET($BH$3,0,0,'Données projet'!$E$11+1,1))-AVERAGE(OFFSET($H$3,0,0,'Données projet'!$E$11+1,1))</f>
        <v>593.28343396240075</v>
      </c>
      <c r="BJ57" s="59">
        <f t="shared" si="38"/>
        <v>289.66477662068695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9.8828571428571443</v>
      </c>
      <c r="BY57" s="12">
        <f>IF('Données projet'!$A$114&gt;35,BY56+BX57-CG56,IF(A57&lt;'Données projet'!$A$114,$BV$205^A57,IF(A57='Données projet'!$A$114,'Données projet'!$B$114,BY56+BX57-CG56)))</f>
        <v>153.43571428571425</v>
      </c>
      <c r="BZ57" s="13">
        <f>BY57*VLOOKUP('Données projet'!$B$12,Paramètres!$A$1:$I$89,3,0)*VLOOKUP('Données projet'!$B$12,Paramètres!$A$1:$I$89,5,0)</f>
        <v>165.15820285714281</v>
      </c>
      <c r="CA57" s="13">
        <f t="shared" si="39"/>
        <v>42.003805239427415</v>
      </c>
      <c r="CB57" s="20">
        <f t="shared" si="10"/>
        <v>360.80716410152644</v>
      </c>
      <c r="CC57" s="59">
        <f t="shared" si="11"/>
        <v>654.14049743485975</v>
      </c>
      <c r="CD57" s="59">
        <f ca="1">AVERAGE(OFFSET($CC$3,0,0,'Données projet'!$E$12+1,1))-AVERAGE(OFFSET($H$3,0,0,'Données projet'!$E$12+1,1))</f>
        <v>502.65044103360322</v>
      </c>
      <c r="CE57" s="59">
        <f t="shared" si="40"/>
        <v>321.65762891855167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7.6425546948379575</v>
      </c>
      <c r="CL57" s="21">
        <f>EXP(-LN(2)/25)*CL56+(1-EXP(-LN(2)/25))/(LN(2)/25)*Calculateur!CG57*Calculateur!CI57*VLOOKUP('Données projet'!$B$12,Paramètres!$A$1:$I$89,3,0)*0.475*44/12</f>
        <v>36.251526373199766</v>
      </c>
      <c r="CM57" s="21">
        <f>EXP(-LN(2)/2)*CM56+(1-EXP(-LN(2)/2))/(LN(2)/2)*CG57*CJ57*VLOOKUP('Données projet'!$B$12,Paramètres!$A$1:$I$89,3,0)*0.475*44/12</f>
        <v>2.6856905167750784</v>
      </c>
      <c r="CN57" s="22">
        <f t="shared" si="12"/>
        <v>46.579771584812796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116.02564102564102</v>
      </c>
      <c r="L58" s="12">
        <f>VLOOKUP(A58,'Données projet'!$A$35:$I$55,9,0)</f>
        <v>3.3333333333333344</v>
      </c>
      <c r="M58" s="12">
        <f t="array" ref="M58">INDEX(L:L,MIN(IF(ISNUMBER(L58:L254),ROW(L58:L254),"")))</f>
        <v>3.3333333333333344</v>
      </c>
      <c r="N58" s="13">
        <f>IF('Données projet'!$A$36&gt;35,N57+M58-V57,IF(A58&lt;'Données projet'!$A$36,$K$205^A58,IF(A58='Données projet'!$A$36,'Données projet'!$B$36,N57+M58-V57)))</f>
        <v>116.02564102564097</v>
      </c>
      <c r="O58" s="13">
        <f>N58*VLOOKUP('Données projet'!$B$9,Paramètres!$A$1:$I$89,3,0)*VLOOKUP('Données projet'!$B$9,Paramètres!$A$1:$I$89,5,0)</f>
        <v>121.26999999999994</v>
      </c>
      <c r="P58" s="13">
        <f t="shared" si="33"/>
        <v>31.971024204432702</v>
      </c>
      <c r="Q58" s="20">
        <f t="shared" si="53"/>
        <v>266.89478382272017</v>
      </c>
      <c r="R58" s="59">
        <f t="shared" si="0"/>
        <v>560.22811715605349</v>
      </c>
      <c r="S58" s="59">
        <f ca="1">AVERAGE(OFFSET($R$3,0,0,'Données projet'!$E$9+1,1))-AVERAGE(OFFSET($H$3,0,0,'Données projet'!$E$9+1,1))</f>
        <v>239.26156489359892</v>
      </c>
      <c r="T58" s="59">
        <f t="shared" si="34"/>
        <v>213.97034450798111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10.897435897435898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0.215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16.021875216454657</v>
      </c>
      <c r="AB58" s="21">
        <f>EXP(-LN(2)/2)*AB57+(1-EXP(-LN(2)/2))/(LN(2)/2)*V58*Y58*VLOOKUP('Données projet'!$B$9,Paramètres!$A$1:$I$89,3,0)*0.475*44/12</f>
        <v>0</v>
      </c>
      <c r="AC58" s="22">
        <f t="shared" si="3"/>
        <v>16.021875216454657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9.1524999999999999</v>
      </c>
      <c r="AI58" s="13">
        <f>IF('Données projet'!$A$62&gt;35,AI57+AH58-AQ57,IF(A58&lt;'Données projet'!$A$62,$AF$205^A58,IF(A58='Données projet'!$A$62,'Données projet'!$B$62,AI57+AH58-AQ57)))</f>
        <v>180.69000000000028</v>
      </c>
      <c r="AJ58" s="13">
        <f>AI58*VLOOKUP('Données projet'!$B$10,Paramètres!$A$1:$I$89,3,0)*VLOOKUP('Données projet'!$B$10,Paramètres!$A$1:$I$89,5,0)</f>
        <v>183.21966000000029</v>
      </c>
      <c r="AK58" s="13">
        <f t="shared" si="35"/>
        <v>46.037760414324509</v>
      </c>
      <c r="AL58" s="20">
        <f t="shared" si="4"/>
        <v>399.29000722161567</v>
      </c>
      <c r="AM58" s="59">
        <f t="shared" si="5"/>
        <v>692.62334055494898</v>
      </c>
      <c r="AN58" s="59">
        <f ca="1">AVERAGE(OFFSET($AM$3,0,0,'Données projet'!$E$10+1,1))-AVERAGE(OFFSET($H$3,0,0,'Données projet'!$E$10+1,1))</f>
        <v>543.88440431478944</v>
      </c>
      <c r="AO58" s="59">
        <f t="shared" si="36"/>
        <v>342.63929463709457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38.475523248560826</v>
      </c>
      <c r="AW58" s="21">
        <f>EXP(-LN(2)/2)*AW57+(1-EXP(-LN(2)/2))/(LN(2)/2)*AQ58*AT58*VLOOKUP('Données projet'!$B$10,Paramètres!$A$1:$I$89,3,0)*0.475*44/12</f>
        <v>2.6572211259056835</v>
      </c>
      <c r="AX58" s="21">
        <f t="shared" si="6"/>
        <v>41.132744374466512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3.3603333333333336</v>
      </c>
      <c r="BD58" s="12">
        <f>IF('Données projet'!$A$88&gt;35,BD57+BC58-BL57,IF(A58&lt;'Données projet'!$A$88,$BA$205^A58,IF(A58='Données projet'!$A$88,'Données projet'!$B$88,BD57+BC58-BL57)))</f>
        <v>184.81833333333324</v>
      </c>
      <c r="BE58" s="13">
        <f>BD58*VLOOKUP('Données projet'!$B$11,Paramètres!$A$1:$I$89,3,0)*VLOOKUP('Données projet'!$B$11,Paramètres!$A$1:$I$89,5,0)</f>
        <v>210.4711179999999</v>
      </c>
      <c r="BF58" s="13">
        <f t="shared" si="37"/>
        <v>52.038523403646074</v>
      </c>
      <c r="BG58" s="20">
        <f t="shared" si="7"/>
        <v>457.20429211135001</v>
      </c>
      <c r="BH58" s="59">
        <f t="shared" si="8"/>
        <v>750.53762544468327</v>
      </c>
      <c r="BI58" s="59">
        <f ca="1">AVERAGE(OFFSET($BH$3,0,0,'Données projet'!$E$11+1,1))-AVERAGE(OFFSET($H$3,0,0,'Données projet'!$E$11+1,1))</f>
        <v>593.28343396240075</v>
      </c>
      <c r="BJ58" s="59">
        <f t="shared" si="38"/>
        <v>289.66477662068695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9.8828571428571443</v>
      </c>
      <c r="BY58" s="12">
        <f>IF('Données projet'!$A$114&gt;35,BY57+BX58-CG57,IF(A58&lt;'Données projet'!$A$114,$BV$205^A58,IF(A58='Données projet'!$A$114,'Données projet'!$B$114,BY57+BX58-CG57)))</f>
        <v>163.3185714285714</v>
      </c>
      <c r="BZ58" s="13">
        <f>BY58*VLOOKUP('Données projet'!$B$12,Paramètres!$A$1:$I$89,3,0)*VLOOKUP('Données projet'!$B$12,Paramètres!$A$1:$I$89,5,0)</f>
        <v>175.79611028571426</v>
      </c>
      <c r="CA58" s="13">
        <f t="shared" si="39"/>
        <v>44.385615672209468</v>
      </c>
      <c r="CB58" s="20">
        <f t="shared" si="10"/>
        <v>383.48317271005044</v>
      </c>
      <c r="CC58" s="59">
        <f t="shared" si="11"/>
        <v>676.8165060433837</v>
      </c>
      <c r="CD58" s="59">
        <f ca="1">AVERAGE(OFFSET($CC$3,0,0,'Données projet'!$E$12+1,1))-AVERAGE(OFFSET($H$3,0,0,'Données projet'!$E$12+1,1))</f>
        <v>502.65044103360322</v>
      </c>
      <c r="CE58" s="59">
        <f t="shared" si="40"/>
        <v>321.65762891855167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7.492688858770264</v>
      </c>
      <c r="CL58" s="21">
        <f>EXP(-LN(2)/25)*CL57+(1-EXP(-LN(2)/25))/(LN(2)/25)*Calculateur!CG58*Calculateur!CI58*VLOOKUP('Données projet'!$B$12,Paramètres!$A$1:$I$89,3,0)*0.475*44/12</f>
        <v>35.2602264781397</v>
      </c>
      <c r="CM58" s="21">
        <f>EXP(-LN(2)/2)*CM57+(1-EXP(-LN(2)/2))/(LN(2)/2)*CG58*CJ58*VLOOKUP('Données projet'!$B$12,Paramètres!$A$1:$I$89,3,0)*0.475*44/12</f>
        <v>1.8990699765800612</v>
      </c>
      <c r="CN58" s="22">
        <f t="shared" si="12"/>
        <v>44.651985313490023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3.2051282051282071</v>
      </c>
      <c r="N59" s="13">
        <f>IF('Données projet'!$A$36&gt;35,N58+M59-V58,IF(A59&lt;'Données projet'!$A$36,$K$205^A59,IF(A59='Données projet'!$A$36,'Données projet'!$B$36,N58+M59-V58)))</f>
        <v>108.33333333333327</v>
      </c>
      <c r="O59" s="13">
        <f>N59*VLOOKUP('Données projet'!$B$9,Paramètres!$A$1:$I$89,3,0)*VLOOKUP('Données projet'!$B$9,Paramètres!$A$1:$I$89,5,0)</f>
        <v>113.22999999999995</v>
      </c>
      <c r="P59" s="13">
        <f t="shared" si="33"/>
        <v>30.090711216212426</v>
      </c>
      <c r="Q59" s="20">
        <f t="shared" si="53"/>
        <v>249.61690536823653</v>
      </c>
      <c r="R59" s="59">
        <f t="shared" si="0"/>
        <v>542.95023870156979</v>
      </c>
      <c r="S59" s="59">
        <f ca="1">AVERAGE(OFFSET($R$3,0,0,'Données projet'!$E$9+1,1))-AVERAGE(OFFSET($H$3,0,0,'Données projet'!$E$9+1,1))</f>
        <v>239.26156489359892</v>
      </c>
      <c r="T59" s="59">
        <f t="shared" si="34"/>
        <v>213.97034450798111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15.583756196106904</v>
      </c>
      <c r="AB59" s="21">
        <f>EXP(-LN(2)/2)*AB58+(1-EXP(-LN(2)/2))/(LN(2)/2)*V59*Y59*VLOOKUP('Données projet'!$B$9,Paramètres!$A$1:$I$89,3,0)*0.475*44/12</f>
        <v>0</v>
      </c>
      <c r="AC59" s="22">
        <f t="shared" si="3"/>
        <v>15.583756196106904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9.1524999999999999</v>
      </c>
      <c r="AI59" s="13">
        <f>IF('Données projet'!$A$62&gt;35,AI58+AH59-AQ58,IF(A59&lt;'Données projet'!$A$62,$AF$205^A59,IF(A59='Données projet'!$A$62,'Données projet'!$B$62,AI58+AH59-AQ58)))</f>
        <v>189.84250000000029</v>
      </c>
      <c r="AJ59" s="13">
        <f>AI59*VLOOKUP('Données projet'!$B$10,Paramètres!$A$1:$I$89,3,0)*VLOOKUP('Données projet'!$B$10,Paramètres!$A$1:$I$89,5,0)</f>
        <v>192.50029500000031</v>
      </c>
      <c r="AK59" s="13">
        <f t="shared" si="35"/>
        <v>48.092311272078405</v>
      </c>
      <c r="AL59" s="20">
        <f t="shared" si="4"/>
        <v>419.03212259053709</v>
      </c>
      <c r="AM59" s="59">
        <f t="shared" si="5"/>
        <v>712.3654559238704</v>
      </c>
      <c r="AN59" s="59">
        <f ca="1">AVERAGE(OFFSET($AM$3,0,0,'Données projet'!$E$10+1,1))-AVERAGE(OFFSET($H$3,0,0,'Données projet'!$E$10+1,1))</f>
        <v>543.88440431478944</v>
      </c>
      <c r="AO59" s="59">
        <f t="shared" si="36"/>
        <v>342.63929463709457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37.423408041989099</v>
      </c>
      <c r="AW59" s="21">
        <f>EXP(-LN(2)/2)*AW58+(1-EXP(-LN(2)/2))/(LN(2)/2)*AQ59*AT59*VLOOKUP('Données projet'!$B$10,Paramètres!$A$1:$I$89,3,0)*0.475*44/12</f>
        <v>1.8789390772400618</v>
      </c>
      <c r="AX59" s="21">
        <f t="shared" si="6"/>
        <v>39.302347119229161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3.3603333333333336</v>
      </c>
      <c r="BD59" s="12">
        <f>IF('Données projet'!$A$88&gt;35,BD58+BC59-BL58,IF(A59&lt;'Données projet'!$A$88,$BA$205^A59,IF(A59='Données projet'!$A$88,'Données projet'!$B$88,BD58+BC59-BL58)))</f>
        <v>188.17866666666657</v>
      </c>
      <c r="BE59" s="13">
        <f>BD59*VLOOKUP('Données projet'!$B$11,Paramètres!$A$1:$I$89,3,0)*VLOOKUP('Données projet'!$B$11,Paramètres!$A$1:$I$89,5,0)</f>
        <v>214.29786559999988</v>
      </c>
      <c r="BF59" s="13">
        <f t="shared" si="37"/>
        <v>52.873667200907974</v>
      </c>
      <c r="BG59" s="20">
        <f t="shared" si="7"/>
        <v>465.32375296158119</v>
      </c>
      <c r="BH59" s="59">
        <f t="shared" si="8"/>
        <v>758.65708629491451</v>
      </c>
      <c r="BI59" s="59">
        <f ca="1">AVERAGE(OFFSET($BH$3,0,0,'Données projet'!$E$11+1,1))-AVERAGE(OFFSET($H$3,0,0,'Données projet'!$E$11+1,1))</f>
        <v>593.28343396240075</v>
      </c>
      <c r="BJ59" s="59">
        <f t="shared" si="38"/>
        <v>289.66477662068695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9.8828571428571443</v>
      </c>
      <c r="BY59" s="12">
        <f>IF('Données projet'!$A$114&gt;35,BY58+BX59-CG58,IF(A59&lt;'Données projet'!$A$114,$BV$205^A59,IF(A59='Données projet'!$A$114,'Données projet'!$B$114,BY58+BX59-CG58)))</f>
        <v>173.20142857142855</v>
      </c>
      <c r="BZ59" s="13">
        <f>BY59*VLOOKUP('Données projet'!$B$12,Paramètres!$A$1:$I$89,3,0)*VLOOKUP('Données projet'!$B$12,Paramètres!$A$1:$I$89,5,0)</f>
        <v>186.43401771428569</v>
      </c>
      <c r="CA59" s="13">
        <f t="shared" si="39"/>
        <v>46.750697553897737</v>
      </c>
      <c r="CB59" s="20">
        <f t="shared" si="10"/>
        <v>406.13004575875283</v>
      </c>
      <c r="CC59" s="59">
        <f t="shared" si="11"/>
        <v>699.46337909208614</v>
      </c>
      <c r="CD59" s="59">
        <f ca="1">AVERAGE(OFFSET($CC$3,0,0,'Données projet'!$E$12+1,1))-AVERAGE(OFFSET($H$3,0,0,'Données projet'!$E$12+1,1))</f>
        <v>502.65044103360322</v>
      </c>
      <c r="CE59" s="59">
        <f t="shared" si="40"/>
        <v>321.65762891855167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7.3457618003387246</v>
      </c>
      <c r="CL59" s="21">
        <f>EXP(-LN(2)/25)*CL58+(1-EXP(-LN(2)/25))/(LN(2)/25)*Calculateur!CG59*Calculateur!CI59*VLOOKUP('Données projet'!$B$12,Paramètres!$A$1:$I$89,3,0)*0.475*44/12</f>
        <v>34.29603373084025</v>
      </c>
      <c r="CM59" s="21">
        <f>EXP(-LN(2)/2)*CM58+(1-EXP(-LN(2)/2))/(LN(2)/2)*CG59*CJ59*VLOOKUP('Données projet'!$B$12,Paramètres!$A$1:$I$89,3,0)*0.475*44/12</f>
        <v>1.3428452583875394</v>
      </c>
      <c r="CN59" s="22">
        <f t="shared" si="12"/>
        <v>42.984640789566512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3.2051282051282071</v>
      </c>
      <c r="N60" s="13">
        <f>IF('Données projet'!$A$36&gt;35,N59+M60-V59,IF(A60&lt;'Données projet'!$A$36,$K$205^A60,IF(A60='Données projet'!$A$36,'Données projet'!$B$36,N59+M60-V59)))</f>
        <v>111.53846153846148</v>
      </c>
      <c r="O60" s="13">
        <f>N60*VLOOKUP('Données projet'!$B$9,Paramètres!$A$1:$I$89,3,0)*VLOOKUP('Données projet'!$B$9,Paramètres!$A$1:$I$89,5,0)</f>
        <v>116.57999999999996</v>
      </c>
      <c r="P60" s="13">
        <f t="shared" si="33"/>
        <v>30.876003132466991</v>
      </c>
      <c r="Q60" s="20">
        <f t="shared" si="53"/>
        <v>256.81920545571325</v>
      </c>
      <c r="R60" s="59">
        <f t="shared" si="0"/>
        <v>550.1525387890465</v>
      </c>
      <c r="S60" s="59">
        <f ca="1">AVERAGE(OFFSET($R$3,0,0,'Données projet'!$E$9+1,1))-AVERAGE(OFFSET($H$3,0,0,'Données projet'!$E$9+1,1))</f>
        <v>239.26156489359892</v>
      </c>
      <c r="T60" s="59">
        <f t="shared" si="34"/>
        <v>213.97034450798111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15.157617563410239</v>
      </c>
      <c r="AB60" s="21">
        <f>EXP(-LN(2)/2)*AB59+(1-EXP(-LN(2)/2))/(LN(2)/2)*V60*Y60*VLOOKUP('Données projet'!$B$9,Paramètres!$A$1:$I$89,3,0)*0.475*44/12</f>
        <v>0</v>
      </c>
      <c r="AC60" s="22">
        <f t="shared" si="3"/>
        <v>15.157617563410239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9.1524999999999999</v>
      </c>
      <c r="AI60" s="13">
        <f>IF('Données projet'!$A$62&gt;35,AI59+AH60-AQ59,IF(A60&lt;'Données projet'!$A$62,$AF$205^A60,IF(A60='Données projet'!$A$62,'Données projet'!$B$62,AI59+AH60-AQ59)))</f>
        <v>198.99500000000029</v>
      </c>
      <c r="AJ60" s="13">
        <f>AI60*VLOOKUP('Données projet'!$B$10,Paramètres!$A$1:$I$89,3,0)*VLOOKUP('Données projet'!$B$10,Paramètres!$A$1:$I$89,5,0)</f>
        <v>201.7809300000003</v>
      </c>
      <c r="AK60" s="13">
        <f t="shared" si="35"/>
        <v>50.13536006454887</v>
      </c>
      <c r="AL60" s="20">
        <f t="shared" si="4"/>
        <v>438.75420519575647</v>
      </c>
      <c r="AM60" s="59">
        <f t="shared" si="5"/>
        <v>732.08753852908978</v>
      </c>
      <c r="AN60" s="59">
        <f ca="1">AVERAGE(OFFSET($AM$3,0,0,'Données projet'!$E$10+1,1))-AVERAGE(OFFSET($H$3,0,0,'Données projet'!$E$10+1,1))</f>
        <v>543.88440431478944</v>
      </c>
      <c r="AO60" s="59">
        <f t="shared" si="36"/>
        <v>342.63929463709457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36.400062981069411</v>
      </c>
      <c r="AW60" s="21">
        <f>EXP(-LN(2)/2)*AW59+(1-EXP(-LN(2)/2))/(LN(2)/2)*AQ60*AT60*VLOOKUP('Données projet'!$B$10,Paramètres!$A$1:$I$89,3,0)*0.475*44/12</f>
        <v>1.328610562952842</v>
      </c>
      <c r="AX60" s="21">
        <f t="shared" si="6"/>
        <v>37.72867354402225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3.3603333333333336</v>
      </c>
      <c r="BD60" s="12">
        <f>IF('Données projet'!$A$88&gt;35,BD59+BC60-BL59,IF(A60&lt;'Données projet'!$A$88,$BA$205^A60,IF(A60='Données projet'!$A$88,'Données projet'!$B$88,BD59+BC60-BL59)))</f>
        <v>191.5389999999999</v>
      </c>
      <c r="BE60" s="13">
        <f>BD60*VLOOKUP('Données projet'!$B$11,Paramètres!$A$1:$I$89,3,0)*VLOOKUP('Données projet'!$B$11,Paramètres!$A$1:$I$89,5,0)</f>
        <v>218.12461319999989</v>
      </c>
      <c r="BF60" s="13">
        <f t="shared" si="37"/>
        <v>53.707076797550549</v>
      </c>
      <c r="BG60" s="20">
        <f t="shared" si="7"/>
        <v>473.44019341240033</v>
      </c>
      <c r="BH60" s="59">
        <f t="shared" si="8"/>
        <v>766.77352674573365</v>
      </c>
      <c r="BI60" s="59">
        <f ca="1">AVERAGE(OFFSET($BH$3,0,0,'Données projet'!$E$11+1,1))-AVERAGE(OFFSET($H$3,0,0,'Données projet'!$E$11+1,1))</f>
        <v>593.28343396240075</v>
      </c>
      <c r="BJ60" s="59">
        <f t="shared" si="38"/>
        <v>289.66477662068695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9.8828571428571443</v>
      </c>
      <c r="BY60" s="12">
        <f>IF('Données projet'!$A$114&gt;35,BY59+BX60-CG59,IF(A60&lt;'Données projet'!$A$114,$BV$205^A60,IF(A60='Données projet'!$A$114,'Données projet'!$B$114,BY59+BX60-CG59)))</f>
        <v>183.0842857142857</v>
      </c>
      <c r="BZ60" s="13">
        <f>BY60*VLOOKUP('Données projet'!$B$12,Paramètres!$A$1:$I$89,3,0)*VLOOKUP('Données projet'!$B$12,Paramètres!$A$1:$I$89,5,0)</f>
        <v>197.07192514285711</v>
      </c>
      <c r="CA60" s="13">
        <f t="shared" si="39"/>
        <v>49.100114176354296</v>
      </c>
      <c r="CB60" s="20">
        <f t="shared" si="10"/>
        <v>428.74963514762658</v>
      </c>
      <c r="CC60" s="59">
        <f t="shared" si="11"/>
        <v>722.08296848095983</v>
      </c>
      <c r="CD60" s="59">
        <f ca="1">AVERAGE(OFFSET($CC$3,0,0,'Données projet'!$E$12+1,1))-AVERAGE(OFFSET($H$3,0,0,'Données projet'!$E$12+1,1))</f>
        <v>502.65044103360322</v>
      </c>
      <c r="CE60" s="59">
        <f t="shared" si="40"/>
        <v>321.65762891855167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7.2017158919063702</v>
      </c>
      <c r="CL60" s="21">
        <f>EXP(-LN(2)/25)*CL59+(1-EXP(-LN(2)/25))/(LN(2)/25)*Calculateur!CG60*Calculateur!CI60*VLOOKUP('Données projet'!$B$12,Paramètres!$A$1:$I$89,3,0)*0.475*44/12</f>
        <v>33.358206884920392</v>
      </c>
      <c r="CM60" s="21">
        <f>EXP(-LN(2)/2)*CM59+(1-EXP(-LN(2)/2))/(LN(2)/2)*CG60*CJ60*VLOOKUP('Données projet'!$B$12,Paramètres!$A$1:$I$89,3,0)*0.475*44/12</f>
        <v>0.9495349882900308</v>
      </c>
      <c r="CN60" s="22">
        <f t="shared" si="12"/>
        <v>41.509457765116792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3.2051282051282071</v>
      </c>
      <c r="N61" s="13">
        <f>IF('Données projet'!$A$36&gt;35,N60+M61-V60,IF(A61&lt;'Données projet'!$A$36,$K$205^A61,IF(A61='Données projet'!$A$36,'Données projet'!$B$36,N60+M61-V60)))</f>
        <v>114.74358974358968</v>
      </c>
      <c r="O61" s="13">
        <f>N61*VLOOKUP('Données projet'!$B$9,Paramètres!$A$1:$I$89,3,0)*VLOOKUP('Données projet'!$B$9,Paramètres!$A$1:$I$89,5,0)</f>
        <v>119.92999999999995</v>
      </c>
      <c r="P61" s="13">
        <f t="shared" si="33"/>
        <v>31.65867238925356</v>
      </c>
      <c r="Q61" s="20">
        <f t="shared" si="53"/>
        <v>264.01693774461648</v>
      </c>
      <c r="R61" s="59">
        <f t="shared" si="0"/>
        <v>557.35027107794986</v>
      </c>
      <c r="S61" s="59">
        <f ca="1">AVERAGE(OFFSET($R$3,0,0,'Données projet'!$E$9+1,1))-AVERAGE(OFFSET($H$3,0,0,'Données projet'!$E$9+1,1))</f>
        <v>239.26156489359892</v>
      </c>
      <c r="T61" s="59">
        <f t="shared" si="34"/>
        <v>213.97034450798111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14.743131714034321</v>
      </c>
      <c r="AB61" s="21">
        <f>EXP(-LN(2)/2)*AB60+(1-EXP(-LN(2)/2))/(LN(2)/2)*V61*Y61*VLOOKUP('Données projet'!$B$9,Paramètres!$A$1:$I$89,3,0)*0.475*44/12</f>
        <v>0</v>
      </c>
      <c r="AC61" s="22">
        <f t="shared" si="3"/>
        <v>14.743131714034321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9.1524999999999999</v>
      </c>
      <c r="AI61" s="13">
        <f>IF('Données projet'!$A$62&gt;35,AI60+AH61-AQ60,IF(A61&lt;'Données projet'!$A$62,$AF$205^A61,IF(A61='Données projet'!$A$62,'Données projet'!$B$62,AI60+AH61-AQ60)))</f>
        <v>208.14750000000029</v>
      </c>
      <c r="AJ61" s="13">
        <f>AI61*VLOOKUP('Données projet'!$B$10,Paramètres!$A$1:$I$89,3,0)*VLOOKUP('Données projet'!$B$10,Paramètres!$A$1:$I$89,5,0)</f>
        <v>211.06156500000031</v>
      </c>
      <c r="AK61" s="13">
        <f t="shared" si="35"/>
        <v>52.167496238114467</v>
      </c>
      <c r="AL61" s="20">
        <f t="shared" si="4"/>
        <v>458.45728165638326</v>
      </c>
      <c r="AM61" s="59">
        <f t="shared" si="5"/>
        <v>751.79061498971657</v>
      </c>
      <c r="AN61" s="59">
        <f ca="1">AVERAGE(OFFSET($AM$3,0,0,'Données projet'!$E$10+1,1))-AVERAGE(OFFSET($H$3,0,0,'Données projet'!$E$10+1,1))</f>
        <v>543.88440431478944</v>
      </c>
      <c r="AO61" s="59">
        <f t="shared" si="36"/>
        <v>342.63929463709457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35.404701344655948</v>
      </c>
      <c r="AW61" s="21">
        <f>EXP(-LN(2)/2)*AW60+(1-EXP(-LN(2)/2))/(LN(2)/2)*AQ61*AT61*VLOOKUP('Données projet'!$B$10,Paramètres!$A$1:$I$89,3,0)*0.475*44/12</f>
        <v>0.93946953862003102</v>
      </c>
      <c r="AX61" s="21">
        <f t="shared" si="6"/>
        <v>36.344170883275979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3.3603333333333336</v>
      </c>
      <c r="BD61" s="12">
        <f>IF('Données projet'!$A$88&gt;35,BD60+BC61-BL60,IF(A61&lt;'Données projet'!$A$88,$BA$205^A61,IF(A61='Données projet'!$A$88,'Données projet'!$B$88,BD60+BC61-BL60)))</f>
        <v>194.89933333333323</v>
      </c>
      <c r="BE61" s="13">
        <f>BD61*VLOOKUP('Données projet'!$B$11,Paramètres!$A$1:$I$89,3,0)*VLOOKUP('Données projet'!$B$11,Paramètres!$A$1:$I$89,5,0)</f>
        <v>221.95136079999986</v>
      </c>
      <c r="BF61" s="13">
        <f t="shared" si="37"/>
        <v>54.538786128418167</v>
      </c>
      <c r="BG61" s="20">
        <f t="shared" si="7"/>
        <v>481.55367256699475</v>
      </c>
      <c r="BH61" s="59">
        <f t="shared" si="8"/>
        <v>774.88700590032806</v>
      </c>
      <c r="BI61" s="59">
        <f ca="1">AVERAGE(OFFSET($BH$3,0,0,'Données projet'!$E$11+1,1))-AVERAGE(OFFSET($H$3,0,0,'Données projet'!$E$11+1,1))</f>
        <v>593.28343396240075</v>
      </c>
      <c r="BJ61" s="59">
        <f t="shared" si="38"/>
        <v>289.66477662068695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9.8828571428571443</v>
      </c>
      <c r="BY61" s="12">
        <f>IF('Données projet'!$A$114&gt;35,BY60+BX61-CG60,IF(A61&lt;'Données projet'!$A$114,$BV$205^A61,IF(A61='Données projet'!$A$114,'Données projet'!$B$114,BY60+BX61-CG60)))</f>
        <v>192.96714285714285</v>
      </c>
      <c r="BZ61" s="13">
        <f>BY61*VLOOKUP('Données projet'!$B$12,Paramètres!$A$1:$I$89,3,0)*VLOOKUP('Données projet'!$B$12,Paramètres!$A$1:$I$89,5,0)</f>
        <v>207.70983257142854</v>
      </c>
      <c r="CA61" s="13">
        <f t="shared" si="39"/>
        <v>51.43480755556741</v>
      </c>
      <c r="CB61" s="20">
        <f t="shared" si="10"/>
        <v>451.34358155451793</v>
      </c>
      <c r="CC61" s="59">
        <f t="shared" si="11"/>
        <v>744.67691488785124</v>
      </c>
      <c r="CD61" s="59">
        <f ca="1">AVERAGE(OFFSET($CC$3,0,0,'Données projet'!$E$12+1,1))-AVERAGE(OFFSET($H$3,0,0,'Données projet'!$E$12+1,1))</f>
        <v>502.65044103360322</v>
      </c>
      <c r="CE61" s="59">
        <f t="shared" si="40"/>
        <v>321.65762891855167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7.0604946358790457</v>
      </c>
      <c r="CL61" s="21">
        <f>EXP(-LN(2)/25)*CL60+(1-EXP(-LN(2)/25))/(LN(2)/25)*Calculateur!CG61*Calculateur!CI61*VLOOKUP('Données projet'!$B$12,Paramètres!$A$1:$I$89,3,0)*0.475*44/12</f>
        <v>32.446024963420385</v>
      </c>
      <c r="CM61" s="21">
        <f>EXP(-LN(2)/2)*CM60+(1-EXP(-LN(2)/2))/(LN(2)/2)*CG61*CJ61*VLOOKUP('Données projet'!$B$12,Paramètres!$A$1:$I$89,3,0)*0.475*44/12</f>
        <v>0.67142262919376983</v>
      </c>
      <c r="CN61" s="22">
        <f t="shared" si="12"/>
        <v>40.177942228493201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3.2051282051282071</v>
      </c>
      <c r="N62" s="13">
        <f>IF('Données projet'!$A$36&gt;35,N61+M62-V61,IF(A62&lt;'Données projet'!$A$36,$K$205^A62,IF(A62='Données projet'!$A$36,'Données projet'!$B$36,N61+M62-V61)))</f>
        <v>117.94871794871788</v>
      </c>
      <c r="O62" s="13">
        <f>N62*VLOOKUP('Données projet'!$B$9,Paramètres!$A$1:$I$89,3,0)*VLOOKUP('Données projet'!$B$9,Paramètres!$A$1:$I$89,5,0)</f>
        <v>123.27999999999996</v>
      </c>
      <c r="P62" s="13">
        <f t="shared" si="33"/>
        <v>32.438800661224256</v>
      </c>
      <c r="Q62" s="20">
        <f t="shared" si="53"/>
        <v>271.21024448496547</v>
      </c>
      <c r="R62" s="59">
        <f t="shared" si="0"/>
        <v>564.54357781829879</v>
      </c>
      <c r="S62" s="59">
        <f ca="1">AVERAGE(OFFSET($R$3,0,0,'Données projet'!$E$9+1,1))-AVERAGE(OFFSET($H$3,0,0,'Données projet'!$E$9+1,1))</f>
        <v>239.26156489359892</v>
      </c>
      <c r="T62" s="59">
        <f t="shared" si="34"/>
        <v>213.97034450798111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14.339980002006453</v>
      </c>
      <c r="AB62" s="21">
        <f>EXP(-LN(2)/2)*AB61+(1-EXP(-LN(2)/2))/(LN(2)/2)*V62*Y62*VLOOKUP('Données projet'!$B$9,Paramètres!$A$1:$I$89,3,0)*0.475*44/12</f>
        <v>0</v>
      </c>
      <c r="AC62" s="22">
        <f t="shared" si="3"/>
        <v>14.339980002006453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>
        <f>VLOOKUP(A62,'Données projet'!$A$61:$I$81,2,0)</f>
        <v>217.3</v>
      </c>
      <c r="AG62" s="12">
        <f>VLOOKUP(A62,'Données projet'!$A$61:$I$81,9,0)</f>
        <v>9.1524999999999999</v>
      </c>
      <c r="AH62" s="12">
        <f t="array" ref="AH62">INDEX(AG:AG,MIN(IF(ISNUMBER(AG62:AG258),ROW(AG62:AG258),"")))</f>
        <v>9.1524999999999999</v>
      </c>
      <c r="AI62" s="13">
        <f>IF('Données projet'!$A$62&gt;35,AI61+AH62-AQ61,IF(A62&lt;'Données projet'!$A$62,$AF$205^A62,IF(A62='Données projet'!$A$62,'Données projet'!$B$62,AI61+AH62-AQ61)))</f>
        <v>217.3000000000003</v>
      </c>
      <c r="AJ62" s="13">
        <f>AI62*VLOOKUP('Données projet'!$B$10,Paramètres!$A$1:$I$89,3,0)*VLOOKUP('Données projet'!$B$10,Paramètres!$A$1:$I$89,5,0)</f>
        <v>220.34220000000033</v>
      </c>
      <c r="AK62" s="13">
        <f t="shared" si="35"/>
        <v>54.189254470723576</v>
      </c>
      <c r="AL62" s="20">
        <f t="shared" si="4"/>
        <v>478.14228320317744</v>
      </c>
      <c r="AM62" s="59">
        <f t="shared" si="5"/>
        <v>771.47561653651076</v>
      </c>
      <c r="AN62" s="59">
        <f ca="1">AVERAGE(OFFSET($AM$3,0,0,'Données projet'!$E$10+1,1))-AVERAGE(OFFSET($H$3,0,0,'Données projet'!$E$10+1,1))</f>
        <v>543.88440431478944</v>
      </c>
      <c r="AO62" s="59">
        <f t="shared" si="36"/>
        <v>342.63929463709457</v>
      </c>
      <c r="AP62" s="15">
        <f>IF(ISNA(VLOOKUP(A62,'Données projet'!$A$61:$I$81,3,0)),0,VLOOKUP(A62,'Données projet'!$A$61:$I$81,3,0))</f>
        <v>3</v>
      </c>
      <c r="AQ62" s="15">
        <f>IF(ISNA(VLOOKUP(A62,'Données projet'!$A$61:$I$81,4,0)),0,VLOOKUP(A62,'Données projet'!$A$61:$I$81,4,0))</f>
        <v>52.75</v>
      </c>
      <c r="AR62" s="16">
        <f>IF(ISNA(VLOOKUP(A62,'Données projet'!$A$61:$I$81,5,0)),0%,VLOOKUP(A62,'Données projet'!$A$61:$I$81,5,0)*VLOOKUP('Données projet'!$B$10,Paramètres!$A$1:$I$89,7,0))</f>
        <v>0.15049999999999999</v>
      </c>
      <c r="AS62" s="16">
        <f>IF(ISNA(VLOOKUP(A62,'Données projet'!$A$61:$I$81,6,0)),0%,VLOOKUP(A62,'Données projet'!$A$61:$I$81,6,0)*VLOOKUP('Données projet'!$B$10,Paramètres!$A$1:$I$89,7,0))</f>
        <v>8.6000000000000007E-2</v>
      </c>
      <c r="AT62" s="16">
        <f>IF(ISNA(VLOOKUP(A62,'Données projet'!$A$61:$I$81,7,0)),0%,VLOOKUP(A62,'Données projet'!$A$61:$I$81,7,0))</f>
        <v>0.1</v>
      </c>
      <c r="AU62" s="21">
        <f>EXP(-LN(2)/35)*AU61+(1-EXP(-LN(2)/35))/(LN(2)/35)*AQ62*AR62*VLOOKUP('Données projet'!$B$10,Paramètres!$A$1:$I$89,3,0)*0.475*44/12</f>
        <v>8.8990578355450562</v>
      </c>
      <c r="AV62" s="21">
        <f>EXP(-LN(2)/25)*AV61+(1-EXP(-LN(2)/25))/(LN(2)/25)*Calculateur!AQ62*Calculateur!AS62*VLOOKUP('Données projet'!$B$10,Paramètres!$A$1:$I$89,3,0)*0.475*44/12</f>
        <v>39.501711555413806</v>
      </c>
      <c r="AW62" s="21">
        <f>EXP(-LN(2)/2)*AW61+(1-EXP(-LN(2)/2))/(LN(2)/2)*AQ62*AT62*VLOOKUP('Données projet'!$B$10,Paramètres!$A$1:$I$89,3,0)*0.475*44/12</f>
        <v>5.711089218663453</v>
      </c>
      <c r="AX62" s="21">
        <f t="shared" si="6"/>
        <v>54.111858609622317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3.3603333333333336</v>
      </c>
      <c r="BD62" s="12">
        <f>IF('Données projet'!$A$88&gt;35,BD61+BC62-BL61,IF(A62&lt;'Données projet'!$A$88,$BA$205^A62,IF(A62='Données projet'!$A$88,'Données projet'!$B$88,BD61+BC62-BL61)))</f>
        <v>198.25966666666656</v>
      </c>
      <c r="BE62" s="13">
        <f>BD62*VLOOKUP('Données projet'!$B$11,Paramètres!$A$1:$I$89,3,0)*VLOOKUP('Données projet'!$B$11,Paramètres!$A$1:$I$89,5,0)</f>
        <v>225.77810839999987</v>
      </c>
      <c r="BF62" s="13">
        <f t="shared" si="37"/>
        <v>55.368827891142729</v>
      </c>
      <c r="BG62" s="20">
        <f t="shared" si="7"/>
        <v>489.66424737373995</v>
      </c>
      <c r="BH62" s="59">
        <f t="shared" si="8"/>
        <v>782.99758070707321</v>
      </c>
      <c r="BI62" s="59">
        <f ca="1">AVERAGE(OFFSET($BH$3,0,0,'Données projet'!$E$11+1,1))-AVERAGE(OFFSET($H$3,0,0,'Données projet'!$E$11+1,1))</f>
        <v>593.28343396240075</v>
      </c>
      <c r="BJ62" s="59">
        <f t="shared" si="38"/>
        <v>289.66477662068695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>
        <f>VLOOKUP(A62,'Données projet'!$A$113:$I$133,2,0)</f>
        <v>202.85</v>
      </c>
      <c r="BW62" s="12">
        <f>VLOOKUP(A62,'Données projet'!$A$113:$I$133,9,0)</f>
        <v>9.8828571428571443</v>
      </c>
      <c r="BX62" s="12">
        <f t="array" ref="BX62">INDEX(BW:BW,MIN(IF(ISNUMBER(BW62:BW258),ROW(BW62:BW258),"")))</f>
        <v>9.8828571428571443</v>
      </c>
      <c r="BY62" s="12">
        <f>IF('Données projet'!$A$114&gt;35,BY61+BX62-CG61,IF(A62&lt;'Données projet'!$A$114,$BV$205^A62,IF(A62='Données projet'!$A$114,'Données projet'!$B$114,BY61+BX62-CG61)))</f>
        <v>202.85</v>
      </c>
      <c r="BZ62" s="13">
        <f>BY62*VLOOKUP('Données projet'!$B$12,Paramètres!$A$1:$I$89,3,0)*VLOOKUP('Données projet'!$B$12,Paramètres!$A$1:$I$89,5,0)</f>
        <v>218.34774000000002</v>
      </c>
      <c r="CA62" s="13">
        <f t="shared" si="39"/>
        <v>53.755617766190589</v>
      </c>
      <c r="CB62" s="20">
        <f t="shared" si="10"/>
        <v>473.91334810944858</v>
      </c>
      <c r="CC62" s="59">
        <f t="shared" si="11"/>
        <v>767.24668144278189</v>
      </c>
      <c r="CD62" s="59">
        <f ca="1">AVERAGE(OFFSET($CC$3,0,0,'Données projet'!$E$12+1,1))-AVERAGE(OFFSET($H$3,0,0,'Données projet'!$E$12+1,1))</f>
        <v>502.65044103360322</v>
      </c>
      <c r="CE62" s="59">
        <f t="shared" si="40"/>
        <v>321.65762891855167</v>
      </c>
      <c r="CF62" s="15">
        <f>IF(ISNA(VLOOKUP(A62,'Données projet'!$A$113:$I$133,3,0)),0,VLOOKUP(A62,'Données projet'!$A$113:$I$133,3,0))</f>
        <v>4</v>
      </c>
      <c r="CG62" s="15">
        <f>IF(ISNA(VLOOKUP(A62,'Données projet'!$A$113:$I$133,4,0)),0,VLOOKUP(A62,'Données projet'!$A$113:$I$133,4,0))</f>
        <v>41.81</v>
      </c>
      <c r="CH62" s="16">
        <f>IF(ISNA(VLOOKUP(A62,'Données projet'!$A$113:$I$133,5,0)),0%,VLOOKUP(A62,'Données projet'!$A$113:$I$133,5,0)*VLOOKUP('Données projet'!$B$12,Paramètres!$A$1:$I$89,7,0))</f>
        <v>0.15049999999999999</v>
      </c>
      <c r="CI62" s="16">
        <f>IF(ISNA(VLOOKUP(A62,'Données projet'!$A$113:$I$133,6,0)),0%,VLOOKUP(A62,'Données projet'!$A$113:$I$133,6,0)*VLOOKUP('Données projet'!$B$12,Paramètres!$A$1:$I$89,7,0))</f>
        <v>8.6000000000000007E-2</v>
      </c>
      <c r="CJ62" s="16">
        <f>IF(ISNA(VLOOKUP(A62,'Données projet'!$A$113:$I$133,7,0)),0%,VLOOKUP(A62,'Données projet'!$A$113:$I$133,7,0))</f>
        <v>0.1</v>
      </c>
      <c r="CK62" s="21">
        <f>EXP(-LN(2)/35)*CK61+(1-EXP(-LN(2)/35))/(LN(2)/35)*CG62*CH62*VLOOKUP('Données projet'!$B$12,Paramètres!$A$1:$I$89,3,0)*0.475*44/12</f>
        <v>14.409553531116302</v>
      </c>
      <c r="CL62" s="21">
        <f>EXP(-LN(2)/25)*CL61+(1-EXP(-LN(2)/25))/(LN(2)/25)*Calculateur!CG62*Calculateur!CI62*VLOOKUP('Données projet'!$B$12,Paramètres!$A$1:$I$89,3,0)*0.475*44/12</f>
        <v>35.820517964668632</v>
      </c>
      <c r="CM62" s="21">
        <f>EXP(-LN(2)/2)*CM61+(1-EXP(-LN(2)/2))/(LN(2)/2)*CG62*CJ62*VLOOKUP('Données projet'!$B$12,Paramètres!$A$1:$I$89,3,0)*0.475*44/12</f>
        <v>4.7210428167994785</v>
      </c>
      <c r="CN62" s="22">
        <f t="shared" si="12"/>
        <v>54.951114312584409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121.15384615384616</v>
      </c>
      <c r="L63" s="12">
        <f>VLOOKUP(A63,'Données projet'!$A$35:$I$55,9,0)</f>
        <v>3.2051282051282071</v>
      </c>
      <c r="M63" s="12">
        <f t="array" ref="M63">INDEX(L:L,MIN(IF(ISNUMBER(L63:L259),ROW(L63:L259),"")))</f>
        <v>3.2051282051282071</v>
      </c>
      <c r="N63" s="13">
        <f>IF('Données projet'!$A$36&gt;35,N62+M63-V62,IF(A63&lt;'Données projet'!$A$36,$K$205^A63,IF(A63='Données projet'!$A$36,'Données projet'!$B$36,N62+M63-V62)))</f>
        <v>121.15384615384609</v>
      </c>
      <c r="O63" s="13">
        <f>N63*VLOOKUP('Données projet'!$B$9,Paramètres!$A$1:$I$89,3,0)*VLOOKUP('Données projet'!$B$9,Paramètres!$A$1:$I$89,5,0)</f>
        <v>126.62999999999995</v>
      </c>
      <c r="P63" s="13">
        <f t="shared" si="33"/>
        <v>33.216464931527199</v>
      </c>
      <c r="Q63" s="20">
        <f t="shared" si="53"/>
        <v>278.39925975574312</v>
      </c>
      <c r="R63" s="59">
        <f t="shared" si="0"/>
        <v>571.73259308907643</v>
      </c>
      <c r="S63" s="59">
        <f ca="1">AVERAGE(OFFSET($R$3,0,0,'Données projet'!$E$9+1,1))-AVERAGE(OFFSET($H$3,0,0,'Données projet'!$E$9+1,1))</f>
        <v>239.26156489359892</v>
      </c>
      <c r="T63" s="59">
        <f t="shared" si="34"/>
        <v>213.97034450798111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10.256410256410255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0.215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16.485708619100112</v>
      </c>
      <c r="AB63" s="21">
        <f>EXP(-LN(2)/2)*AB62+(1-EXP(-LN(2)/2))/(LN(2)/2)*V63*Y63*VLOOKUP('Données projet'!$B$9,Paramètres!$A$1:$I$89,3,0)*0.475*44/12</f>
        <v>0</v>
      </c>
      <c r="AC63" s="22">
        <f t="shared" si="3"/>
        <v>16.485708619100112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8.5662500000000001</v>
      </c>
      <c r="AI63" s="13">
        <f>IF('Données projet'!$A$62&gt;35,AI62+AH63-AQ62,IF(A63&lt;'Données projet'!$A$62,$AF$205^A63,IF(A63='Données projet'!$A$62,'Données projet'!$B$62,AI62+AH63-AQ62)))</f>
        <v>173.11625000000029</v>
      </c>
      <c r="AJ63" s="13">
        <f>AI63*VLOOKUP('Données projet'!$B$10,Paramètres!$A$1:$I$89,3,0)*VLOOKUP('Données projet'!$B$10,Paramètres!$A$1:$I$89,5,0)</f>
        <v>175.5398775000003</v>
      </c>
      <c r="AK63" s="13">
        <f t="shared" si="35"/>
        <v>44.32844671747268</v>
      </c>
      <c r="AL63" s="20">
        <f t="shared" si="4"/>
        <v>382.93733134543209</v>
      </c>
      <c r="AM63" s="59">
        <f t="shared" si="5"/>
        <v>676.27066467876534</v>
      </c>
      <c r="AN63" s="59">
        <f ca="1">AVERAGE(OFFSET($AM$3,0,0,'Données projet'!$E$10+1,1))-AVERAGE(OFFSET($H$3,0,0,'Données projet'!$E$10+1,1))</f>
        <v>543.88440431478944</v>
      </c>
      <c r="AO63" s="59">
        <f t="shared" si="36"/>
        <v>342.63929463709457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8.7245527392793374</v>
      </c>
      <c r="AV63" s="21">
        <f>EXP(-LN(2)/25)*AV62+(1-EXP(-LN(2)/25))/(LN(2)/25)*Calculateur!AQ63*Calculateur!AS63*VLOOKUP('Données projet'!$B$10,Paramètres!$A$1:$I$89,3,0)*0.475*44/12</f>
        <v>38.421535175626289</v>
      </c>
      <c r="AW63" s="21">
        <f>EXP(-LN(2)/2)*AW62+(1-EXP(-LN(2)/2))/(LN(2)/2)*AQ63*AT63*VLOOKUP('Données projet'!$B$10,Paramètres!$A$1:$I$89,3,0)*0.475*44/12</f>
        <v>4.0383499144783093</v>
      </c>
      <c r="AX63" s="21">
        <f t="shared" si="6"/>
        <v>51.184437829383938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201.62</v>
      </c>
      <c r="BB63" s="12">
        <f>VLOOKUP(A63,'Données projet'!$A$87:$I$107,9,0)</f>
        <v>3.3603333333333336</v>
      </c>
      <c r="BC63" s="12">
        <f t="array" ref="BC63">INDEX(BB:BB,MIN(IF(ISNUMBER(BB63:BB259),ROW(BB63:BB259),"")))</f>
        <v>3.3603333333333336</v>
      </c>
      <c r="BD63" s="12">
        <f>IF('Données projet'!$A$88&gt;35,BD62+BC63-BL62,IF(A63&lt;'Données projet'!$A$88,$BA$205^A63,IF(A63='Données projet'!$A$88,'Données projet'!$B$88,BD62+BC63-BL62)))</f>
        <v>201.61999999999989</v>
      </c>
      <c r="BE63" s="13">
        <f>BD63*VLOOKUP('Données projet'!$B$11,Paramètres!$A$1:$I$89,3,0)*VLOOKUP('Données projet'!$B$11,Paramètres!$A$1:$I$89,5,0)</f>
        <v>229.6048559999999</v>
      </c>
      <c r="BF63" s="13">
        <f t="shared" si="37"/>
        <v>56.19723361144181</v>
      </c>
      <c r="BG63" s="20">
        <f t="shared" si="7"/>
        <v>497.77197273992761</v>
      </c>
      <c r="BH63" s="59">
        <f t="shared" si="8"/>
        <v>791.10530607326086</v>
      </c>
      <c r="BI63" s="59">
        <f ca="1">AVERAGE(OFFSET($BH$3,0,0,'Données projet'!$E$11+1,1))-AVERAGE(OFFSET($H$3,0,0,'Données projet'!$E$11+1,1))</f>
        <v>593.28343396240075</v>
      </c>
      <c r="BJ63" s="59">
        <f t="shared" si="38"/>
        <v>289.66477662068695</v>
      </c>
      <c r="BK63" s="15">
        <f>IF(ISNA(VLOOKUP(A63,'Données projet'!$A$87:$I$107,3,0)),0,VLOOKUP(A63,'Données projet'!$A$87:$I$107,3,0))</f>
        <v>1</v>
      </c>
      <c r="BL63" s="15">
        <f>IF(ISNA(VLOOKUP(A63,'Données projet'!$A$87:$I$107,4,0)),0,VLOOKUP(A63,'Données projet'!$A$87:$I$107,4,0))</f>
        <v>72.87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0.34400000000000003</v>
      </c>
      <c r="BO63" s="16">
        <f>IF(ISNA(VLOOKUP(A63,'Données projet'!$A$87:$I$107,7,0)),0%,VLOOKUP(A63,'Données projet'!$A$87:$I$107,7,0))</f>
        <v>0.2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31.433187477653828</v>
      </c>
      <c r="BR63" s="21">
        <f>EXP(-LN(2)/2)*BR62+(1-EXP(-LN(2)/2))/(LN(2)/2)*BL63*BO63*VLOOKUP('Données projet'!$B$11,Paramètres!$A$1:$I$89,3,0)*0.475*44/12</f>
        <v>15.659594675439026</v>
      </c>
      <c r="BS63" s="22">
        <f t="shared" si="9"/>
        <v>47.092782153092855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9.7525000000000013</v>
      </c>
      <c r="BY63" s="12">
        <f>IF('Données projet'!$A$114&gt;35,BY62+BX63-CG62,IF(A63&lt;'Données projet'!$A$114,$BV$205^A63,IF(A63='Données projet'!$A$114,'Données projet'!$B$114,BY62+BX63-CG62)))</f>
        <v>170.79249999999999</v>
      </c>
      <c r="BZ63" s="13">
        <f>BY63*VLOOKUP('Données projet'!$B$12,Paramètres!$A$1:$I$89,3,0)*VLOOKUP('Données projet'!$B$12,Paramètres!$A$1:$I$89,5,0)</f>
        <v>183.84104699999997</v>
      </c>
      <c r="CA63" s="13">
        <f t="shared" si="39"/>
        <v>46.175695377255046</v>
      </c>
      <c r="CB63" s="20">
        <f t="shared" si="10"/>
        <v>400.6124929737191</v>
      </c>
      <c r="CC63" s="59">
        <f t="shared" si="11"/>
        <v>693.94582630705236</v>
      </c>
      <c r="CD63" s="59">
        <f ca="1">AVERAGE(OFFSET($CC$3,0,0,'Données projet'!$E$12+1,1))-AVERAGE(OFFSET($H$3,0,0,'Données projet'!$E$12+1,1))</f>
        <v>502.65044103360322</v>
      </c>
      <c r="CE63" s="59">
        <f t="shared" si="40"/>
        <v>321.65762891855167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14.126990975330928</v>
      </c>
      <c r="CL63" s="21">
        <f>EXP(-LN(2)/25)*CL62+(1-EXP(-LN(2)/25))/(LN(2)/25)*Calculateur!CG63*Calculateur!CI63*VLOOKUP('Données projet'!$B$12,Paramètres!$A$1:$I$89,3,0)*0.475*44/12</f>
        <v>34.841004017205599</v>
      </c>
      <c r="CM63" s="21">
        <f>EXP(-LN(2)/2)*CM62+(1-EXP(-LN(2)/2))/(LN(2)/2)*CG63*CJ63*VLOOKUP('Données projet'!$B$12,Paramètres!$A$1:$I$89,3,0)*0.475*44/12</f>
        <v>3.3382813900309509</v>
      </c>
      <c r="CN63" s="22">
        <f t="shared" si="12"/>
        <v>52.306276382567475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2.8205128205128176</v>
      </c>
      <c r="N64" s="13">
        <f>IF('Données projet'!$A$36&gt;35,N63+M64-V63,IF(A64&lt;'Données projet'!$A$36,$K$205^A64,IF(A64='Données projet'!$A$36,'Données projet'!$B$36,N63+M64-V63)))</f>
        <v>113.71794871794864</v>
      </c>
      <c r="O64" s="13">
        <f>N64*VLOOKUP('Données projet'!$B$9,Paramètres!$A$1:$I$89,3,0)*VLOOKUP('Données projet'!$B$9,Paramètres!$A$1:$I$89,5,0)</f>
        <v>118.85799999999992</v>
      </c>
      <c r="P64" s="13">
        <f t="shared" si="33"/>
        <v>31.408498497995616</v>
      </c>
      <c r="Q64" s="20">
        <f t="shared" si="53"/>
        <v>261.71415155067552</v>
      </c>
      <c r="R64" s="59">
        <f t="shared" si="0"/>
        <v>555.04748488400878</v>
      </c>
      <c r="S64" s="59">
        <f ca="1">AVERAGE(OFFSET($R$3,0,0,'Données projet'!$E$9+1,1))-AVERAGE(OFFSET($H$3,0,0,'Données projet'!$E$9+1,1))</f>
        <v>239.26156489359892</v>
      </c>
      <c r="T64" s="59">
        <f t="shared" si="34"/>
        <v>213.97034450798111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16.03490604996508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16.03490604996508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8.5662500000000001</v>
      </c>
      <c r="AI64" s="13">
        <f>IF('Données projet'!$A$62&gt;35,AI63+AH64-AQ63,IF(A64&lt;'Données projet'!$A$62,$AF$205^A64,IF(A64='Données projet'!$A$62,'Données projet'!$B$62,AI63+AH64-AQ63)))</f>
        <v>181.68250000000029</v>
      </c>
      <c r="AJ64" s="13">
        <f>AI64*VLOOKUP('Données projet'!$B$10,Paramètres!$A$1:$I$89,3,0)*VLOOKUP('Données projet'!$B$10,Paramètres!$A$1:$I$89,5,0)</f>
        <v>184.22605500000029</v>
      </c>
      <c r="AK64" s="13">
        <f t="shared" si="35"/>
        <v>46.261131892180465</v>
      </c>
      <c r="AL64" s="20">
        <f t="shared" si="4"/>
        <v>401.43185050388144</v>
      </c>
      <c r="AM64" s="59">
        <f t="shared" si="5"/>
        <v>694.76518383721475</v>
      </c>
      <c r="AN64" s="59">
        <f ca="1">AVERAGE(OFFSET($AM$3,0,0,'Données projet'!$E$10+1,1))-AVERAGE(OFFSET($H$3,0,0,'Données projet'!$E$10+1,1))</f>
        <v>543.88440431478944</v>
      </c>
      <c r="AO64" s="59">
        <f t="shared" si="36"/>
        <v>342.63929463709457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8.5534695815137916</v>
      </c>
      <c r="AV64" s="21">
        <f>EXP(-LN(2)/25)*AV63+(1-EXP(-LN(2)/25))/(LN(2)/25)*Calculateur!AQ64*Calculateur!AS64*VLOOKUP('Données projet'!$B$10,Paramètres!$A$1:$I$89,3,0)*0.475*44/12</f>
        <v>37.370896275748066</v>
      </c>
      <c r="AW64" s="21">
        <f>EXP(-LN(2)/2)*AW63+(1-EXP(-LN(2)/2))/(LN(2)/2)*AQ64*AT64*VLOOKUP('Données projet'!$B$10,Paramètres!$A$1:$I$89,3,0)*0.475*44/12</f>
        <v>2.8555446093317269</v>
      </c>
      <c r="AX64" s="21">
        <f t="shared" si="6"/>
        <v>48.779910466593591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6.8933333333333326</v>
      </c>
      <c r="BD64" s="12">
        <f>IF('Données projet'!$A$88&gt;35,BD63+BC64-BL63,IF(A64&lt;'Données projet'!$A$88,$BA$205^A64,IF(A64='Données projet'!$A$88,'Données projet'!$B$88,BD63+BC64-BL63)))</f>
        <v>135.64333333333323</v>
      </c>
      <c r="BE64" s="13">
        <f>BD64*VLOOKUP('Données projet'!$B$11,Paramètres!$A$1:$I$89,3,0)*VLOOKUP('Données projet'!$B$11,Paramètres!$A$1:$I$89,5,0)</f>
        <v>154.47062799999989</v>
      </c>
      <c r="BF64" s="13">
        <f t="shared" si="37"/>
        <v>39.592808820576636</v>
      </c>
      <c r="BG64" s="20">
        <f t="shared" si="7"/>
        <v>337.99381912917073</v>
      </c>
      <c r="BH64" s="59">
        <f t="shared" si="8"/>
        <v>631.32715246250405</v>
      </c>
      <c r="BI64" s="59">
        <f ca="1">AVERAGE(OFFSET($BH$3,0,0,'Données projet'!$E$11+1,1))-AVERAGE(OFFSET($H$3,0,0,'Données projet'!$E$11+1,1))</f>
        <v>593.28343396240075</v>
      </c>
      <c r="BJ64" s="59">
        <f t="shared" si="38"/>
        <v>289.66477662068695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30.573645313077897</v>
      </c>
      <c r="BR64" s="21">
        <f>EXP(-LN(2)/2)*BR63+(1-EXP(-LN(2)/2))/(LN(2)/2)*BL64*BO64*VLOOKUP('Données projet'!$B$11,Paramètres!$A$1:$I$89,3,0)*0.475*44/12</f>
        <v>11.073005585635689</v>
      </c>
      <c r="BS64" s="22">
        <f t="shared" si="9"/>
        <v>41.646650898713588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9.7525000000000013</v>
      </c>
      <c r="BY64" s="12">
        <f>IF('Données projet'!$A$114&gt;35,BY63+BX64-CG63,IF(A64&lt;'Données projet'!$A$114,$BV$205^A64,IF(A64='Données projet'!$A$114,'Données projet'!$B$114,BY63+BX64-CG63)))</f>
        <v>180.54499999999999</v>
      </c>
      <c r="BZ64" s="13">
        <f>BY64*VLOOKUP('Données projet'!$B$12,Paramètres!$A$1:$I$89,3,0)*VLOOKUP('Données projet'!$B$12,Paramètres!$A$1:$I$89,5,0)</f>
        <v>194.33863799999997</v>
      </c>
      <c r="CA64" s="13">
        <f t="shared" si="39"/>
        <v>48.497900030377807</v>
      </c>
      <c r="CB64" s="20">
        <f t="shared" si="10"/>
        <v>422.94030373624128</v>
      </c>
      <c r="CC64" s="59">
        <f t="shared" si="11"/>
        <v>716.27363706957453</v>
      </c>
      <c r="CD64" s="59">
        <f ca="1">AVERAGE(OFFSET($CC$3,0,0,'Données projet'!$E$12+1,1))-AVERAGE(OFFSET($H$3,0,0,'Données projet'!$E$12+1,1))</f>
        <v>502.65044103360322</v>
      </c>
      <c r="CE64" s="59">
        <f t="shared" si="40"/>
        <v>321.65762891855167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13.849969298918364</v>
      </c>
      <c r="CL64" s="21">
        <f>EXP(-LN(2)/25)*CL63+(1-EXP(-LN(2)/25))/(LN(2)/25)*Calculateur!CG64*Calculateur!CI64*VLOOKUP('Données projet'!$B$12,Paramètres!$A$1:$I$89,3,0)*0.475*44/12</f>
        <v>33.888274930146338</v>
      </c>
      <c r="CM64" s="21">
        <f>EXP(-LN(2)/2)*CM63+(1-EXP(-LN(2)/2))/(LN(2)/2)*CG64*CJ64*VLOOKUP('Données projet'!$B$12,Paramètres!$A$1:$I$89,3,0)*0.475*44/12</f>
        <v>2.3605214083997397</v>
      </c>
      <c r="CN64" s="22">
        <f t="shared" si="12"/>
        <v>50.098765637464446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2.8205128205128176</v>
      </c>
      <c r="N65" s="13">
        <f>IF('Données projet'!$A$36&gt;35,N64+M65-V64,IF(A65&lt;'Données projet'!$A$36,$K$205^A65,IF(A65='Données projet'!$A$36,'Données projet'!$B$36,N64+M65-V64)))</f>
        <v>116.53846153846146</v>
      </c>
      <c r="O65" s="13">
        <f>N65*VLOOKUP('Données projet'!$B$9,Paramètres!$A$1:$I$89,3,0)*VLOOKUP('Données projet'!$B$9,Paramètres!$A$1:$I$89,5,0)</f>
        <v>121.80599999999993</v>
      </c>
      <c r="P65" s="13">
        <f t="shared" si="33"/>
        <v>32.09585223561038</v>
      </c>
      <c r="Q65" s="20">
        <f t="shared" si="53"/>
        <v>268.04572597702128</v>
      </c>
      <c r="R65" s="59">
        <f t="shared" si="0"/>
        <v>561.37905931035459</v>
      </c>
      <c r="S65" s="59">
        <f ca="1">AVERAGE(OFFSET($R$3,0,0,'Données projet'!$E$9+1,1))-AVERAGE(OFFSET($H$3,0,0,'Données projet'!$E$9+1,1))</f>
        <v>239.26156489359892</v>
      </c>
      <c r="T65" s="59">
        <f t="shared" si="34"/>
        <v>213.97034450798111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15.596430700789725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15.596430700789725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8.5662500000000001</v>
      </c>
      <c r="AI65" s="13">
        <f>IF('Données projet'!$A$62&gt;35,AI64+AH65-AQ64,IF(A65&lt;'Données projet'!$A$62,$AF$205^A65,IF(A65='Données projet'!$A$62,'Données projet'!$B$62,AI64+AH65-AQ64)))</f>
        <v>190.24875000000029</v>
      </c>
      <c r="AJ65" s="13">
        <f>AI65*VLOOKUP('Données projet'!$B$10,Paramètres!$A$1:$I$89,3,0)*VLOOKUP('Données projet'!$B$10,Paramètres!$A$1:$I$89,5,0)</f>
        <v>192.9122325000003</v>
      </c>
      <c r="AK65" s="13">
        <f t="shared" si="35"/>
        <v>48.183235000694332</v>
      </c>
      <c r="AL65" s="20">
        <f t="shared" si="4"/>
        <v>419.90793923037648</v>
      </c>
      <c r="AM65" s="59">
        <f t="shared" si="5"/>
        <v>713.2412725637098</v>
      </c>
      <c r="AN65" s="59">
        <f ca="1">AVERAGE(OFFSET($AM$3,0,0,'Données projet'!$E$10+1,1))-AVERAGE(OFFSET($H$3,0,0,'Données projet'!$E$10+1,1))</f>
        <v>543.88440431478944</v>
      </c>
      <c r="AO65" s="59">
        <f t="shared" si="36"/>
        <v>342.63929463709457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8.3857412601216055</v>
      </c>
      <c r="AV65" s="21">
        <f>EXP(-LN(2)/25)*AV64+(1-EXP(-LN(2)/25))/(LN(2)/25)*Calculateur!AQ65*Calculateur!AS65*VLOOKUP('Données projet'!$B$10,Paramètres!$A$1:$I$89,3,0)*0.475*44/12</f>
        <v>36.348987151837711</v>
      </c>
      <c r="AW65" s="21">
        <f>EXP(-LN(2)/2)*AW64+(1-EXP(-LN(2)/2))/(LN(2)/2)*AQ65*AT65*VLOOKUP('Données projet'!$B$10,Paramètres!$A$1:$I$89,3,0)*0.475*44/12</f>
        <v>2.0191749572391551</v>
      </c>
      <c r="AX65" s="21">
        <f t="shared" si="6"/>
        <v>46.753903369198468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6.8933333333333326</v>
      </c>
      <c r="BD65" s="12">
        <f>IF('Données projet'!$A$88&gt;35,BD64+BC65-BL64,IF(A65&lt;'Données projet'!$A$88,$BA$205^A65,IF(A65='Données projet'!$A$88,'Données projet'!$B$88,BD64+BC65-BL64)))</f>
        <v>142.53666666666658</v>
      </c>
      <c r="BE65" s="13">
        <f>BD65*VLOOKUP('Données projet'!$B$11,Paramètres!$A$1:$I$89,3,0)*VLOOKUP('Données projet'!$B$11,Paramètres!$A$1:$I$89,5,0)</f>
        <v>162.3207559999999</v>
      </c>
      <c r="BF65" s="13">
        <f t="shared" si="37"/>
        <v>41.365528881594308</v>
      </c>
      <c r="BG65" s="20">
        <f t="shared" si="7"/>
        <v>354.75361283544322</v>
      </c>
      <c r="BH65" s="59">
        <f t="shared" si="8"/>
        <v>648.08694616877654</v>
      </c>
      <c r="BI65" s="59">
        <f ca="1">AVERAGE(OFFSET($BH$3,0,0,'Données projet'!$E$11+1,1))-AVERAGE(OFFSET($H$3,0,0,'Données projet'!$E$11+1,1))</f>
        <v>593.28343396240075</v>
      </c>
      <c r="BJ65" s="59">
        <f t="shared" si="38"/>
        <v>289.66477662068695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29.737607374193651</v>
      </c>
      <c r="BR65" s="21">
        <f>EXP(-LN(2)/2)*BR64+(1-EXP(-LN(2)/2))/(LN(2)/2)*BL65*BO65*VLOOKUP('Données projet'!$B$11,Paramètres!$A$1:$I$89,3,0)*0.475*44/12</f>
        <v>7.8297973377195147</v>
      </c>
      <c r="BS65" s="22">
        <f t="shared" si="9"/>
        <v>37.567404711913163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9.7525000000000013</v>
      </c>
      <c r="BY65" s="12">
        <f>IF('Données projet'!$A$114&gt;35,BY64+BX65-CG64,IF(A65&lt;'Données projet'!$A$114,$BV$205^A65,IF(A65='Données projet'!$A$114,'Données projet'!$B$114,BY64+BX65-CG64)))</f>
        <v>190.29749999999999</v>
      </c>
      <c r="BZ65" s="13">
        <f>BY65*VLOOKUP('Données projet'!$B$12,Paramètres!$A$1:$I$89,3,0)*VLOOKUP('Données projet'!$B$12,Paramètres!$A$1:$I$89,5,0)</f>
        <v>204.83622899999995</v>
      </c>
      <c r="CA65" s="13">
        <f t="shared" si="39"/>
        <v>50.805541968354355</v>
      </c>
      <c r="CB65" s="20">
        <f t="shared" si="10"/>
        <v>445.24275110321702</v>
      </c>
      <c r="CC65" s="59">
        <f t="shared" si="11"/>
        <v>738.57608443655033</v>
      </c>
      <c r="CD65" s="59">
        <f ca="1">AVERAGE(OFFSET($CC$3,0,0,'Données projet'!$E$12+1,1))-AVERAGE(OFFSET($H$3,0,0,'Données projet'!$E$12+1,1))</f>
        <v>502.65044103360322</v>
      </c>
      <c r="CE65" s="59">
        <f t="shared" si="40"/>
        <v>321.65762891855167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13.578379848613711</v>
      </c>
      <c r="CL65" s="21">
        <f>EXP(-LN(2)/25)*CL64+(1-EXP(-LN(2)/25))/(LN(2)/25)*Calculateur!CG65*Calculateur!CI65*VLOOKUP('Données projet'!$B$12,Paramètres!$A$1:$I$89,3,0)*0.475*44/12</f>
        <v>32.96159827007456</v>
      </c>
      <c r="CM65" s="21">
        <f>EXP(-LN(2)/2)*CM64+(1-EXP(-LN(2)/2))/(LN(2)/2)*CG65*CJ65*VLOOKUP('Données projet'!$B$12,Paramètres!$A$1:$I$89,3,0)*0.475*44/12</f>
        <v>1.6691406950154759</v>
      </c>
      <c r="CN65" s="22">
        <f t="shared" si="12"/>
        <v>48.209118813703746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2.8205128205128176</v>
      </c>
      <c r="N66" s="13">
        <f>IF('Données projet'!$A$36&gt;35,N65+M66-V65,IF(A66&lt;'Données projet'!$A$36,$K$205^A66,IF(A66='Données projet'!$A$36,'Données projet'!$B$36,N65+M66-V65)))</f>
        <v>119.35897435897428</v>
      </c>
      <c r="O66" s="13">
        <f>N66*VLOOKUP('Données projet'!$B$9,Paramètres!$A$1:$I$89,3,0)*VLOOKUP('Données projet'!$B$9,Paramètres!$A$1:$I$89,5,0)</f>
        <v>124.75399999999992</v>
      </c>
      <c r="P66" s="13">
        <f t="shared" si="33"/>
        <v>32.781272112057259</v>
      </c>
      <c r="Q66" s="20">
        <f t="shared" si="53"/>
        <v>274.37393226183292</v>
      </c>
      <c r="R66" s="59">
        <f t="shared" si="0"/>
        <v>567.70726559516629</v>
      </c>
      <c r="S66" s="59">
        <f ca="1">AVERAGE(OFFSET($R$3,0,0,'Données projet'!$E$9+1,1))-AVERAGE(OFFSET($H$3,0,0,'Données projet'!$E$9+1,1))</f>
        <v>239.26156489359892</v>
      </c>
      <c r="T66" s="59">
        <f t="shared" si="34"/>
        <v>213.97034450798111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15.169945483095985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15.169945483095985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8.5662500000000001</v>
      </c>
      <c r="AI66" s="13">
        <f>IF('Données projet'!$A$62&gt;35,AI65+AH66-AQ65,IF(A66&lt;'Données projet'!$A$62,$AF$205^A66,IF(A66='Données projet'!$A$62,'Données projet'!$B$62,AI65+AH66-AQ65)))</f>
        <v>198.81500000000028</v>
      </c>
      <c r="AJ66" s="13">
        <f>AI66*VLOOKUP('Données projet'!$B$10,Paramètres!$A$1:$I$89,3,0)*VLOOKUP('Données projet'!$B$10,Paramètres!$A$1:$I$89,5,0)</f>
        <v>201.59841000000031</v>
      </c>
      <c r="AK66" s="13">
        <f t="shared" si="35"/>
        <v>50.095286953803772</v>
      </c>
      <c r="AL66" s="20">
        <f t="shared" si="4"/>
        <v>438.36652219454209</v>
      </c>
      <c r="AM66" s="59">
        <f t="shared" si="5"/>
        <v>731.69985552787534</v>
      </c>
      <c r="AN66" s="59">
        <f ca="1">AVERAGE(OFFSET($AM$3,0,0,'Données projet'!$E$10+1,1))-AVERAGE(OFFSET($H$3,0,0,'Données projet'!$E$10+1,1))</f>
        <v>543.88440431478944</v>
      </c>
      <c r="AO66" s="59">
        <f t="shared" si="36"/>
        <v>342.63929463709457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8.2213019888077454</v>
      </c>
      <c r="AV66" s="21">
        <f>EXP(-LN(2)/25)*AV65+(1-EXP(-LN(2)/25))/(LN(2)/25)*Calculateur!AQ66*Calculateur!AS66*VLOOKUP('Données projet'!$B$10,Paramètres!$A$1:$I$89,3,0)*0.475*44/12</f>
        <v>35.355022186660548</v>
      </c>
      <c r="AW66" s="21">
        <f>EXP(-LN(2)/2)*AW65+(1-EXP(-LN(2)/2))/(LN(2)/2)*AQ66*AT66*VLOOKUP('Données projet'!$B$10,Paramètres!$A$1:$I$89,3,0)*0.475*44/12</f>
        <v>1.4277723046658637</v>
      </c>
      <c r="AX66" s="21">
        <f t="shared" si="6"/>
        <v>45.004096480134159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6.8933333333333326</v>
      </c>
      <c r="BD66" s="12">
        <f>IF('Données projet'!$A$88&gt;35,BD65+BC66-BL65,IF(A66&lt;'Données projet'!$A$88,$BA$205^A66,IF(A66='Données projet'!$A$88,'Données projet'!$B$88,BD65+BC66-BL65)))</f>
        <v>149.42999999999992</v>
      </c>
      <c r="BE66" s="13">
        <f>BD66*VLOOKUP('Données projet'!$B$11,Paramètres!$A$1:$I$89,3,0)*VLOOKUP('Données projet'!$B$11,Paramètres!$A$1:$I$89,5,0)</f>
        <v>170.17088399999992</v>
      </c>
      <c r="BF66" s="13">
        <f t="shared" si="37"/>
        <v>43.128293678549916</v>
      </c>
      <c r="BG66" s="20">
        <f t="shared" si="7"/>
        <v>371.4960677901409</v>
      </c>
      <c r="BH66" s="59">
        <f t="shared" si="8"/>
        <v>664.82940112347421</v>
      </c>
      <c r="BI66" s="59">
        <f ca="1">AVERAGE(OFFSET($BH$3,0,0,'Données projet'!$E$11+1,1))-AVERAGE(OFFSET($H$3,0,0,'Données projet'!$E$11+1,1))</f>
        <v>593.28343396240075</v>
      </c>
      <c r="BJ66" s="59">
        <f t="shared" si="38"/>
        <v>289.66477662068695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28.92443093671352</v>
      </c>
      <c r="BR66" s="21">
        <f>EXP(-LN(2)/2)*BR65+(1-EXP(-LN(2)/2))/(LN(2)/2)*BL66*BO66*VLOOKUP('Données projet'!$B$11,Paramètres!$A$1:$I$89,3,0)*0.475*44/12</f>
        <v>5.5365027928178456</v>
      </c>
      <c r="BS66" s="22">
        <f t="shared" si="9"/>
        <v>34.460933729531362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9.7525000000000013</v>
      </c>
      <c r="BY66" s="12">
        <f>IF('Données projet'!$A$114&gt;35,BY65+BX66-CG65,IF(A66&lt;'Données projet'!$A$114,$BV$205^A66,IF(A66='Données projet'!$A$114,'Données projet'!$B$114,BY65+BX66-CG65)))</f>
        <v>200.04999999999998</v>
      </c>
      <c r="BZ66" s="13">
        <f>BY66*VLOOKUP('Données projet'!$B$12,Paramètres!$A$1:$I$89,3,0)*VLOOKUP('Données projet'!$B$12,Paramètres!$A$1:$I$89,5,0)</f>
        <v>215.33381999999997</v>
      </c>
      <c r="CA66" s="13">
        <f t="shared" si="39"/>
        <v>53.099452648856172</v>
      </c>
      <c r="CB66" s="20">
        <f t="shared" si="10"/>
        <v>467.52128319675768</v>
      </c>
      <c r="CC66" s="59">
        <f t="shared" si="11"/>
        <v>760.85461653009099</v>
      </c>
      <c r="CD66" s="59">
        <f ca="1">AVERAGE(OFFSET($CC$3,0,0,'Données projet'!$E$12+1,1))-AVERAGE(OFFSET($H$3,0,0,'Données projet'!$E$12+1,1))</f>
        <v>502.65044103360322</v>
      </c>
      <c r="CE66" s="59">
        <f t="shared" si="40"/>
        <v>321.65762891855167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13.312116101776324</v>
      </c>
      <c r="CL66" s="21">
        <f>EXP(-LN(2)/25)*CL65+(1-EXP(-LN(2)/25))/(LN(2)/25)*Calculateur!CG66*Calculateur!CI66*VLOOKUP('Données projet'!$B$12,Paramètres!$A$1:$I$89,3,0)*0.475*44/12</f>
        <v>32.060261632004256</v>
      </c>
      <c r="CM66" s="21">
        <f>EXP(-LN(2)/2)*CM65+(1-EXP(-LN(2)/2))/(LN(2)/2)*CG66*CJ66*VLOOKUP('Données projet'!$B$12,Paramètres!$A$1:$I$89,3,0)*0.475*44/12</f>
        <v>1.1802607041998701</v>
      </c>
      <c r="CN66" s="22">
        <f t="shared" si="12"/>
        <v>46.552638437980448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2.8205128205128176</v>
      </c>
      <c r="N67" s="13">
        <f>IF('Données projet'!$A$36&gt;35,N66+M67-V66,IF(A67&lt;'Données projet'!$A$36,$K$205^A67,IF(A67='Données projet'!$A$36,'Données projet'!$B$36,N66+M67-V66)))</f>
        <v>122.1794871794871</v>
      </c>
      <c r="O67" s="13">
        <f>N67*VLOOKUP('Données projet'!$B$9,Paramètres!$A$1:$I$89,3,0)*VLOOKUP('Données projet'!$B$9,Paramètres!$A$1:$I$89,5,0)</f>
        <v>127.70199999999991</v>
      </c>
      <c r="P67" s="13">
        <f t="shared" si="33"/>
        <v>33.464809084200624</v>
      </c>
      <c r="Q67" s="20">
        <f t="shared" ref="Q67:Q98" si="54">(O67+P67)*0.475*44/12</f>
        <v>280.69885915498259</v>
      </c>
      <c r="R67" s="59">
        <f t="shared" ref="R67:R130" si="55">Q67+(I67+J67)*44/12</f>
        <v>574.0321924883159</v>
      </c>
      <c r="S67" s="59">
        <f ca="1">AVERAGE(OFFSET($R$3,0,0,'Données projet'!$E$9+1,1))-AVERAGE(OFFSET($H$3,0,0,'Données projet'!$E$9+1,1))</f>
        <v>239.26156489359892</v>
      </c>
      <c r="T67" s="59">
        <f t="shared" si="34"/>
        <v>213.97034450798111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14.755122526107964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14.755122526107964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8.5662500000000001</v>
      </c>
      <c r="AI67" s="13">
        <f>IF('Données projet'!$A$62&gt;35,AI66+AH67-AQ66,IF(A67&lt;'Données projet'!$A$62,$AF$205^A67,IF(A67='Données projet'!$A$62,'Données projet'!$B$62,AI66+AH67-AQ66)))</f>
        <v>207.38125000000028</v>
      </c>
      <c r="AJ67" s="13">
        <f>AI67*VLOOKUP('Données projet'!$B$10,Paramètres!$A$1:$I$89,3,0)*VLOOKUP('Données projet'!$B$10,Paramètres!$A$1:$I$89,5,0)</f>
        <v>210.2845875000003</v>
      </c>
      <c r="AK67" s="13">
        <f t="shared" si="35"/>
        <v>51.997770324665282</v>
      </c>
      <c r="AL67" s="20">
        <f t="shared" si="4"/>
        <v>456.80843987795924</v>
      </c>
      <c r="AM67" s="59">
        <f t="shared" si="5"/>
        <v>750.1417732112925</v>
      </c>
      <c r="AN67" s="59">
        <f ca="1">AVERAGE(OFFSET($AM$3,0,0,'Données projet'!$E$10+1,1))-AVERAGE(OFFSET($H$3,0,0,'Données projet'!$E$10+1,1))</f>
        <v>543.88440431478944</v>
      </c>
      <c r="AO67" s="59">
        <f t="shared" si="36"/>
        <v>342.63929463709457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8.0600872713062977</v>
      </c>
      <c r="AV67" s="21">
        <f>EXP(-LN(2)/25)*AV66+(1-EXP(-LN(2)/25))/(LN(2)/25)*Calculateur!AQ67*Calculateur!AS67*VLOOKUP('Données projet'!$B$10,Paramètres!$A$1:$I$89,3,0)*0.475*44/12</f>
        <v>34.388237245726501</v>
      </c>
      <c r="AW67" s="21">
        <f>EXP(-LN(2)/2)*AW66+(1-EXP(-LN(2)/2))/(LN(2)/2)*AQ67*AT67*VLOOKUP('Données projet'!$B$10,Paramètres!$A$1:$I$89,3,0)*0.475*44/12</f>
        <v>1.0095874786195775</v>
      </c>
      <c r="AX67" s="21">
        <f t="shared" si="6"/>
        <v>43.457911995652381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6.8933333333333326</v>
      </c>
      <c r="BD67" s="12">
        <f>IF('Données projet'!$A$88&gt;35,BD66+BC67-BL66,IF(A67&lt;'Données projet'!$A$88,$BA$205^A67,IF(A67='Données projet'!$A$88,'Données projet'!$B$88,BD66+BC67-BL66)))</f>
        <v>156.32333333333327</v>
      </c>
      <c r="BE67" s="13">
        <f>BD67*VLOOKUP('Données projet'!$B$11,Paramètres!$A$1:$I$89,3,0)*VLOOKUP('Données projet'!$B$11,Paramètres!$A$1:$I$89,5,0)</f>
        <v>178.02101199999993</v>
      </c>
      <c r="BF67" s="13">
        <f t="shared" si="37"/>
        <v>44.881614909300232</v>
      </c>
      <c r="BG67" s="20">
        <f t="shared" si="7"/>
        <v>388.22207520036437</v>
      </c>
      <c r="BH67" s="59">
        <f t="shared" si="8"/>
        <v>681.55540853369769</v>
      </c>
      <c r="BI67" s="59">
        <f ca="1">AVERAGE(OFFSET($BH$3,0,0,'Données projet'!$E$11+1,1))-AVERAGE(OFFSET($H$3,0,0,'Données projet'!$E$11+1,1))</f>
        <v>593.28343396240075</v>
      </c>
      <c r="BJ67" s="59">
        <f t="shared" si="38"/>
        <v>289.66477662068695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28.133490851679372</v>
      </c>
      <c r="BR67" s="21">
        <f>EXP(-LN(2)/2)*BR66+(1-EXP(-LN(2)/2))/(LN(2)/2)*BL67*BO67*VLOOKUP('Données projet'!$B$11,Paramètres!$A$1:$I$89,3,0)*0.475*44/12</f>
        <v>3.9148986688597578</v>
      </c>
      <c r="BS67" s="22">
        <f t="shared" si="9"/>
        <v>32.048389520539132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9.7525000000000013</v>
      </c>
      <c r="BY67" s="12">
        <f>IF('Données projet'!$A$114&gt;35,BY66+BX67-CG66,IF(A67&lt;'Données projet'!$A$114,$BV$205^A67,IF(A67='Données projet'!$A$114,'Données projet'!$B$114,BY66+BX67-CG66)))</f>
        <v>209.80249999999998</v>
      </c>
      <c r="BZ67" s="13">
        <f>BY67*VLOOKUP('Données projet'!$B$12,Paramètres!$A$1:$I$89,3,0)*VLOOKUP('Données projet'!$B$12,Paramètres!$A$1:$I$89,5,0)</f>
        <v>225.83141099999995</v>
      </c>
      <c r="CA67" s="13">
        <f t="shared" si="39"/>
        <v>55.380377881825432</v>
      </c>
      <c r="CB67" s="20">
        <f t="shared" si="10"/>
        <v>489.77719896917915</v>
      </c>
      <c r="CC67" s="59">
        <f t="shared" si="11"/>
        <v>783.11053230251241</v>
      </c>
      <c r="CD67" s="59">
        <f ca="1">AVERAGE(OFFSET($CC$3,0,0,'Données projet'!$E$12+1,1))-AVERAGE(OFFSET($H$3,0,0,'Données projet'!$E$12+1,1))</f>
        <v>502.65044103360322</v>
      </c>
      <c r="CE67" s="59">
        <f t="shared" si="40"/>
        <v>321.65762891855167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13.05107362460957</v>
      </c>
      <c r="CL67" s="21">
        <f>EXP(-LN(2)/25)*CL66+(1-EXP(-LN(2)/25))/(LN(2)/25)*Calculateur!CG67*Calculateur!CI67*VLOOKUP('Données projet'!$B$12,Paramètres!$A$1:$I$89,3,0)*0.475*44/12</f>
        <v>31.183572091701215</v>
      </c>
      <c r="CM67" s="21">
        <f>EXP(-LN(2)/2)*CM66+(1-EXP(-LN(2)/2))/(LN(2)/2)*CG67*CJ67*VLOOKUP('Données projet'!$B$12,Paramètres!$A$1:$I$89,3,0)*0.475*44/12</f>
        <v>0.83457034750773806</v>
      </c>
      <c r="CN67" s="22">
        <f t="shared" si="12"/>
        <v>45.069216063818523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125</v>
      </c>
      <c r="L68" s="12">
        <f>VLOOKUP(A68,'Données projet'!$A$35:$I$55,9,0)</f>
        <v>2.8205128205128176</v>
      </c>
      <c r="M68" s="12">
        <f t="array" ref="M68">INDEX(L:L,MIN(IF(ISNUMBER(L68:L264),ROW(L68:L264),"")))</f>
        <v>2.8205128205128176</v>
      </c>
      <c r="N68" s="13">
        <f>IF('Données projet'!$A$36&gt;35,N67+M68-V67,IF(A68&lt;'Données projet'!$A$36,$K$205^A68,IF(A68='Données projet'!$A$36,'Données projet'!$B$36,N67+M68-V67)))</f>
        <v>124.99999999999991</v>
      </c>
      <c r="O68" s="13">
        <f>N68*VLOOKUP('Données projet'!$B$9,Paramètres!$A$1:$I$89,3,0)*VLOOKUP('Données projet'!$B$9,Paramètres!$A$1:$I$89,5,0)</f>
        <v>130.64999999999992</v>
      </c>
      <c r="P68" s="13">
        <f t="shared" si="33"/>
        <v>34.146511621978362</v>
      </c>
      <c r="Q68" s="20">
        <f t="shared" si="54"/>
        <v>287.02059107494546</v>
      </c>
      <c r="R68" s="59">
        <f t="shared" si="55"/>
        <v>580.35392440827877</v>
      </c>
      <c r="S68" s="59">
        <f ca="1">AVERAGE(OFFSET($R$3,0,0,'Données projet'!$E$9+1,1))-AVERAGE(OFFSET($H$3,0,0,'Données projet'!$E$9+1,1))</f>
        <v>239.26156489359892</v>
      </c>
      <c r="T68" s="59">
        <f t="shared" si="34"/>
        <v>213.97034450798111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9.615384615384615</v>
      </c>
      <c r="W68" s="16">
        <f>IF(ISNA(VLOOKUP(A68,'Données projet'!$A$35:$I$55,5,0)),0%,VLOOKUP(A68,'Données projet'!$A$35:$I$55,5,0)*VLOOKUP('Données projet'!$B$9,Paramètres!$A$1:$I$89,7,0))</f>
        <v>4.3000000000000003E-2</v>
      </c>
      <c r="X68" s="16">
        <f>IF(ISNA(VLOOKUP(A68,'Données projet'!$A$35:$I$55,6,0)),0%,VLOOKUP(A68,'Données projet'!$A$35:$I$55,6,0)*VLOOKUP('Données projet'!$B$9,Paramètres!$A$1:$I$89,7,0))</f>
        <v>0.215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0.47772902451516441</v>
      </c>
      <c r="AA68" s="21">
        <f>EXP(-LN(2)/25)*AA67+(1-EXP(-LN(2)/25))/(LN(2)/25)*Calculateur!V68*Calculateur!X68*VLOOKUP('Données projet'!$B$9,Paramètres!$A$1:$I$89,3,0)*0.475*44/12</f>
        <v>16.730883041276467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17.20861206579163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8.5662500000000001</v>
      </c>
      <c r="AI68" s="13">
        <f>IF('Données projet'!$A$62&gt;35,AI67+AH68-AQ67,IF(A68&lt;'Données projet'!$A$62,$AF$205^A68,IF(A68='Données projet'!$A$62,'Données projet'!$B$62,AI67+AH68-AQ67)))</f>
        <v>215.94750000000028</v>
      </c>
      <c r="AJ68" s="13">
        <f>AI68*VLOOKUP('Données projet'!$B$10,Paramètres!$A$1:$I$89,3,0)*VLOOKUP('Données projet'!$B$10,Paramètres!$A$1:$I$89,5,0)</f>
        <v>218.97076500000031</v>
      </c>
      <c r="AK68" s="13">
        <f t="shared" si="35"/>
        <v>53.89112556361583</v>
      </c>
      <c r="AL68" s="20">
        <f t="shared" ref="AL68:AL131" si="58">(AJ68+AK68)*0.475*44/12</f>
        <v>475.23445939829816</v>
      </c>
      <c r="AM68" s="59">
        <f t="shared" ref="AM68:AM131" si="59">AL68+(AD68+AE68)*44/12</f>
        <v>768.56779273163147</v>
      </c>
      <c r="AN68" s="59">
        <f ca="1">AVERAGE(OFFSET($AM$3,0,0,'Données projet'!$E$10+1,1))-AVERAGE(OFFSET($H$3,0,0,'Données projet'!$E$10+1,1))</f>
        <v>543.88440431478944</v>
      </c>
      <c r="AO68" s="59">
        <f t="shared" si="36"/>
        <v>342.63929463709457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7.9020338760837854</v>
      </c>
      <c r="AV68" s="21">
        <f>EXP(-LN(2)/25)*AV67+(1-EXP(-LN(2)/25))/(LN(2)/25)*Calculateur!AQ68*Calculateur!AS68*VLOOKUP('Données projet'!$B$10,Paramètres!$A$1:$I$89,3,0)*0.475*44/12</f>
        <v>33.447889089843308</v>
      </c>
      <c r="AW68" s="21">
        <f>EXP(-LN(2)/2)*AW67+(1-EXP(-LN(2)/2))/(LN(2)/2)*AQ68*AT68*VLOOKUP('Données projet'!$B$10,Paramètres!$A$1:$I$89,3,0)*0.475*44/12</f>
        <v>0.71388615233293184</v>
      </c>
      <c r="AX68" s="21">
        <f t="shared" ref="AX68:AX131" si="60">SUM(AU68:AW68)</f>
        <v>42.063809118260025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6.8933333333333326</v>
      </c>
      <c r="BD68" s="12">
        <f>IF('Données projet'!$A$88&gt;35,BD67+BC68-BL67,IF(A68&lt;'Données projet'!$A$88,$BA$205^A68,IF(A68='Données projet'!$A$88,'Données projet'!$B$88,BD67+BC68-BL67)))</f>
        <v>163.21666666666661</v>
      </c>
      <c r="BE68" s="13">
        <f>BD68*VLOOKUP('Données projet'!$B$11,Paramètres!$A$1:$I$89,3,0)*VLOOKUP('Données projet'!$B$11,Paramètres!$A$1:$I$89,5,0)</f>
        <v>185.87113999999994</v>
      </c>
      <c r="BF68" s="13">
        <f t="shared" si="37"/>
        <v>46.625956591742927</v>
      </c>
      <c r="BG68" s="20">
        <f t="shared" ref="BG68:BG131" si="61">(BE68+BF68)*0.475*44/12</f>
        <v>404.93244323061884</v>
      </c>
      <c r="BH68" s="59">
        <f t="shared" ref="BH68:BH131" si="62">BG68+(AY68+AZ68)*44/12</f>
        <v>698.26577656395216</v>
      </c>
      <c r="BI68" s="59">
        <f ca="1">AVERAGE(OFFSET($BH$3,0,0,'Données projet'!$E$11+1,1))-AVERAGE(OFFSET($H$3,0,0,'Données projet'!$E$11+1,1))</f>
        <v>593.28343396240075</v>
      </c>
      <c r="BJ68" s="59">
        <f t="shared" si="38"/>
        <v>289.66477662068695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27.364179064864217</v>
      </c>
      <c r="BR68" s="21">
        <f>EXP(-LN(2)/2)*BR67+(1-EXP(-LN(2)/2))/(LN(2)/2)*BL68*BO68*VLOOKUP('Données projet'!$B$11,Paramètres!$A$1:$I$89,3,0)*0.475*44/12</f>
        <v>2.7682513964089233</v>
      </c>
      <c r="BS68" s="22">
        <f t="shared" ref="BS68:BS131" si="63">SUM(BP68:BR68)</f>
        <v>30.132430461273142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9.7525000000000013</v>
      </c>
      <c r="BY68" s="12">
        <f>IF('Données projet'!$A$114&gt;35,BY67+BX68-CG67,IF(A68&lt;'Données projet'!$A$114,$BV$205^A68,IF(A68='Données projet'!$A$114,'Données projet'!$B$114,BY67+BX68-CG67)))</f>
        <v>219.55499999999998</v>
      </c>
      <c r="BZ68" s="13">
        <f>BY68*VLOOKUP('Données projet'!$B$12,Paramètres!$A$1:$I$89,3,0)*VLOOKUP('Données projet'!$B$12,Paramètres!$A$1:$I$89,5,0)</f>
        <v>236.32900199999997</v>
      </c>
      <c r="CA68" s="13">
        <f t="shared" si="39"/>
        <v>57.648990221838943</v>
      </c>
      <c r="CB68" s="20">
        <f t="shared" ref="CB68:CB131" si="64">(BZ68+CA68)*0.475*44/12</f>
        <v>512.01166978636945</v>
      </c>
      <c r="CC68" s="59">
        <f t="shared" ref="CC68:CC131" si="65">CB68+(BT68+BU68)*44/12</f>
        <v>805.34500311970282</v>
      </c>
      <c r="CD68" s="59">
        <f ca="1">AVERAGE(OFFSET($CC$3,0,0,'Données projet'!$E$12+1,1))-AVERAGE(OFFSET($H$3,0,0,'Données projet'!$E$12+1,1))</f>
        <v>502.65044103360322</v>
      </c>
      <c r="CE68" s="59">
        <f t="shared" si="40"/>
        <v>321.65762891855167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12.795150031199865</v>
      </c>
      <c r="CL68" s="21">
        <f>EXP(-LN(2)/25)*CL67+(1-EXP(-LN(2)/25))/(LN(2)/25)*Calculateur!CG68*Calculateur!CI68*VLOOKUP('Données projet'!$B$12,Paramètres!$A$1:$I$89,3,0)*0.475*44/12</f>
        <v>30.33085567298086</v>
      </c>
      <c r="CM68" s="21">
        <f>EXP(-LN(2)/2)*CM67+(1-EXP(-LN(2)/2))/(LN(2)/2)*CG68*CJ68*VLOOKUP('Données projet'!$B$12,Paramètres!$A$1:$I$89,3,0)*0.475*44/12</f>
        <v>0.59013035209993514</v>
      </c>
      <c r="CN68" s="22">
        <f t="shared" ref="CN68:CN131" si="66">SUM(CK68:CM68)</f>
        <v>43.716136056280661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2.6923076923076907</v>
      </c>
      <c r="N69" s="13">
        <f>IF('Données projet'!$A$36&gt;35,N68+M69-V68,IF(A69&lt;'Données projet'!$A$36,$K$205^A69,IF(A69='Données projet'!$A$36,'Données projet'!$B$36,N68+M69-V68)))</f>
        <v>118.07692307692299</v>
      </c>
      <c r="O69" s="13">
        <f>N69*VLOOKUP('Données projet'!$B$9,Paramètres!$A$1:$I$89,3,0)*VLOOKUP('Données projet'!$B$9,Paramètres!$A$1:$I$89,5,0)</f>
        <v>123.41399999999993</v>
      </c>
      <c r="P69" s="13">
        <f t="shared" ref="P69:P132" si="87">EXP(-1.0587+0.8836*LN(O69)+0.284)</f>
        <v>32.469954043567462</v>
      </c>
      <c r="Q69" s="20">
        <f t="shared" si="54"/>
        <v>271.49788662587986</v>
      </c>
      <c r="R69" s="59">
        <f t="shared" si="55"/>
        <v>564.83121995921317</v>
      </c>
      <c r="S69" s="59">
        <f ca="1">AVERAGE(OFFSET($R$3,0,0,'Données projet'!$E$9+1,1))-AVERAGE(OFFSET($H$3,0,0,'Données projet'!$E$9+1,1))</f>
        <v>239.26156489359892</v>
      </c>
      <c r="T69" s="59">
        <f t="shared" ref="T69:T132" si="88">$T$3</f>
        <v>213.97034450798111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0.46836104973035503</v>
      </c>
      <c r="AA69" s="21">
        <f>EXP(-LN(2)/25)*AA68+(1-EXP(-LN(2)/25))/(LN(2)/25)*Calculateur!V69*Calculateur!X69*VLOOKUP('Données projet'!$B$9,Paramètres!$A$1:$I$89,3,0)*0.475*44/12</f>
        <v>16.273376164673863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16.741737214404218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8.5662500000000001</v>
      </c>
      <c r="AI69" s="13">
        <f>IF('Données projet'!$A$62&gt;35,AI68+AH69-AQ68,IF(A69&lt;'Données projet'!$A$62,$AF$205^A69,IF(A69='Données projet'!$A$62,'Données projet'!$B$62,AI68+AH69-AQ68)))</f>
        <v>224.51375000000027</v>
      </c>
      <c r="AJ69" s="13">
        <f>AI69*VLOOKUP('Données projet'!$B$10,Paramètres!$A$1:$I$89,3,0)*VLOOKUP('Données projet'!$B$10,Paramètres!$A$1:$I$89,5,0)</f>
        <v>227.6569425000003</v>
      </c>
      <c r="AK69" s="13">
        <f t="shared" ref="AK69:AK132" si="89">EXP(-1.0587+0.8836*LN(AJ69)+0.284)</f>
        <v>55.775756199111569</v>
      </c>
      <c r="AL69" s="20">
        <f t="shared" si="58"/>
        <v>493.64528356761986</v>
      </c>
      <c r="AM69" s="59">
        <f t="shared" si="59"/>
        <v>786.97861690095317</v>
      </c>
      <c r="AN69" s="59">
        <f ca="1">AVERAGE(OFFSET($AM$3,0,0,'Données projet'!$E$10+1,1))-AVERAGE(OFFSET($H$3,0,0,'Données projet'!$E$10+1,1))</f>
        <v>543.88440431478944</v>
      </c>
      <c r="AO69" s="59">
        <f t="shared" ref="AO69:AO132" si="90">$AO$3</f>
        <v>342.63929463709457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7.7470798115385344</v>
      </c>
      <c r="AV69" s="21">
        <f>EXP(-LN(2)/25)*AV68+(1-EXP(-LN(2)/25))/(LN(2)/25)*Calculateur!AQ69*Calculateur!AS69*VLOOKUP('Données projet'!$B$10,Paramètres!$A$1:$I$89,3,0)*0.475*44/12</f>
        <v>32.533254803733499</v>
      </c>
      <c r="AW69" s="21">
        <f>EXP(-LN(2)/2)*AW68+(1-EXP(-LN(2)/2))/(LN(2)/2)*AQ69*AT69*VLOOKUP('Données projet'!$B$10,Paramètres!$A$1:$I$89,3,0)*0.475*44/12</f>
        <v>0.50479373930978877</v>
      </c>
      <c r="AX69" s="21">
        <f t="shared" si="60"/>
        <v>40.785128354581822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6.8933333333333326</v>
      </c>
      <c r="BD69" s="12">
        <f>IF('Données projet'!$A$88&gt;35,BD68+BC69-BL68,IF(A69&lt;'Données projet'!$A$88,$BA$205^A69,IF(A69='Données projet'!$A$88,'Données projet'!$B$88,BD68+BC69-BL68)))</f>
        <v>170.10999999999996</v>
      </c>
      <c r="BE69" s="13">
        <f>BD69*VLOOKUP('Données projet'!$B$11,Paramètres!$A$1:$I$89,3,0)*VLOOKUP('Données projet'!$B$11,Paramètres!$A$1:$I$89,5,0)</f>
        <v>193.72126799999995</v>
      </c>
      <c r="BF69" s="13">
        <f t="shared" ref="BF69:BF132" si="91">EXP(-1.0587+0.8836*LN(BE69)+0.284)</f>
        <v>48.361741331727508</v>
      </c>
      <c r="BG69" s="20">
        <f t="shared" si="61"/>
        <v>421.6279079194253</v>
      </c>
      <c r="BH69" s="59">
        <f t="shared" si="62"/>
        <v>714.96124125275855</v>
      </c>
      <c r="BI69" s="59">
        <f ca="1">AVERAGE(OFFSET($BH$3,0,0,'Données projet'!$E$11+1,1))-AVERAGE(OFFSET($H$3,0,0,'Données projet'!$E$11+1,1))</f>
        <v>593.28343396240075</v>
      </c>
      <c r="BJ69" s="59">
        <f t="shared" ref="BJ69:BJ132" si="92">$BJ$3</f>
        <v>289.66477662068695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26.61590414931587</v>
      </c>
      <c r="BR69" s="21">
        <f>EXP(-LN(2)/2)*BR68+(1-EXP(-LN(2)/2))/(LN(2)/2)*BL69*BO69*VLOOKUP('Données projet'!$B$11,Paramètres!$A$1:$I$89,3,0)*0.475*44/12</f>
        <v>1.9574493344298793</v>
      </c>
      <c r="BS69" s="22">
        <f t="shared" si="63"/>
        <v>28.573353483745748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9.7525000000000013</v>
      </c>
      <c r="BY69" s="12">
        <f>IF('Données projet'!$A$114&gt;35,BY68+BX69-CG68,IF(A69&lt;'Données projet'!$A$114,$BV$205^A69,IF(A69='Données projet'!$A$114,'Données projet'!$B$114,BY68+BX69-CG68)))</f>
        <v>229.30749999999998</v>
      </c>
      <c r="BZ69" s="13">
        <f>BY69*VLOOKUP('Données projet'!$B$12,Paramètres!$A$1:$I$89,3,0)*VLOOKUP('Données projet'!$B$12,Paramètres!$A$1:$I$89,5,0)</f>
        <v>246.82659299999995</v>
      </c>
      <c r="CA69" s="13">
        <f t="shared" ref="CA69:CA132" si="93">EXP(-1.0587+0.8836*LN(BZ69)+0.284)</f>
        <v>59.905899096446639</v>
      </c>
      <c r="CB69" s="20">
        <f t="shared" si="64"/>
        <v>534.22575706797772</v>
      </c>
      <c r="CC69" s="59">
        <f t="shared" si="65"/>
        <v>827.5590904013111</v>
      </c>
      <c r="CD69" s="59">
        <f ca="1">AVERAGE(OFFSET($CC$3,0,0,'Données projet'!$E$12+1,1))-AVERAGE(OFFSET($H$3,0,0,'Données projet'!$E$12+1,1))</f>
        <v>502.65044103360322</v>
      </c>
      <c r="CE69" s="59">
        <f t="shared" ref="CE69:CE132" si="94">$CE$3</f>
        <v>321.65762891855167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12.544244943358947</v>
      </c>
      <c r="CL69" s="21">
        <f>EXP(-LN(2)/25)*CL68+(1-EXP(-LN(2)/25))/(LN(2)/25)*Calculateur!CG69*Calculateur!CI69*VLOOKUP('Données projet'!$B$12,Paramètres!$A$1:$I$89,3,0)*0.475*44/12</f>
        <v>29.50145682957282</v>
      </c>
      <c r="CM69" s="21">
        <f>EXP(-LN(2)/2)*CM68+(1-EXP(-LN(2)/2))/(LN(2)/2)*CG69*CJ69*VLOOKUP('Données projet'!$B$12,Paramètres!$A$1:$I$89,3,0)*0.475*44/12</f>
        <v>0.41728517375386909</v>
      </c>
      <c r="CN69" s="22">
        <f t="shared" si="66"/>
        <v>42.462986946685632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2.6923076923076907</v>
      </c>
      <c r="N70" s="13">
        <f>IF('Données projet'!$A$36&gt;35,N69+M70-V69,IF(A70&lt;'Données projet'!$A$36,$K$205^A70,IF(A70='Données projet'!$A$36,'Données projet'!$B$36,N69+M70-V69)))</f>
        <v>120.76923076923069</v>
      </c>
      <c r="O70" s="13">
        <f>N70*VLOOKUP('Données projet'!$B$9,Paramètres!$A$1:$I$89,3,0)*VLOOKUP('Données projet'!$B$9,Paramètres!$A$1:$I$89,5,0)</f>
        <v>126.22799999999992</v>
      </c>
      <c r="P70" s="13">
        <f t="shared" si="87"/>
        <v>33.123272875637802</v>
      </c>
      <c r="Q70" s="20">
        <f t="shared" si="54"/>
        <v>277.53680025840237</v>
      </c>
      <c r="R70" s="59">
        <f t="shared" si="55"/>
        <v>570.87013359173568</v>
      </c>
      <c r="S70" s="59">
        <f ca="1">AVERAGE(OFFSET($R$3,0,0,'Données projet'!$E$9+1,1))-AVERAGE(OFFSET($H$3,0,0,'Données projet'!$E$9+1,1))</f>
        <v>239.26156489359892</v>
      </c>
      <c r="T70" s="59">
        <f t="shared" si="88"/>
        <v>213.97034450798111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0.45917677521717531</v>
      </c>
      <c r="AA70" s="21">
        <f>EXP(-LN(2)/25)*AA69+(1-EXP(-LN(2)/25))/(LN(2)/25)*Calculateur!V70*Calculateur!X70*VLOOKUP('Données projet'!$B$9,Paramètres!$A$1:$I$89,3,0)*0.475*44/12</f>
        <v>15.828379837671196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16.287556612888373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>
        <f>VLOOKUP(A70,'Données projet'!$A$61:$I$81,2,0)</f>
        <v>233.08</v>
      </c>
      <c r="AG70" s="12">
        <f>VLOOKUP(A70,'Données projet'!$A$61:$I$81,9,0)</f>
        <v>8.5662500000000001</v>
      </c>
      <c r="AH70" s="12">
        <f t="array" ref="AH70">INDEX(AG:AG,MIN(IF(ISNUMBER(AG70:AG266),ROW(AG70:AG266),"")))</f>
        <v>8.5662500000000001</v>
      </c>
      <c r="AI70" s="13">
        <f>IF('Données projet'!$A$62&gt;35,AI69+AH70-AQ69,IF(A70&lt;'Données projet'!$A$62,$AF$205^A70,IF(A70='Données projet'!$A$62,'Données projet'!$B$62,AI69+AH70-AQ69)))</f>
        <v>233.08000000000027</v>
      </c>
      <c r="AJ70" s="13">
        <f>AI70*VLOOKUP('Données projet'!$B$10,Paramètres!$A$1:$I$89,3,0)*VLOOKUP('Données projet'!$B$10,Paramètres!$A$1:$I$89,5,0)</f>
        <v>236.34312000000028</v>
      </c>
      <c r="AK70" s="13">
        <f t="shared" si="89"/>
        <v>57.652033222582432</v>
      </c>
      <c r="AL70" s="20">
        <f t="shared" si="58"/>
        <v>512.04155852933161</v>
      </c>
      <c r="AM70" s="59">
        <f t="shared" si="59"/>
        <v>805.37489186266498</v>
      </c>
      <c r="AN70" s="59">
        <f ca="1">AVERAGE(OFFSET($AM$3,0,0,'Données projet'!$E$10+1,1))-AVERAGE(OFFSET($H$3,0,0,'Données projet'!$E$10+1,1))</f>
        <v>543.88440431478944</v>
      </c>
      <c r="AO70" s="59">
        <f t="shared" si="90"/>
        <v>342.63929463709457</v>
      </c>
      <c r="AP70" s="15">
        <f>IF(ISNA(VLOOKUP(A70,'Données projet'!$A$61:$I$81,3,0)),0,VLOOKUP(A70,'Données projet'!$A$61:$I$81,3,0))</f>
        <v>4</v>
      </c>
      <c r="AQ70" s="15">
        <f>IF(ISNA(VLOOKUP(A70,'Données projet'!$A$61:$I$81,4,0)),0,VLOOKUP(A70,'Données projet'!$A$61:$I$81,4,0))</f>
        <v>44.170000000000016</v>
      </c>
      <c r="AR70" s="16">
        <f>IF(ISNA(VLOOKUP(A70,'Données projet'!$A$61:$I$81,5,0)),0%,VLOOKUP(A70,'Données projet'!$A$61:$I$81,5,0)*VLOOKUP('Données projet'!$B$10,Paramètres!$A$1:$I$89,7,0))</f>
        <v>0.15049999999999999</v>
      </c>
      <c r="AS70" s="16">
        <f>IF(ISNA(VLOOKUP(A70,'Données projet'!$A$61:$I$81,6,0)),0%,VLOOKUP(A70,'Données projet'!$A$61:$I$81,6,0)*VLOOKUP('Données projet'!$B$10,Paramètres!$A$1:$I$89,7,0))</f>
        <v>8.6000000000000007E-2</v>
      </c>
      <c r="AT70" s="16">
        <f>IF(ISNA(VLOOKUP(A70,'Données projet'!$A$61:$I$81,7,0)),0%,VLOOKUP(A70,'Données projet'!$A$61:$I$81,7,0))</f>
        <v>0.1</v>
      </c>
      <c r="AU70" s="21">
        <f>EXP(-LN(2)/35)*AU69+(1-EXP(-LN(2)/35))/(LN(2)/35)*AQ70*AR70*VLOOKUP('Données projet'!$B$10,Paramètres!$A$1:$I$89,3,0)*0.475*44/12</f>
        <v>15.046754530994901</v>
      </c>
      <c r="AV70" s="21">
        <f>EXP(-LN(2)/25)*AV69+(1-EXP(-LN(2)/25))/(LN(2)/25)*Calculateur!AQ70*Calculateur!AS70*VLOOKUP('Données projet'!$B$10,Paramètres!$A$1:$I$89,3,0)*0.475*44/12</f>
        <v>35.884917228445758</v>
      </c>
      <c r="AW70" s="21">
        <f>EXP(-LN(2)/2)*AW69+(1-EXP(-LN(2)/2))/(LN(2)/2)*AQ70*AT70*VLOOKUP('Données projet'!$B$10,Paramètres!$A$1:$I$89,3,0)*0.475*44/12</f>
        <v>4.582847275323835</v>
      </c>
      <c r="AX70" s="21">
        <f t="shared" si="60"/>
        <v>55.514519034764497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6.8933333333333326</v>
      </c>
      <c r="BD70" s="12">
        <f>IF('Données projet'!$A$88&gt;35,BD69+BC70-BL69,IF(A70&lt;'Données projet'!$A$88,$BA$205^A70,IF(A70='Données projet'!$A$88,'Données projet'!$B$88,BD69+BC70-BL69)))</f>
        <v>177.0033333333333</v>
      </c>
      <c r="BE70" s="13">
        <f>BD70*VLOOKUP('Données projet'!$B$11,Paramètres!$A$1:$I$89,3,0)*VLOOKUP('Données projet'!$B$11,Paramètres!$A$1:$I$89,5,0)</f>
        <v>201.57139599999996</v>
      </c>
      <c r="BF70" s="13">
        <f t="shared" si="91"/>
        <v>50.089355546385931</v>
      </c>
      <c r="BG70" s="20">
        <f t="shared" si="61"/>
        <v>438.30914227662203</v>
      </c>
      <c r="BH70" s="59">
        <f t="shared" si="62"/>
        <v>731.64247560995534</v>
      </c>
      <c r="BI70" s="59">
        <f ca="1">AVERAGE(OFFSET($BH$3,0,0,'Données projet'!$E$11+1,1))-AVERAGE(OFFSET($H$3,0,0,'Données projet'!$E$11+1,1))</f>
        <v>593.28343396240075</v>
      </c>
      <c r="BJ70" s="59">
        <f t="shared" si="92"/>
        <v>289.66477662068695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25.888090850683259</v>
      </c>
      <c r="BR70" s="21">
        <f>EXP(-LN(2)/2)*BR69+(1-EXP(-LN(2)/2))/(LN(2)/2)*BL70*BO70*VLOOKUP('Données projet'!$B$11,Paramètres!$A$1:$I$89,3,0)*0.475*44/12</f>
        <v>1.3841256982044619</v>
      </c>
      <c r="BS70" s="22">
        <f t="shared" si="63"/>
        <v>27.27221654888772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>
        <f>VLOOKUP(A70,'Données projet'!$A$113:$I$133,2,0)</f>
        <v>239.06</v>
      </c>
      <c r="BW70" s="12">
        <f>VLOOKUP(A70,'Données projet'!$A$113:$I$133,9,0)</f>
        <v>9.7525000000000013</v>
      </c>
      <c r="BX70" s="12">
        <f t="array" ref="BX70">INDEX(BW:BW,MIN(IF(ISNUMBER(BW70:BW266),ROW(BW70:BW266),"")))</f>
        <v>9.7525000000000013</v>
      </c>
      <c r="BY70" s="12">
        <f>IF('Données projet'!$A$114&gt;35,BY69+BX70-CG69,IF(A70&lt;'Données projet'!$A$114,$BV$205^A70,IF(A70='Données projet'!$A$114,'Données projet'!$B$114,BY69+BX70-CG69)))</f>
        <v>239.05999999999997</v>
      </c>
      <c r="BZ70" s="13">
        <f>BY70*VLOOKUP('Données projet'!$B$12,Paramètres!$A$1:$I$89,3,0)*VLOOKUP('Données projet'!$B$12,Paramètres!$A$1:$I$89,5,0)</f>
        <v>257.324184</v>
      </c>
      <c r="CA70" s="13">
        <f t="shared" si="93"/>
        <v>62.151659162886212</v>
      </c>
      <c r="CB70" s="20">
        <f t="shared" si="64"/>
        <v>556.42042684202681</v>
      </c>
      <c r="CC70" s="59">
        <f t="shared" si="65"/>
        <v>849.75376017536018</v>
      </c>
      <c r="CD70" s="59">
        <f ca="1">AVERAGE(OFFSET($CC$3,0,0,'Données projet'!$E$12+1,1))-AVERAGE(OFFSET($H$3,0,0,'Données projet'!$E$12+1,1))</f>
        <v>502.65044103360322</v>
      </c>
      <c r="CE70" s="59">
        <f t="shared" si="94"/>
        <v>321.65762891855167</v>
      </c>
      <c r="CF70" s="15">
        <f>IF(ISNA(VLOOKUP(A70,'Données projet'!$A$113:$I$133,3,0)),0,VLOOKUP(A70,'Données projet'!$A$113:$I$133,3,0))</f>
        <v>5</v>
      </c>
      <c r="CG70" s="15">
        <f>IF(ISNA(VLOOKUP(A70,'Données projet'!$A$113:$I$133,4,0)),0,VLOOKUP(A70,'Données projet'!$A$113:$I$133,4,0))</f>
        <v>42.550000000000011</v>
      </c>
      <c r="CH70" s="16">
        <f>IF(ISNA(VLOOKUP(A70,'Données projet'!$A$113:$I$133,5,0)),0%,VLOOKUP(A70,'Données projet'!$A$113:$I$133,5,0)*VLOOKUP('Données projet'!$B$12,Paramètres!$A$1:$I$89,7,0))</f>
        <v>0.15049999999999999</v>
      </c>
      <c r="CI70" s="16">
        <f>IF(ISNA(VLOOKUP(A70,'Données projet'!$A$113:$I$133,6,0)),0%,VLOOKUP(A70,'Données projet'!$A$113:$I$133,6,0)*VLOOKUP('Données projet'!$B$12,Paramètres!$A$1:$I$89,7,0))</f>
        <v>8.6000000000000007E-2</v>
      </c>
      <c r="CJ70" s="16">
        <f>IF(ISNA(VLOOKUP(A70,'Données projet'!$A$113:$I$133,7,0)),0%,VLOOKUP(A70,'Données projet'!$A$113:$I$133,7,0))</f>
        <v>0.1</v>
      </c>
      <c r="CK70" s="21">
        <f>EXP(-LN(2)/35)*CK69+(1-EXP(-LN(2)/35))/(LN(2)/35)*CG70*CH70*VLOOKUP('Données projet'!$B$12,Paramètres!$A$1:$I$89,3,0)*0.475*44/12</f>
        <v>19.918293156435809</v>
      </c>
      <c r="CL70" s="21">
        <f>EXP(-LN(2)/25)*CL69+(1-EXP(-LN(2)/25))/(LN(2)/25)*Calculateur!CG70*Calculateur!CI70*VLOOKUP('Données projet'!$B$12,Paramètres!$A$1:$I$89,3,0)*0.475*44/12</f>
        <v>33.031898073150039</v>
      </c>
      <c r="CM70" s="21">
        <f>EXP(-LN(2)/2)*CM69+(1-EXP(-LN(2)/2))/(LN(2)/2)*CG70*CJ70*VLOOKUP('Données projet'!$B$12,Paramètres!$A$1:$I$89,3,0)*0.475*44/12</f>
        <v>4.6164958141496442</v>
      </c>
      <c r="CN70" s="22">
        <f t="shared" si="66"/>
        <v>57.566687043735492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2.6923076923076907</v>
      </c>
      <c r="N71" s="13">
        <f>IF('Données projet'!$A$36&gt;35,N70+M71-V70,IF(A71&lt;'Données projet'!$A$36,$K$205^A71,IF(A71='Données projet'!$A$36,'Données projet'!$B$36,N70+M71-V70)))</f>
        <v>123.46153846153838</v>
      </c>
      <c r="O71" s="13">
        <f>N71*VLOOKUP('Données projet'!$B$9,Paramètres!$A$1:$I$89,3,0)*VLOOKUP('Données projet'!$B$9,Paramètres!$A$1:$I$89,5,0)</f>
        <v>129.04199999999992</v>
      </c>
      <c r="P71" s="13">
        <f t="shared" si="87"/>
        <v>33.77489845718803</v>
      </c>
      <c r="Q71" s="20">
        <f t="shared" si="54"/>
        <v>283.5727648129357</v>
      </c>
      <c r="R71" s="59">
        <f t="shared" si="55"/>
        <v>576.90609814626896</v>
      </c>
      <c r="S71" s="59">
        <f ca="1">AVERAGE(OFFSET($R$3,0,0,'Données projet'!$E$9+1,1))-AVERAGE(OFFSET($H$3,0,0,'Données projet'!$E$9+1,1))</f>
        <v>239.26156489359892</v>
      </c>
      <c r="T71" s="59">
        <f t="shared" si="88"/>
        <v>213.97034450798111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0.45017259872534476</v>
      </c>
      <c r="AA71" s="21">
        <f>EXP(-LN(2)/25)*AA70+(1-EXP(-LN(2)/25))/(LN(2)/25)*Calculateur!V71*Calculateur!X71*VLOOKUP('Données projet'!$B$9,Paramètres!$A$1:$I$89,3,0)*0.475*44/12</f>
        <v>15.395551958631758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15.845724557357103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8.2474999999999987</v>
      </c>
      <c r="AI71" s="13">
        <f>IF('Données projet'!$A$62&gt;35,AI70+AH71-AQ70,IF(A71&lt;'Données projet'!$A$62,$AF$205^A71,IF(A71='Données projet'!$A$62,'Données projet'!$B$62,AI70+AH71-AQ70)))</f>
        <v>197.15750000000025</v>
      </c>
      <c r="AJ71" s="13">
        <f>AI71*VLOOKUP('Données projet'!$B$10,Paramètres!$A$1:$I$89,3,0)*VLOOKUP('Données projet'!$B$10,Paramètres!$A$1:$I$89,5,0)</f>
        <v>199.9177050000003</v>
      </c>
      <c r="AK71" s="13">
        <f t="shared" si="89"/>
        <v>49.726081342019263</v>
      </c>
      <c r="AL71" s="20">
        <f t="shared" si="58"/>
        <v>434.79626121235066</v>
      </c>
      <c r="AM71" s="59">
        <f t="shared" si="59"/>
        <v>728.12959454568397</v>
      </c>
      <c r="AN71" s="59">
        <f ca="1">AVERAGE(OFFSET($AM$3,0,0,'Données projet'!$E$10+1,1))-AVERAGE(OFFSET($H$3,0,0,'Données projet'!$E$10+1,1))</f>
        <v>543.88440431478944</v>
      </c>
      <c r="AO71" s="59">
        <f t="shared" si="90"/>
        <v>342.63929463709457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14.75169685225614</v>
      </c>
      <c r="AV71" s="21">
        <f>EXP(-LN(2)/25)*AV70+(1-EXP(-LN(2)/25))/(LN(2)/25)*Calculateur!AQ71*Calculateur!AS71*VLOOKUP('Données projet'!$B$10,Paramètres!$A$1:$I$89,3,0)*0.475*44/12</f>
        <v>34.903642279728125</v>
      </c>
      <c r="AW71" s="21">
        <f>EXP(-LN(2)/2)*AW70+(1-EXP(-LN(2)/2))/(LN(2)/2)*AQ71*AT71*VLOOKUP('Données projet'!$B$10,Paramètres!$A$1:$I$89,3,0)*0.475*44/12</f>
        <v>3.2405623855237766</v>
      </c>
      <c r="AX71" s="21">
        <f t="shared" si="60"/>
        <v>52.895901517508037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6.8933333333333326</v>
      </c>
      <c r="BD71" s="12">
        <f>IF('Données projet'!$A$88&gt;35,BD70+BC71-BL70,IF(A71&lt;'Données projet'!$A$88,$BA$205^A71,IF(A71='Données projet'!$A$88,'Données projet'!$B$88,BD70+BC71-BL70)))</f>
        <v>183.89666666666665</v>
      </c>
      <c r="BE71" s="13">
        <f>BD71*VLOOKUP('Données projet'!$B$11,Paramètres!$A$1:$I$89,3,0)*VLOOKUP('Données projet'!$B$11,Paramètres!$A$1:$I$89,5,0)</f>
        <v>209.42152400000001</v>
      </c>
      <c r="BF71" s="13">
        <f t="shared" si="91"/>
        <v>51.809153850888102</v>
      </c>
      <c r="BG71" s="20">
        <f t="shared" si="61"/>
        <v>454.97676392363013</v>
      </c>
      <c r="BH71" s="59">
        <f t="shared" si="62"/>
        <v>748.31009725696345</v>
      </c>
      <c r="BI71" s="59">
        <f ca="1">AVERAGE(OFFSET($BH$3,0,0,'Données projet'!$E$11+1,1))-AVERAGE(OFFSET($H$3,0,0,'Données projet'!$E$11+1,1))</f>
        <v>593.28343396240075</v>
      </c>
      <c r="BJ71" s="59">
        <f t="shared" si="92"/>
        <v>289.66477662068695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25.180179644975794</v>
      </c>
      <c r="BR71" s="21">
        <f>EXP(-LN(2)/2)*BR70+(1-EXP(-LN(2)/2))/(LN(2)/2)*BL71*BO71*VLOOKUP('Données projet'!$B$11,Paramètres!$A$1:$I$89,3,0)*0.475*44/12</f>
        <v>0.97872466721493978</v>
      </c>
      <c r="BS71" s="22">
        <f t="shared" si="63"/>
        <v>26.158904312190735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9.65625</v>
      </c>
      <c r="BY71" s="12">
        <f>IF('Données projet'!$A$114&gt;35,BY70+BX71-CG70,IF(A71&lt;'Données projet'!$A$114,$BV$205^A71,IF(A71='Données projet'!$A$114,'Données projet'!$B$114,BY70+BX71-CG70)))</f>
        <v>206.16624999999996</v>
      </c>
      <c r="BZ71" s="13">
        <f>BY71*VLOOKUP('Données projet'!$B$12,Paramètres!$A$1:$I$89,3,0)*VLOOKUP('Données projet'!$B$12,Paramètres!$A$1:$I$89,5,0)</f>
        <v>221.91735149999994</v>
      </c>
      <c r="CA71" s="13">
        <f t="shared" si="93"/>
        <v>54.531401903286778</v>
      </c>
      <c r="CB71" s="20">
        <f t="shared" si="64"/>
        <v>481.48157884405776</v>
      </c>
      <c r="CC71" s="59">
        <f t="shared" si="65"/>
        <v>774.81491217739108</v>
      </c>
      <c r="CD71" s="59">
        <f ca="1">AVERAGE(OFFSET($CC$3,0,0,'Données projet'!$E$12+1,1))-AVERAGE(OFFSET($H$3,0,0,'Données projet'!$E$12+1,1))</f>
        <v>502.65044103360322</v>
      </c>
      <c r="CE71" s="59">
        <f t="shared" si="94"/>
        <v>321.65762891855167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19.527707576597319</v>
      </c>
      <c r="CL71" s="21">
        <f>EXP(-LN(2)/25)*CL70+(1-EXP(-LN(2)/25))/(LN(2)/25)*Calculateur!CG71*Calculateur!CI71*VLOOKUP('Données projet'!$B$12,Paramètres!$A$1:$I$89,3,0)*0.475*44/12</f>
        <v>32.128639083267728</v>
      </c>
      <c r="CM71" s="21">
        <f>EXP(-LN(2)/2)*CM70+(1-EXP(-LN(2)/2))/(LN(2)/2)*CG71*CJ71*VLOOKUP('Données projet'!$B$12,Paramètres!$A$1:$I$89,3,0)*0.475*44/12</f>
        <v>3.2643554955045251</v>
      </c>
      <c r="CN71" s="22">
        <f t="shared" si="66"/>
        <v>54.920702155369575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2.6923076923076907</v>
      </c>
      <c r="N72" s="13">
        <f>IF('Données projet'!$A$36&gt;35,N71+M72-V71,IF(A72&lt;'Données projet'!$A$36,$K$205^A72,IF(A72='Données projet'!$A$36,'Données projet'!$B$36,N71+M72-V71)))</f>
        <v>126.15384615384608</v>
      </c>
      <c r="O72" s="13">
        <f>N72*VLOOKUP('Données projet'!$B$9,Paramètres!$A$1:$I$89,3,0)*VLOOKUP('Données projet'!$B$9,Paramètres!$A$1:$I$89,5,0)</f>
        <v>131.85599999999994</v>
      </c>
      <c r="P72" s="13">
        <f t="shared" si="87"/>
        <v>34.424871965010759</v>
      </c>
      <c r="Q72" s="20">
        <f t="shared" si="54"/>
        <v>289.60585200572694</v>
      </c>
      <c r="R72" s="59">
        <f t="shared" si="55"/>
        <v>582.93918533906026</v>
      </c>
      <c r="S72" s="59">
        <f ca="1">AVERAGE(OFFSET($R$3,0,0,'Données projet'!$E$9+1,1))-AVERAGE(OFFSET($H$3,0,0,'Données projet'!$E$9+1,1))</f>
        <v>239.26156489359892</v>
      </c>
      <c r="T72" s="59">
        <f t="shared" si="88"/>
        <v>213.97034450798111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0.44134498864251365</v>
      </c>
      <c r="AA72" s="21">
        <f>EXP(-LN(2)/25)*AA71+(1-EXP(-LN(2)/25))/(LN(2)/25)*Calculateur!V72*Calculateur!X72*VLOOKUP('Données projet'!$B$9,Paramètres!$A$1:$I$89,3,0)*0.475*44/12</f>
        <v>14.974559780706082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15.415904769348597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8.2474999999999987</v>
      </c>
      <c r="AI72" s="13">
        <f>IF('Données projet'!$A$62&gt;35,AI71+AH72-AQ71,IF(A72&lt;'Données projet'!$A$62,$AF$205^A72,IF(A72='Données projet'!$A$62,'Données projet'!$B$62,AI71+AH72-AQ71)))</f>
        <v>205.40500000000026</v>
      </c>
      <c r="AJ72" s="13">
        <f>AI72*VLOOKUP('Données projet'!$B$10,Paramètres!$A$1:$I$89,3,0)*VLOOKUP('Données projet'!$B$10,Paramètres!$A$1:$I$89,5,0)</f>
        <v>208.28067000000027</v>
      </c>
      <c r="AK72" s="13">
        <f t="shared" si="89"/>
        <v>51.559689258658622</v>
      </c>
      <c r="AL72" s="20">
        <f t="shared" si="58"/>
        <v>452.55529237549763</v>
      </c>
      <c r="AM72" s="59">
        <f t="shared" si="59"/>
        <v>745.88862570883089</v>
      </c>
      <c r="AN72" s="59">
        <f ca="1">AVERAGE(OFFSET($AM$3,0,0,'Données projet'!$E$10+1,1))-AVERAGE(OFFSET($H$3,0,0,'Données projet'!$E$10+1,1))</f>
        <v>543.88440431478944</v>
      </c>
      <c r="AO72" s="59">
        <f t="shared" si="90"/>
        <v>342.63929463709457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14.462425074630033</v>
      </c>
      <c r="AV72" s="21">
        <f>EXP(-LN(2)/25)*AV71+(1-EXP(-LN(2)/25))/(LN(2)/25)*Calculateur!AQ72*Calculateur!AS72*VLOOKUP('Données projet'!$B$10,Paramètres!$A$1:$I$89,3,0)*0.475*44/12</f>
        <v>33.949200346086187</v>
      </c>
      <c r="AW72" s="21">
        <f>EXP(-LN(2)/2)*AW71+(1-EXP(-LN(2)/2))/(LN(2)/2)*AQ72*AT72*VLOOKUP('Données projet'!$B$10,Paramètres!$A$1:$I$89,3,0)*0.475*44/12</f>
        <v>2.2914236376619179</v>
      </c>
      <c r="AX72" s="21">
        <f t="shared" si="60"/>
        <v>50.703049058378141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>
        <f>VLOOKUP(A72,'Données projet'!$A$87:$I$107,2,0)</f>
        <v>190.79</v>
      </c>
      <c r="BB72" s="12">
        <f>VLOOKUP(A72,'Données projet'!$A$87:$I$107,9,0)</f>
        <v>6.8933333333333326</v>
      </c>
      <c r="BC72" s="12">
        <f t="array" ref="BC72">INDEX(BB:BB,MIN(IF(ISNUMBER(BB72:BB268),ROW(BB72:BB268),"")))</f>
        <v>6.8933333333333326</v>
      </c>
      <c r="BD72" s="12">
        <f>IF('Données projet'!$A$88&gt;35,BD71+BC72-BL71,IF(A72&lt;'Données projet'!$A$88,$BA$205^A72,IF(A72='Données projet'!$A$88,'Données projet'!$B$88,BD71+BC72-BL71)))</f>
        <v>190.79</v>
      </c>
      <c r="BE72" s="13">
        <f>BD72*VLOOKUP('Données projet'!$B$11,Paramètres!$A$1:$I$89,3,0)*VLOOKUP('Données projet'!$B$11,Paramètres!$A$1:$I$89,5,0)</f>
        <v>217.27165199999996</v>
      </c>
      <c r="BF72" s="13">
        <f t="shared" si="91"/>
        <v>53.521462768957484</v>
      </c>
      <c r="BG72" s="20">
        <f t="shared" si="61"/>
        <v>471.63134155593411</v>
      </c>
      <c r="BH72" s="59">
        <f t="shared" si="62"/>
        <v>764.96467488926737</v>
      </c>
      <c r="BI72" s="59">
        <f ca="1">AVERAGE(OFFSET($BH$3,0,0,'Données projet'!$E$11+1,1))-AVERAGE(OFFSET($H$3,0,0,'Données projet'!$E$11+1,1))</f>
        <v>593.28343396240075</v>
      </c>
      <c r="BJ72" s="59">
        <f t="shared" si="92"/>
        <v>289.66477662068695</v>
      </c>
      <c r="BK72" s="15">
        <f>IF(ISNA(VLOOKUP(A72,'Données projet'!$A$87:$I$107,3,0)),0,VLOOKUP(A72,'Données projet'!$A$87:$I$107,3,0))</f>
        <v>2</v>
      </c>
      <c r="BL72" s="15">
        <f>IF(ISNA(VLOOKUP(A72,'Données projet'!$A$87:$I$107,4,0)),0,VLOOKUP(A72,'Données projet'!$A$87:$I$107,4,0))</f>
        <v>42.22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0.34400000000000003</v>
      </c>
      <c r="BO72" s="16">
        <f>IF(ISNA(VLOOKUP(A72,'Données projet'!$A$87:$I$107,7,0)),0%,VLOOKUP(A72,'Données projet'!$A$87:$I$107,7,0))</f>
        <v>0.2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42.703636399077894</v>
      </c>
      <c r="BR72" s="21">
        <f>EXP(-LN(2)/2)*BR71+(1-EXP(-LN(2)/2))/(LN(2)/2)*BL72*BO72*VLOOKUP('Données projet'!$B$11,Paramètres!$A$1:$I$89,3,0)*0.475*44/12</f>
        <v>9.7650433238797198</v>
      </c>
      <c r="BS72" s="22">
        <f t="shared" si="63"/>
        <v>52.468679722957617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9.65625</v>
      </c>
      <c r="BY72" s="12">
        <f>IF('Données projet'!$A$114&gt;35,BY71+BX72-CG71,IF(A72&lt;'Données projet'!$A$114,$BV$205^A72,IF(A72='Données projet'!$A$114,'Données projet'!$B$114,BY71+BX72-CG71)))</f>
        <v>215.82249999999996</v>
      </c>
      <c r="BZ72" s="13">
        <f>BY72*VLOOKUP('Données projet'!$B$12,Paramètres!$A$1:$I$89,3,0)*VLOOKUP('Données projet'!$B$12,Paramètres!$A$1:$I$89,5,0)</f>
        <v>232.31133899999995</v>
      </c>
      <c r="CA72" s="13">
        <f t="shared" si="93"/>
        <v>56.782155851882791</v>
      </c>
      <c r="CB72" s="20">
        <f t="shared" si="64"/>
        <v>503.50450353369575</v>
      </c>
      <c r="CC72" s="59">
        <f t="shared" si="65"/>
        <v>796.83783686702907</v>
      </c>
      <c r="CD72" s="59">
        <f ca="1">AVERAGE(OFFSET($CC$3,0,0,'Données projet'!$E$12+1,1))-AVERAGE(OFFSET($H$3,0,0,'Données projet'!$E$12+1,1))</f>
        <v>502.65044103360322</v>
      </c>
      <c r="CE72" s="59">
        <f t="shared" si="94"/>
        <v>321.65762891855167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19.144781141745781</v>
      </c>
      <c r="CL72" s="21">
        <f>EXP(-LN(2)/25)*CL71+(1-EXP(-LN(2)/25))/(LN(2)/25)*Calculateur!CG72*Calculateur!CI72*VLOOKUP('Données projet'!$B$12,Paramètres!$A$1:$I$89,3,0)*0.475*44/12</f>
        <v>31.250079757964073</v>
      </c>
      <c r="CM72" s="21">
        <f>EXP(-LN(2)/2)*CM71+(1-EXP(-LN(2)/2))/(LN(2)/2)*CG72*CJ72*VLOOKUP('Données projet'!$B$12,Paramètres!$A$1:$I$89,3,0)*0.475*44/12</f>
        <v>2.3082479070748221</v>
      </c>
      <c r="CN72" s="22">
        <f t="shared" si="66"/>
        <v>52.703108806784677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128.84615384615384</v>
      </c>
      <c r="L73" s="12">
        <f>VLOOKUP(A73,'Données projet'!$A$35:$I$55,9,0)</f>
        <v>2.6923076923076907</v>
      </c>
      <c r="M73" s="12">
        <f t="array" ref="M73">INDEX(L:L,MIN(IF(ISNUMBER(L73:L269),ROW(L73:L269),"")))</f>
        <v>2.6923076923076907</v>
      </c>
      <c r="N73" s="13">
        <f>IF('Données projet'!$A$36&gt;35,N72+M73-V72,IF(A73&lt;'Données projet'!$A$36,$K$205^A73,IF(A73='Données projet'!$A$36,'Données projet'!$B$36,N72+M73-V72)))</f>
        <v>128.84615384615375</v>
      </c>
      <c r="O73" s="13">
        <f>N73*VLOOKUP('Données projet'!$B$9,Paramètres!$A$1:$I$89,3,0)*VLOOKUP('Données projet'!$B$9,Paramètres!$A$1:$I$89,5,0)</f>
        <v>134.66999999999993</v>
      </c>
      <c r="P73" s="13">
        <f t="shared" si="87"/>
        <v>35.07323271794791</v>
      </c>
      <c r="Q73" s="20">
        <f t="shared" si="54"/>
        <v>295.63613031709252</v>
      </c>
      <c r="R73" s="59">
        <f t="shared" si="55"/>
        <v>588.96946365042584</v>
      </c>
      <c r="S73" s="59">
        <f ca="1">AVERAGE(OFFSET($R$3,0,0,'Données projet'!$E$9+1,1))-AVERAGE(OFFSET($H$3,0,0,'Données projet'!$E$9+1,1))</f>
        <v>239.26156489359892</v>
      </c>
      <c r="T73" s="59">
        <f t="shared" si="88"/>
        <v>213.97034450798111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8.9743589743589745</v>
      </c>
      <c r="W73" s="16">
        <f>IF(ISNA(VLOOKUP(A73,'Données projet'!$A$35:$I$55,5,0)),0%,VLOOKUP(A73,'Données projet'!$A$35:$I$55,5,0)*VLOOKUP('Données projet'!$B$9,Paramètres!$A$1:$I$89,7,0))</f>
        <v>4.3000000000000003E-2</v>
      </c>
      <c r="X73" s="16">
        <f>IF(ISNA(VLOOKUP(A73,'Données projet'!$A$35:$I$55,6,0)),0%,VLOOKUP(A73,'Données projet'!$A$35:$I$55,6,0)*VLOOKUP('Données projet'!$B$9,Paramètres!$A$1:$I$89,7,0))</f>
        <v>0.215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0.87857090548991645</v>
      </c>
      <c r="AA73" s="21">
        <f>EXP(-LN(2)/25)*AA72+(1-EXP(-LN(2)/25))/(LN(2)/25)*Calculateur!V73*Calculateur!X73*VLOOKUP('Données projet'!$B$9,Paramètres!$A$1:$I$89,3,0)*0.475*44/12</f>
        <v>16.785703764835688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17.664274670325604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8.2474999999999987</v>
      </c>
      <c r="AI73" s="13">
        <f>IF('Données projet'!$A$62&gt;35,AI72+AH73-AQ72,IF(A73&lt;'Données projet'!$A$62,$AF$205^A73,IF(A73='Données projet'!$A$62,'Données projet'!$B$62,AI72+AH73-AQ72)))</f>
        <v>213.65250000000026</v>
      </c>
      <c r="AJ73" s="13">
        <f>AI73*VLOOKUP('Données projet'!$B$10,Paramètres!$A$1:$I$89,3,0)*VLOOKUP('Données projet'!$B$10,Paramètres!$A$1:$I$89,5,0)</f>
        <v>216.64363500000027</v>
      </c>
      <c r="AK73" s="13">
        <f t="shared" si="89"/>
        <v>53.384744941992992</v>
      </c>
      <c r="AL73" s="20">
        <f t="shared" si="58"/>
        <v>470.29942839897154</v>
      </c>
      <c r="AM73" s="59">
        <f t="shared" si="59"/>
        <v>763.63276173230486</v>
      </c>
      <c r="AN73" s="59">
        <f ca="1">AVERAGE(OFFSET($AM$3,0,0,'Données projet'!$E$10+1,1))-AVERAGE(OFFSET($H$3,0,0,'Données projet'!$E$10+1,1))</f>
        <v>543.88440431478944</v>
      </c>
      <c r="AO73" s="59">
        <f t="shared" si="90"/>
        <v>342.63929463709457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14.178825740124813</v>
      </c>
      <c r="AV73" s="21">
        <f>EXP(-LN(2)/25)*AV72+(1-EXP(-LN(2)/25))/(LN(2)/25)*Calculateur!AQ73*Calculateur!AS73*VLOOKUP('Données projet'!$B$10,Paramètres!$A$1:$I$89,3,0)*0.475*44/12</f>
        <v>33.020857677311604</v>
      </c>
      <c r="AW73" s="21">
        <f>EXP(-LN(2)/2)*AW72+(1-EXP(-LN(2)/2))/(LN(2)/2)*AQ73*AT73*VLOOKUP('Données projet'!$B$10,Paramètres!$A$1:$I$89,3,0)*0.475*44/12</f>
        <v>1.6202811927618888</v>
      </c>
      <c r="AX73" s="21">
        <f t="shared" si="60"/>
        <v>48.819964610198305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6.7437500000000021</v>
      </c>
      <c r="BD73" s="12">
        <f>IF('Données projet'!$A$88&gt;35,BD72+BC73-BL72,IF(A73&lt;'Données projet'!$A$88,$BA$205^A73,IF(A73='Données projet'!$A$88,'Données projet'!$B$88,BD72+BC73-BL72)))</f>
        <v>155.31375</v>
      </c>
      <c r="BE73" s="13">
        <f>BD73*VLOOKUP('Données projet'!$B$11,Paramètres!$A$1:$I$89,3,0)*VLOOKUP('Données projet'!$B$11,Paramètres!$A$1:$I$89,5,0)</f>
        <v>176.87129849999999</v>
      </c>
      <c r="BF73" s="13">
        <f t="shared" si="91"/>
        <v>44.625398966300217</v>
      </c>
      <c r="BG73" s="20">
        <f t="shared" si="61"/>
        <v>385.77341475380621</v>
      </c>
      <c r="BH73" s="59">
        <f t="shared" si="62"/>
        <v>679.10674808713952</v>
      </c>
      <c r="BI73" s="59">
        <f ca="1">AVERAGE(OFFSET($BH$3,0,0,'Données projet'!$E$11+1,1))-AVERAGE(OFFSET($H$3,0,0,'Données projet'!$E$11+1,1))</f>
        <v>593.28343396240075</v>
      </c>
      <c r="BJ73" s="59">
        <f t="shared" si="92"/>
        <v>289.66477662068695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41.535903216058472</v>
      </c>
      <c r="BR73" s="21">
        <f>EXP(-LN(2)/2)*BR72+(1-EXP(-LN(2)/2))/(LN(2)/2)*BL73*BO73*VLOOKUP('Données projet'!$B$11,Paramètres!$A$1:$I$89,3,0)*0.475*44/12</f>
        <v>6.9049283528957739</v>
      </c>
      <c r="BS73" s="22">
        <f t="shared" si="63"/>
        <v>48.440831568954245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9.65625</v>
      </c>
      <c r="BY73" s="12">
        <f>IF('Données projet'!$A$114&gt;35,BY72+BX73-CG72,IF(A73&lt;'Données projet'!$A$114,$BV$205^A73,IF(A73='Données projet'!$A$114,'Données projet'!$B$114,BY72+BX73-CG72)))</f>
        <v>225.47874999999996</v>
      </c>
      <c r="BZ73" s="13">
        <f>BY73*VLOOKUP('Données projet'!$B$12,Paramètres!$A$1:$I$89,3,0)*VLOOKUP('Données projet'!$B$12,Paramètres!$A$1:$I$89,5,0)</f>
        <v>242.70532649999993</v>
      </c>
      <c r="CA73" s="13">
        <f t="shared" si="93"/>
        <v>59.021214391355279</v>
      </c>
      <c r="CB73" s="20">
        <f t="shared" si="64"/>
        <v>525.50705871911032</v>
      </c>
      <c r="CC73" s="59">
        <f t="shared" si="65"/>
        <v>818.84039205244358</v>
      </c>
      <c r="CD73" s="59">
        <f ca="1">AVERAGE(OFFSET($CC$3,0,0,'Données projet'!$E$12+1,1))-AVERAGE(OFFSET($H$3,0,0,'Données projet'!$E$12+1,1))</f>
        <v>502.65044103360322</v>
      </c>
      <c r="CE73" s="59">
        <f t="shared" si="94"/>
        <v>321.65762891855167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18.76936366071962</v>
      </c>
      <c r="CL73" s="21">
        <f>EXP(-LN(2)/25)*CL72+(1-EXP(-LN(2)/25))/(LN(2)/25)*Calculateur!CG73*Calculateur!CI73*VLOOKUP('Données projet'!$B$12,Paramètres!$A$1:$I$89,3,0)*0.475*44/12</f>
        <v>30.395544683612275</v>
      </c>
      <c r="CM73" s="21">
        <f>EXP(-LN(2)/2)*CM72+(1-EXP(-LN(2)/2))/(LN(2)/2)*CG73*CJ73*VLOOKUP('Données projet'!$B$12,Paramètres!$A$1:$I$89,3,0)*0.475*44/12</f>
        <v>1.6321777477522625</v>
      </c>
      <c r="CN73" s="22">
        <f t="shared" si="66"/>
        <v>50.797086092084157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2.1794871794871766</v>
      </c>
      <c r="N74" s="13">
        <f>IF('Données projet'!$A$36&gt;35,N73+M74-V73,IF(A74&lt;'Données projet'!$A$36,$K$205^A74,IF(A74='Données projet'!$A$36,'Données projet'!$B$36,N73+M74-V73)))</f>
        <v>122.05128205128196</v>
      </c>
      <c r="O74" s="13">
        <f>N74*VLOOKUP('Données projet'!$B$9,Paramètres!$A$1:$I$89,3,0)*VLOOKUP('Données projet'!$B$9,Paramètres!$A$1:$I$89,5,0)</f>
        <v>127.56799999999991</v>
      </c>
      <c r="P74" s="13">
        <f t="shared" si="87"/>
        <v>33.43377937608831</v>
      </c>
      <c r="Q74" s="20">
        <f t="shared" si="54"/>
        <v>280.41143241335362</v>
      </c>
      <c r="R74" s="59">
        <f t="shared" si="55"/>
        <v>573.74476574668688</v>
      </c>
      <c r="S74" s="59">
        <f ca="1">AVERAGE(OFFSET($R$3,0,0,'Données projet'!$E$9+1,1))-AVERAGE(OFFSET($H$3,0,0,'Données projet'!$E$9+1,1))</f>
        <v>239.26156489359892</v>
      </c>
      <c r="T74" s="59">
        <f t="shared" si="88"/>
        <v>213.97034450798111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0.8613426659085982</v>
      </c>
      <c r="AA74" s="21">
        <f>EXP(-LN(2)/25)*AA73+(1-EXP(-LN(2)/25))/(LN(2)/25)*Calculateur!V74*Calculateur!X74*VLOOKUP('Données projet'!$B$9,Paramètres!$A$1:$I$89,3,0)*0.475*44/12</f>
        <v>16.32669781266446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17.188040478573058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8.2474999999999987</v>
      </c>
      <c r="AI74" s="13">
        <f>IF('Données projet'!$A$62&gt;35,AI73+AH74-AQ73,IF(A74&lt;'Données projet'!$A$62,$AF$205^A74,IF(A74='Données projet'!$A$62,'Données projet'!$B$62,AI73+AH74-AQ73)))</f>
        <v>221.90000000000026</v>
      </c>
      <c r="AJ74" s="13">
        <f>AI74*VLOOKUP('Données projet'!$B$10,Paramètres!$A$1:$I$89,3,0)*VLOOKUP('Données projet'!$B$10,Paramètres!$A$1:$I$89,5,0)</f>
        <v>225.0066000000003</v>
      </c>
      <c r="AK74" s="13">
        <f t="shared" si="89"/>
        <v>55.201616315983408</v>
      </c>
      <c r="AL74" s="20">
        <f t="shared" si="58"/>
        <v>488.02931008367153</v>
      </c>
      <c r="AM74" s="59">
        <f t="shared" si="59"/>
        <v>781.36264341700485</v>
      </c>
      <c r="AN74" s="59">
        <f ca="1">AVERAGE(OFFSET($AM$3,0,0,'Données projet'!$E$10+1,1))-AVERAGE(OFFSET($H$3,0,0,'Données projet'!$E$10+1,1))</f>
        <v>543.88440431478944</v>
      </c>
      <c r="AO74" s="59">
        <f t="shared" si="90"/>
        <v>342.63929463709457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13.900787615590724</v>
      </c>
      <c r="AV74" s="21">
        <f>EXP(-LN(2)/25)*AV73+(1-EXP(-LN(2)/25))/(LN(2)/25)*Calculateur!AQ74*Calculateur!AS74*VLOOKUP('Données projet'!$B$10,Paramètres!$A$1:$I$89,3,0)*0.475*44/12</f>
        <v>32.117900587634082</v>
      </c>
      <c r="AW74" s="21">
        <f>EXP(-LN(2)/2)*AW73+(1-EXP(-LN(2)/2))/(LN(2)/2)*AQ74*AT74*VLOOKUP('Données projet'!$B$10,Paramètres!$A$1:$I$89,3,0)*0.475*44/12</f>
        <v>1.1457118188309592</v>
      </c>
      <c r="AX74" s="21">
        <f t="shared" si="60"/>
        <v>47.164400022055766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6.7437500000000021</v>
      </c>
      <c r="BD74" s="12">
        <f>IF('Données projet'!$A$88&gt;35,BD73+BC74-BL73,IF(A74&lt;'Données projet'!$A$88,$BA$205^A74,IF(A74='Données projet'!$A$88,'Données projet'!$B$88,BD73+BC74-BL73)))</f>
        <v>162.0575</v>
      </c>
      <c r="BE74" s="13">
        <f>BD74*VLOOKUP('Données projet'!$B$11,Paramètres!$A$1:$I$89,3,0)*VLOOKUP('Données projet'!$B$11,Paramètres!$A$1:$I$89,5,0)</f>
        <v>184.55108100000001</v>
      </c>
      <c r="BF74" s="13">
        <f t="shared" si="91"/>
        <v>46.333241717897458</v>
      </c>
      <c r="BG74" s="20">
        <f t="shared" si="61"/>
        <v>402.12352873367144</v>
      </c>
      <c r="BH74" s="59">
        <f t="shared" si="62"/>
        <v>695.45686206700475</v>
      </c>
      <c r="BI74" s="59">
        <f ca="1">AVERAGE(OFFSET($BH$3,0,0,'Données projet'!$E$11+1,1))-AVERAGE(OFFSET($H$3,0,0,'Données projet'!$E$11+1,1))</f>
        <v>593.28343396240075</v>
      </c>
      <c r="BJ74" s="59">
        <f t="shared" si="92"/>
        <v>289.66477662068695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40.400101758337136</v>
      </c>
      <c r="BR74" s="21">
        <f>EXP(-LN(2)/2)*BR73+(1-EXP(-LN(2)/2))/(LN(2)/2)*BL74*BO74*VLOOKUP('Données projet'!$B$11,Paramètres!$A$1:$I$89,3,0)*0.475*44/12</f>
        <v>4.8825216619398599</v>
      </c>
      <c r="BS74" s="22">
        <f t="shared" si="63"/>
        <v>45.282623420276998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9.65625</v>
      </c>
      <c r="BY74" s="12">
        <f>IF('Données projet'!$A$114&gt;35,BY73+BX74-CG73,IF(A74&lt;'Données projet'!$A$114,$BV$205^A74,IF(A74='Données projet'!$A$114,'Données projet'!$B$114,BY73+BX74-CG73)))</f>
        <v>235.13499999999996</v>
      </c>
      <c r="BZ74" s="13">
        <f>BY74*VLOOKUP('Données projet'!$B$12,Paramètres!$A$1:$I$89,3,0)*VLOOKUP('Données projet'!$B$12,Paramètres!$A$1:$I$89,5,0)</f>
        <v>253.09931399999994</v>
      </c>
      <c r="CA74" s="13">
        <f t="shared" si="93"/>
        <v>61.249135641102818</v>
      </c>
      <c r="CB74" s="20">
        <f t="shared" si="64"/>
        <v>547.49021645825394</v>
      </c>
      <c r="CC74" s="59">
        <f t="shared" si="65"/>
        <v>840.82354979158731</v>
      </c>
      <c r="CD74" s="59">
        <f ca="1">AVERAGE(OFFSET($CC$3,0,0,'Données projet'!$E$12+1,1))-AVERAGE(OFFSET($H$3,0,0,'Données projet'!$E$12+1,1))</f>
        <v>502.65044103360322</v>
      </c>
      <c r="CE74" s="59">
        <f t="shared" si="94"/>
        <v>321.65762891855167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18.401307887514328</v>
      </c>
      <c r="CL74" s="21">
        <f>EXP(-LN(2)/25)*CL73+(1-EXP(-LN(2)/25))/(LN(2)/25)*Calculateur!CG74*Calculateur!CI74*VLOOKUP('Données projet'!$B$12,Paramètres!$A$1:$I$89,3,0)*0.475*44/12</f>
        <v>29.564376915806672</v>
      </c>
      <c r="CM74" s="21">
        <f>EXP(-LN(2)/2)*CM73+(1-EXP(-LN(2)/2))/(LN(2)/2)*CG74*CJ74*VLOOKUP('Données projet'!$B$12,Paramètres!$A$1:$I$89,3,0)*0.475*44/12</f>
        <v>1.154123953537411</v>
      </c>
      <c r="CN74" s="22">
        <f t="shared" si="66"/>
        <v>49.119808756858404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2.1794871794871766</v>
      </c>
      <c r="N75" s="13">
        <f>IF('Données projet'!$A$36&gt;35,N74+M75-V74,IF(A75&lt;'Données projet'!$A$36,$K$205^A75,IF(A75='Données projet'!$A$36,'Données projet'!$B$36,N74+M75-V74)))</f>
        <v>124.23076923076914</v>
      </c>
      <c r="O75" s="13">
        <f>N75*VLOOKUP('Données projet'!$B$9,Paramètres!$A$1:$I$89,3,0)*VLOOKUP('Données projet'!$B$9,Paramètres!$A$1:$I$89,5,0)</f>
        <v>129.84599999999992</v>
      </c>
      <c r="P75" s="13">
        <f t="shared" si="87"/>
        <v>33.960771999433035</v>
      </c>
      <c r="Q75" s="20">
        <f t="shared" si="54"/>
        <v>285.29679456567902</v>
      </c>
      <c r="R75" s="59">
        <f t="shared" si="55"/>
        <v>578.63012789901234</v>
      </c>
      <c r="S75" s="59">
        <f ca="1">AVERAGE(OFFSET($R$3,0,0,'Données projet'!$E$9+1,1))-AVERAGE(OFFSET($H$3,0,0,'Données projet'!$E$9+1,1))</f>
        <v>239.26156489359892</v>
      </c>
      <c r="T75" s="59">
        <f t="shared" si="88"/>
        <v>213.97034450798111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0.84445226159728115</v>
      </c>
      <c r="AA75" s="21">
        <f>EXP(-LN(2)/25)*AA74+(1-EXP(-LN(2)/25))/(LN(2)/25)*Calculateur!V75*Calculateur!X75*VLOOKUP('Données projet'!$B$9,Paramètres!$A$1:$I$89,3,0)*0.475*44/12</f>
        <v>15.880243402393427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16.724695663990708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8.2474999999999987</v>
      </c>
      <c r="AI75" s="13">
        <f>IF('Données projet'!$A$62&gt;35,AI74+AH75-AQ74,IF(A75&lt;'Données projet'!$A$62,$AF$205^A75,IF(A75='Données projet'!$A$62,'Données projet'!$B$62,AI74+AH75-AQ74)))</f>
        <v>230.14750000000026</v>
      </c>
      <c r="AJ75" s="13">
        <f>AI75*VLOOKUP('Données projet'!$B$10,Paramètres!$A$1:$I$89,3,0)*VLOOKUP('Données projet'!$B$10,Paramètres!$A$1:$I$89,5,0)</f>
        <v>233.36956500000028</v>
      </c>
      <c r="AK75" s="13">
        <f t="shared" si="89"/>
        <v>57.01064240530372</v>
      </c>
      <c r="AL75" s="20">
        <f t="shared" si="58"/>
        <v>505.74552789757109</v>
      </c>
      <c r="AM75" s="59">
        <f t="shared" si="59"/>
        <v>799.07886123090441</v>
      </c>
      <c r="AN75" s="59">
        <f ca="1">AVERAGE(OFFSET($AM$3,0,0,'Données projet'!$E$10+1,1))-AVERAGE(OFFSET($H$3,0,0,'Données projet'!$E$10+1,1))</f>
        <v>543.88440431478944</v>
      </c>
      <c r="AO75" s="59">
        <f t="shared" si="90"/>
        <v>342.63929463709457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13.62820164909224</v>
      </c>
      <c r="AV75" s="21">
        <f>EXP(-LN(2)/25)*AV74+(1-EXP(-LN(2)/25))/(LN(2)/25)*Calculateur!AQ75*Calculateur!AS75*VLOOKUP('Données projet'!$B$10,Paramètres!$A$1:$I$89,3,0)*0.475*44/12</f>
        <v>31.239634907058242</v>
      </c>
      <c r="AW75" s="21">
        <f>EXP(-LN(2)/2)*AW74+(1-EXP(-LN(2)/2))/(LN(2)/2)*AQ75*AT75*VLOOKUP('Données projet'!$B$10,Paramètres!$A$1:$I$89,3,0)*0.475*44/12</f>
        <v>0.81014059638094449</v>
      </c>
      <c r="AX75" s="21">
        <f t="shared" si="60"/>
        <v>45.677977152531426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6.7437500000000021</v>
      </c>
      <c r="BD75" s="12">
        <f>IF('Données projet'!$A$88&gt;35,BD74+BC75-BL74,IF(A75&lt;'Données projet'!$A$88,$BA$205^A75,IF(A75='Données projet'!$A$88,'Données projet'!$B$88,BD74+BC75-BL74)))</f>
        <v>168.80125000000001</v>
      </c>
      <c r="BE75" s="13">
        <f>BD75*VLOOKUP('Données projet'!$B$11,Paramètres!$A$1:$I$89,3,0)*VLOOKUP('Données projet'!$B$11,Paramètres!$A$1:$I$89,5,0)</f>
        <v>192.2308635</v>
      </c>
      <c r="BF75" s="13">
        <f t="shared" si="91"/>
        <v>48.032829524396625</v>
      </c>
      <c r="BG75" s="20">
        <f t="shared" si="61"/>
        <v>418.45926535082413</v>
      </c>
      <c r="BH75" s="59">
        <f t="shared" si="62"/>
        <v>711.79259868415738</v>
      </c>
      <c r="BI75" s="59">
        <f ca="1">AVERAGE(OFFSET($BH$3,0,0,'Données projet'!$E$11+1,1))-AVERAGE(OFFSET($H$3,0,0,'Données projet'!$E$11+1,1))</f>
        <v>593.28343396240075</v>
      </c>
      <c r="BJ75" s="59">
        <f t="shared" si="92"/>
        <v>289.66477662068695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39.295358851206394</v>
      </c>
      <c r="BR75" s="21">
        <f>EXP(-LN(2)/2)*BR74+(1-EXP(-LN(2)/2))/(LN(2)/2)*BL75*BO75*VLOOKUP('Données projet'!$B$11,Paramètres!$A$1:$I$89,3,0)*0.475*44/12</f>
        <v>3.4524641764478869</v>
      </c>
      <c r="BS75" s="22">
        <f t="shared" si="63"/>
        <v>42.747823027654285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9.65625</v>
      </c>
      <c r="BY75" s="12">
        <f>IF('Données projet'!$A$114&gt;35,BY74+BX75-CG74,IF(A75&lt;'Données projet'!$A$114,$BV$205^A75,IF(A75='Données projet'!$A$114,'Données projet'!$B$114,BY74+BX75-CG74)))</f>
        <v>244.79124999999996</v>
      </c>
      <c r="BZ75" s="13">
        <f>BY75*VLOOKUP('Données projet'!$B$12,Paramètres!$A$1:$I$89,3,0)*VLOOKUP('Données projet'!$B$12,Paramètres!$A$1:$I$89,5,0)</f>
        <v>263.49330149999992</v>
      </c>
      <c r="CA75" s="13">
        <f t="shared" si="93"/>
        <v>63.466429286235211</v>
      </c>
      <c r="CB75" s="20">
        <f t="shared" si="64"/>
        <v>569.45486445269285</v>
      </c>
      <c r="CC75" s="59">
        <f t="shared" si="65"/>
        <v>862.7881977860261</v>
      </c>
      <c r="CD75" s="59">
        <f ca="1">AVERAGE(OFFSET($CC$3,0,0,'Données projet'!$E$12+1,1))-AVERAGE(OFFSET($H$3,0,0,'Données projet'!$E$12+1,1))</f>
        <v>502.65044103360322</v>
      </c>
      <c r="CE75" s="59">
        <f t="shared" si="94"/>
        <v>321.65762891855167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18.040469463529735</v>
      </c>
      <c r="CL75" s="21">
        <f>EXP(-LN(2)/25)*CL74+(1-EXP(-LN(2)/25))/(LN(2)/25)*Calculateur!CG75*Calculateur!CI75*VLOOKUP('Données projet'!$B$12,Paramètres!$A$1:$I$89,3,0)*0.475*44/12</f>
        <v>28.755937474320927</v>
      </c>
      <c r="CM75" s="21">
        <f>EXP(-LN(2)/2)*CM74+(1-EXP(-LN(2)/2))/(LN(2)/2)*CG75*CJ75*VLOOKUP('Données projet'!$B$12,Paramètres!$A$1:$I$89,3,0)*0.475*44/12</f>
        <v>0.81608887387613127</v>
      </c>
      <c r="CN75" s="22">
        <f t="shared" si="66"/>
        <v>47.612495811726795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2.1794871794871766</v>
      </c>
      <c r="N76" s="13">
        <f>IF('Données projet'!$A$36&gt;35,N75+M76-V75,IF(A76&lt;'Données projet'!$A$36,$K$205^A76,IF(A76='Données projet'!$A$36,'Données projet'!$B$36,N75+M76-V75)))</f>
        <v>126.41025641025632</v>
      </c>
      <c r="O76" s="13">
        <f>N76*VLOOKUP('Données projet'!$B$9,Paramètres!$A$1:$I$89,3,0)*VLOOKUP('Données projet'!$B$9,Paramètres!$A$1:$I$89,5,0)</f>
        <v>132.12399999999994</v>
      </c>
      <c r="P76" s="13">
        <f t="shared" si="87"/>
        <v>34.486689488144428</v>
      </c>
      <c r="Q76" s="20">
        <f t="shared" si="54"/>
        <v>290.18028419185146</v>
      </c>
      <c r="R76" s="59">
        <f t="shared" si="55"/>
        <v>583.51361752518483</v>
      </c>
      <c r="S76" s="59">
        <f ca="1">AVERAGE(OFFSET($R$3,0,0,'Données projet'!$E$9+1,1))-AVERAGE(OFFSET($H$3,0,0,'Données projet'!$E$9+1,1))</f>
        <v>239.26156489359892</v>
      </c>
      <c r="T76" s="59">
        <f t="shared" si="88"/>
        <v>213.97034450798111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0.82789306781237959</v>
      </c>
      <c r="AA76" s="21">
        <f>EXP(-LN(2)/25)*AA75+(1-EXP(-LN(2)/25))/(LN(2)/25)*Calculateur!V76*Calculateur!X76*VLOOKUP('Données projet'!$B$9,Paramètres!$A$1:$I$89,3,0)*0.475*44/12</f>
        <v>15.445997311449274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16.273890379261655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8.2474999999999987</v>
      </c>
      <c r="AI76" s="13">
        <f>IF('Données projet'!$A$62&gt;35,AI75+AH76-AQ75,IF(A76&lt;'Données projet'!$A$62,$AF$205^A76,IF(A76='Données projet'!$A$62,'Données projet'!$B$62,AI75+AH76-AQ75)))</f>
        <v>238.39500000000027</v>
      </c>
      <c r="AJ76" s="13">
        <f>AI76*VLOOKUP('Données projet'!$B$10,Paramètres!$A$1:$I$89,3,0)*VLOOKUP('Données projet'!$B$10,Paramètres!$A$1:$I$89,5,0)</f>
        <v>241.73253000000028</v>
      </c>
      <c r="AK76" s="13">
        <f t="shared" si="89"/>
        <v>58.812136558877029</v>
      </c>
      <c r="AL76" s="20">
        <f t="shared" si="58"/>
        <v>523.44862759004468</v>
      </c>
      <c r="AM76" s="59">
        <f t="shared" si="59"/>
        <v>816.78196092337794</v>
      </c>
      <c r="AN76" s="59">
        <f ca="1">AVERAGE(OFFSET($AM$3,0,0,'Données projet'!$E$10+1,1))-AVERAGE(OFFSET($H$3,0,0,'Données projet'!$E$10+1,1))</f>
        <v>543.88440431478944</v>
      </c>
      <c r="AO76" s="59">
        <f t="shared" si="90"/>
        <v>342.63929463709457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13.360960927135768</v>
      </c>
      <c r="AV76" s="21">
        <f>EXP(-LN(2)/25)*AV75+(1-EXP(-LN(2)/25))/(LN(2)/25)*Calculateur!AQ76*Calculateur!AS76*VLOOKUP('Données projet'!$B$10,Paramètres!$A$1:$I$89,3,0)*0.475*44/12</f>
        <v>30.385385447703733</v>
      </c>
      <c r="AW76" s="21">
        <f>EXP(-LN(2)/2)*AW75+(1-EXP(-LN(2)/2))/(LN(2)/2)*AQ76*AT76*VLOOKUP('Données projet'!$B$10,Paramètres!$A$1:$I$89,3,0)*0.475*44/12</f>
        <v>0.5728559094154797</v>
      </c>
      <c r="AX76" s="21">
        <f t="shared" si="60"/>
        <v>44.319202284254985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6.7437500000000021</v>
      </c>
      <c r="BD76" s="12">
        <f>IF('Données projet'!$A$88&gt;35,BD75+BC76-BL75,IF(A76&lt;'Données projet'!$A$88,$BA$205^A76,IF(A76='Données projet'!$A$88,'Données projet'!$B$88,BD75+BC76-BL75)))</f>
        <v>175.54500000000002</v>
      </c>
      <c r="BE76" s="13">
        <f>BD76*VLOOKUP('Données projet'!$B$11,Paramètres!$A$1:$I$89,3,0)*VLOOKUP('Données projet'!$B$11,Paramètres!$A$1:$I$89,5,0)</f>
        <v>199.91064600000001</v>
      </c>
      <c r="BF76" s="13">
        <f t="shared" si="91"/>
        <v>49.724529909965376</v>
      </c>
      <c r="BG76" s="20">
        <f t="shared" si="61"/>
        <v>434.78126470985643</v>
      </c>
      <c r="BH76" s="59">
        <f t="shared" si="62"/>
        <v>728.11459804318974</v>
      </c>
      <c r="BI76" s="59">
        <f ca="1">AVERAGE(OFFSET($BH$3,0,0,'Données projet'!$E$11+1,1))-AVERAGE(OFFSET($H$3,0,0,'Données projet'!$E$11+1,1))</f>
        <v>593.28343396240075</v>
      </c>
      <c r="BJ76" s="59">
        <f t="shared" si="92"/>
        <v>289.66477662068695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38.220825196967041</v>
      </c>
      <c r="BR76" s="21">
        <f>EXP(-LN(2)/2)*BR75+(1-EXP(-LN(2)/2))/(LN(2)/2)*BL76*BO76*VLOOKUP('Données projet'!$B$11,Paramètres!$A$1:$I$89,3,0)*0.475*44/12</f>
        <v>2.44126083096993</v>
      </c>
      <c r="BS76" s="22">
        <f t="shared" si="63"/>
        <v>40.662086027936972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9.65625</v>
      </c>
      <c r="BY76" s="12">
        <f>IF('Données projet'!$A$114&gt;35,BY75+BX76-CG75,IF(A76&lt;'Données projet'!$A$114,$BV$205^A76,IF(A76='Données projet'!$A$114,'Données projet'!$B$114,BY75+BX76-CG75)))</f>
        <v>254.44749999999996</v>
      </c>
      <c r="BZ76" s="13">
        <f>BY76*VLOOKUP('Données projet'!$B$12,Paramètres!$A$1:$I$89,3,0)*VLOOKUP('Données projet'!$B$12,Paramètres!$A$1:$I$89,5,0)</f>
        <v>273.88728899999995</v>
      </c>
      <c r="CA76" s="13">
        <f t="shared" si="93"/>
        <v>65.673562524429713</v>
      </c>
      <c r="CB76" s="20">
        <f t="shared" si="64"/>
        <v>591.40181640504818</v>
      </c>
      <c r="CC76" s="59">
        <f t="shared" si="65"/>
        <v>884.73514973838155</v>
      </c>
      <c r="CD76" s="59">
        <f ca="1">AVERAGE(OFFSET($CC$3,0,0,'Données projet'!$E$12+1,1))-AVERAGE(OFFSET($H$3,0,0,'Données projet'!$E$12+1,1))</f>
        <v>502.65044103360322</v>
      </c>
      <c r="CE76" s="59">
        <f t="shared" si="94"/>
        <v>321.65762891855167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17.686706860949776</v>
      </c>
      <c r="CL76" s="21">
        <f>EXP(-LN(2)/25)*CL75+(1-EXP(-LN(2)/25))/(LN(2)/25)*Calculateur!CG76*Calculateur!CI76*VLOOKUP('Données projet'!$B$12,Paramètres!$A$1:$I$89,3,0)*0.475*44/12</f>
        <v>27.969604851876593</v>
      </c>
      <c r="CM76" s="21">
        <f>EXP(-LN(2)/2)*CM75+(1-EXP(-LN(2)/2))/(LN(2)/2)*CG76*CJ76*VLOOKUP('Données projet'!$B$12,Paramètres!$A$1:$I$89,3,0)*0.475*44/12</f>
        <v>0.57706197676870552</v>
      </c>
      <c r="CN76" s="22">
        <f t="shared" si="66"/>
        <v>46.233373689595069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2.1794871794871766</v>
      </c>
      <c r="N77" s="13">
        <f>IF('Données projet'!$A$36&gt;35,N76+M77-V76,IF(A77&lt;'Données projet'!$A$36,$K$205^A77,IF(A77='Données projet'!$A$36,'Données projet'!$B$36,N76+M77-V76)))</f>
        <v>128.58974358974351</v>
      </c>
      <c r="O77" s="13">
        <f>N77*VLOOKUP('Données projet'!$B$9,Paramètres!$A$1:$I$89,3,0)*VLOOKUP('Données projet'!$B$9,Paramètres!$A$1:$I$89,5,0)</f>
        <v>134.40199999999993</v>
      </c>
      <c r="P77" s="13">
        <f t="shared" si="87"/>
        <v>35.011552518023244</v>
      </c>
      <c r="Q77" s="20">
        <f t="shared" si="54"/>
        <v>295.06193730222367</v>
      </c>
      <c r="R77" s="59">
        <f t="shared" si="55"/>
        <v>588.39527063555693</v>
      </c>
      <c r="S77" s="59">
        <f ca="1">AVERAGE(OFFSET($R$3,0,0,'Données projet'!$E$9+1,1))-AVERAGE(OFFSET($H$3,0,0,'Données projet'!$E$9+1,1))</f>
        <v>239.26156489359892</v>
      </c>
      <c r="T77" s="59">
        <f t="shared" si="88"/>
        <v>213.97034450798111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0.81165858971748905</v>
      </c>
      <c r="AA77" s="21">
        <f>EXP(-LN(2)/25)*AA76+(1-EXP(-LN(2)/25))/(LN(2)/25)*Calculateur!V77*Calculateur!X77*VLOOKUP('Données projet'!$B$9,Paramètres!$A$1:$I$89,3,0)*0.475*44/12</f>
        <v>15.023625702697997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15.835284292415485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8.2474999999999987</v>
      </c>
      <c r="AI77" s="13">
        <f>IF('Données projet'!$A$62&gt;35,AI76+AH77-AQ76,IF(A77&lt;'Données projet'!$A$62,$AF$205^A77,IF(A77='Données projet'!$A$62,'Données projet'!$B$62,AI76+AH77-AQ76)))</f>
        <v>246.64250000000027</v>
      </c>
      <c r="AJ77" s="13">
        <f>AI77*VLOOKUP('Données projet'!$B$10,Paramètres!$A$1:$I$89,3,0)*VLOOKUP('Données projet'!$B$10,Paramètres!$A$1:$I$89,5,0)</f>
        <v>250.09549500000031</v>
      </c>
      <c r="AK77" s="13">
        <f t="shared" si="89"/>
        <v>60.606389214794966</v>
      </c>
      <c r="AL77" s="20">
        <f t="shared" si="58"/>
        <v>541.13911500743507</v>
      </c>
      <c r="AM77" s="59">
        <f t="shared" si="59"/>
        <v>834.47244834076832</v>
      </c>
      <c r="AN77" s="59">
        <f ca="1">AVERAGE(OFFSET($AM$3,0,0,'Données projet'!$E$10+1,1))-AVERAGE(OFFSET($H$3,0,0,'Données projet'!$E$10+1,1))</f>
        <v>543.88440431478944</v>
      </c>
      <c r="AO77" s="59">
        <f t="shared" si="90"/>
        <v>342.63929463709457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13.098960632736116</v>
      </c>
      <c r="AV77" s="21">
        <f>EXP(-LN(2)/25)*AV76+(1-EXP(-LN(2)/25))/(LN(2)/25)*Calculateur!AQ77*Calculateur!AS77*VLOOKUP('Données projet'!$B$10,Paramètres!$A$1:$I$89,3,0)*0.475*44/12</f>
        <v>29.5544954847383</v>
      </c>
      <c r="AW77" s="21">
        <f>EXP(-LN(2)/2)*AW76+(1-EXP(-LN(2)/2))/(LN(2)/2)*AQ77*AT77*VLOOKUP('Données projet'!$B$10,Paramètres!$A$1:$I$89,3,0)*0.475*44/12</f>
        <v>0.4050702981904723</v>
      </c>
      <c r="AX77" s="21">
        <f t="shared" si="60"/>
        <v>43.058526415664893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6.7437500000000021</v>
      </c>
      <c r="BD77" s="12">
        <f>IF('Données projet'!$A$88&gt;35,BD76+BC77-BL76,IF(A77&lt;'Données projet'!$A$88,$BA$205^A77,IF(A77='Données projet'!$A$88,'Données projet'!$B$88,BD76+BC77-BL76)))</f>
        <v>182.28875000000002</v>
      </c>
      <c r="BE77" s="13">
        <f>BD77*VLOOKUP('Données projet'!$B$11,Paramètres!$A$1:$I$89,3,0)*VLOOKUP('Données projet'!$B$11,Paramètres!$A$1:$I$89,5,0)</f>
        <v>207.59042850000003</v>
      </c>
      <c r="BF77" s="13">
        <f t="shared" si="91"/>
        <v>51.408680561939029</v>
      </c>
      <c r="BG77" s="20">
        <f t="shared" si="61"/>
        <v>451.09011494954387</v>
      </c>
      <c r="BH77" s="59">
        <f t="shared" si="62"/>
        <v>744.42344828287719</v>
      </c>
      <c r="BI77" s="59">
        <f ca="1">AVERAGE(OFFSET($BH$3,0,0,'Données projet'!$E$11+1,1))-AVERAGE(OFFSET($H$3,0,0,'Données projet'!$E$11+1,1))</f>
        <v>593.28343396240075</v>
      </c>
      <c r="BJ77" s="59">
        <f t="shared" si="92"/>
        <v>289.66477662068695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37.175674722010136</v>
      </c>
      <c r="BR77" s="21">
        <f>EXP(-LN(2)/2)*BR76+(1-EXP(-LN(2)/2))/(LN(2)/2)*BL77*BO77*VLOOKUP('Données projet'!$B$11,Paramètres!$A$1:$I$89,3,0)*0.475*44/12</f>
        <v>1.7262320882239435</v>
      </c>
      <c r="BS77" s="22">
        <f t="shared" si="63"/>
        <v>38.901906810234081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9.65625</v>
      </c>
      <c r="BY77" s="12">
        <f>IF('Données projet'!$A$114&gt;35,BY76+BX77-CG76,IF(A77&lt;'Données projet'!$A$114,$BV$205^A77,IF(A77='Données projet'!$A$114,'Données projet'!$B$114,BY76+BX77-CG76)))</f>
        <v>264.10374999999999</v>
      </c>
      <c r="BZ77" s="13">
        <f>BY77*VLOOKUP('Données projet'!$B$12,Paramètres!$A$1:$I$89,3,0)*VLOOKUP('Données projet'!$B$12,Paramètres!$A$1:$I$89,5,0)</f>
        <v>284.28127649999999</v>
      </c>
      <c r="CA77" s="13">
        <f t="shared" si="93"/>
        <v>67.870965084671752</v>
      </c>
      <c r="CB77" s="20">
        <f t="shared" si="64"/>
        <v>613.3318207599699</v>
      </c>
      <c r="CC77" s="59">
        <f t="shared" si="65"/>
        <v>906.66515409330327</v>
      </c>
      <c r="CD77" s="59">
        <f ca="1">AVERAGE(OFFSET($CC$3,0,0,'Données projet'!$E$12+1,1))-AVERAGE(OFFSET($H$3,0,0,'Données projet'!$E$12+1,1))</f>
        <v>502.65044103360322</v>
      </c>
      <c r="CE77" s="59">
        <f t="shared" si="94"/>
        <v>321.65762891855167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17.339881327232526</v>
      </c>
      <c r="CL77" s="21">
        <f>EXP(-LN(2)/25)*CL76+(1-EXP(-LN(2)/25))/(LN(2)/25)*Calculateur!CG77*Calculateur!CI77*VLOOKUP('Données projet'!$B$12,Paramètres!$A$1:$I$89,3,0)*0.475*44/12</f>
        <v>27.204774536344434</v>
      </c>
      <c r="CM77" s="21">
        <f>EXP(-LN(2)/2)*CM76+(1-EXP(-LN(2)/2))/(LN(2)/2)*CG77*CJ77*VLOOKUP('Données projet'!$B$12,Paramètres!$A$1:$I$89,3,0)*0.475*44/12</f>
        <v>0.40804443693806564</v>
      </c>
      <c r="CN77" s="22">
        <f t="shared" si="66"/>
        <v>44.952700300515026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130.76923076923075</v>
      </c>
      <c r="L78" s="12">
        <f>VLOOKUP(A78,'Données projet'!$A$35:$I$55,9,0)</f>
        <v>2.1794871794871766</v>
      </c>
      <c r="M78" s="12">
        <f t="array" ref="M78">INDEX(L:L,MIN(IF(ISNUMBER(L78:L274),ROW(L78:L274),"")))</f>
        <v>2.1794871794871766</v>
      </c>
      <c r="N78" s="13">
        <f>IF('Données projet'!$A$36&gt;35,N77+M78-V77,IF(A78&lt;'Données projet'!$A$36,$K$205^A78,IF(A78='Données projet'!$A$36,'Données projet'!$B$36,N77+M78-V77)))</f>
        <v>130.76923076923069</v>
      </c>
      <c r="O78" s="13">
        <f>N78*VLOOKUP('Données projet'!$B$9,Paramètres!$A$1:$I$89,3,0)*VLOOKUP('Données projet'!$B$9,Paramètres!$A$1:$I$89,5,0)</f>
        <v>136.67999999999992</v>
      </c>
      <c r="P78" s="13">
        <f t="shared" si="87"/>
        <v>35.535381023829849</v>
      </c>
      <c r="Q78" s="20">
        <f t="shared" si="54"/>
        <v>299.94178861650352</v>
      </c>
      <c r="R78" s="59">
        <f t="shared" si="55"/>
        <v>593.27512194983683</v>
      </c>
      <c r="S78" s="59">
        <f ca="1">AVERAGE(OFFSET($R$3,0,0,'Données projet'!$E$9+1,1))-AVERAGE(OFFSET($H$3,0,0,'Données projet'!$E$9+1,1))</f>
        <v>239.26156489359892</v>
      </c>
      <c r="T78" s="59">
        <f t="shared" si="88"/>
        <v>213.97034450798111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7.6923076923076916</v>
      </c>
      <c r="W78" s="16">
        <f>IF(ISNA(VLOOKUP(A78,'Données projet'!$A$35:$I$55,5,0)),0%,VLOOKUP(A78,'Données projet'!$A$35:$I$55,5,0)*VLOOKUP('Données projet'!$B$9,Paramètres!$A$1:$I$89,7,0))</f>
        <v>4.3000000000000003E-2</v>
      </c>
      <c r="X78" s="16">
        <f>IF(ISNA(VLOOKUP(A78,'Données projet'!$A$35:$I$55,6,0)),0%,VLOOKUP(A78,'Données projet'!$A$35:$I$55,6,0)*VLOOKUP('Données projet'!$B$9,Paramètres!$A$1:$I$89,7,0))</f>
        <v>0.215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1.177925679448117</v>
      </c>
      <c r="AA78" s="21">
        <f>EXP(-LN(2)/25)*AA77+(1-EXP(-LN(2)/25))/(LN(2)/25)*Calculateur!V78*Calculateur!X78*VLOOKUP('Données projet'!$B$9,Paramètres!$A$1:$I$89,3,0)*0.475*44/12</f>
        <v>16.516195961066057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17.694121640514172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254.89</v>
      </c>
      <c r="AG78" s="12">
        <f>VLOOKUP(A78,'Données projet'!$A$61:$I$81,9,0)</f>
        <v>8.2474999999999987</v>
      </c>
      <c r="AH78" s="12">
        <f t="array" ref="AH78">INDEX(AG:AG,MIN(IF(ISNUMBER(AG78:AG274),ROW(AG78:AG274),"")))</f>
        <v>8.2474999999999987</v>
      </c>
      <c r="AI78" s="13">
        <f>IF('Données projet'!$A$62&gt;35,AI77+AH78-AQ77,IF(A78&lt;'Données projet'!$A$62,$AF$205^A78,IF(A78='Données projet'!$A$62,'Données projet'!$B$62,AI77+AH78-AQ77)))</f>
        <v>254.89000000000027</v>
      </c>
      <c r="AJ78" s="13">
        <f>AI78*VLOOKUP('Données projet'!$B$10,Paramètres!$A$1:$I$89,3,0)*VLOOKUP('Données projet'!$B$10,Paramètres!$A$1:$I$89,5,0)</f>
        <v>258.45846000000029</v>
      </c>
      <c r="AK78" s="13">
        <f t="shared" si="89"/>
        <v>62.393670285021976</v>
      </c>
      <c r="AL78" s="20">
        <f t="shared" si="58"/>
        <v>558.81746024641382</v>
      </c>
      <c r="AM78" s="59">
        <f t="shared" si="59"/>
        <v>852.15079357974719</v>
      </c>
      <c r="AN78" s="59">
        <f ca="1">AVERAGE(OFFSET($AM$3,0,0,'Données projet'!$E$10+1,1))-AVERAGE(OFFSET($H$3,0,0,'Données projet'!$E$10+1,1))</f>
        <v>543.88440431478944</v>
      </c>
      <c r="AO78" s="59">
        <f t="shared" si="90"/>
        <v>342.63929463709457</v>
      </c>
      <c r="AP78" s="15">
        <f>IF(ISNA(VLOOKUP(A78,'Données projet'!$A$61:$I$81,3,0)),0,VLOOKUP(A78,'Données projet'!$A$61:$I$81,3,0))</f>
        <v>5</v>
      </c>
      <c r="AQ78" s="15">
        <f>IF(ISNA(VLOOKUP(A78,'Données projet'!$A$61:$I$81,4,0)),0,VLOOKUP(A78,'Données projet'!$A$61:$I$81,4,0))</f>
        <v>43.289999999999992</v>
      </c>
      <c r="AR78" s="16">
        <f>IF(ISNA(VLOOKUP(A78,'Données projet'!$A$61:$I$81,5,0)),0%,VLOOKUP(A78,'Données projet'!$A$61:$I$81,5,0)*VLOOKUP('Données projet'!$B$10,Paramètres!$A$1:$I$89,7,0))</f>
        <v>0.15049999999999999</v>
      </c>
      <c r="AS78" s="16">
        <f>IF(ISNA(VLOOKUP(A78,'Données projet'!$A$61:$I$81,6,0)),0%,VLOOKUP(A78,'Données projet'!$A$61:$I$81,6,0)*VLOOKUP('Données projet'!$B$10,Paramètres!$A$1:$I$89,7,0))</f>
        <v>8.6000000000000007E-2</v>
      </c>
      <c r="AT78" s="16">
        <f>IF(ISNA(VLOOKUP(A78,'Données projet'!$A$61:$I$81,7,0)),0%,VLOOKUP(A78,'Données projet'!$A$61:$I$81,7,0))</f>
        <v>0.1</v>
      </c>
      <c r="AU78" s="21">
        <f>EXP(-LN(2)/35)*AU77+(1-EXP(-LN(2)/35))/(LN(2)/35)*AQ78*AR78*VLOOKUP('Données projet'!$B$10,Paramètres!$A$1:$I$89,3,0)*0.475*44/12</f>
        <v>20.145230017589512</v>
      </c>
      <c r="AV78" s="21">
        <f>EXP(-LN(2)/25)*AV77+(1-EXP(-LN(2)/25))/(LN(2)/25)*Calculateur!AQ78*Calculateur!AS78*VLOOKUP('Données projet'!$B$10,Paramètres!$A$1:$I$89,3,0)*0.475*44/12</f>
        <v>32.903112994268483</v>
      </c>
      <c r="AW78" s="21">
        <f>EXP(-LN(2)/2)*AW77+(1-EXP(-LN(2)/2))/(LN(2)/2)*AQ78*AT78*VLOOKUP('Données projet'!$B$10,Paramètres!$A$1:$I$89,3,0)*0.475*44/12</f>
        <v>4.4281393602210395</v>
      </c>
      <c r="AX78" s="21">
        <f t="shared" si="60"/>
        <v>57.476482372079033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6.7437500000000021</v>
      </c>
      <c r="BD78" s="12">
        <f>IF('Données projet'!$A$88&gt;35,BD77+BC78-BL77,IF(A78&lt;'Données projet'!$A$88,$BA$205^A78,IF(A78='Données projet'!$A$88,'Données projet'!$B$88,BD77+BC78-BL77)))</f>
        <v>189.03250000000003</v>
      </c>
      <c r="BE78" s="13">
        <f>BD78*VLOOKUP('Données projet'!$B$11,Paramètres!$A$1:$I$89,3,0)*VLOOKUP('Données projet'!$B$11,Paramètres!$A$1:$I$89,5,0)</f>
        <v>215.27021100000002</v>
      </c>
      <c r="BF78" s="13">
        <f t="shared" si="91"/>
        <v>53.085592766561511</v>
      </c>
      <c r="BG78" s="20">
        <f t="shared" si="61"/>
        <v>467.38635822676127</v>
      </c>
      <c r="BH78" s="59">
        <f t="shared" si="62"/>
        <v>760.71969156009459</v>
      </c>
      <c r="BI78" s="59">
        <f ca="1">AVERAGE(OFFSET($BH$3,0,0,'Données projet'!$E$11+1,1))-AVERAGE(OFFSET($H$3,0,0,'Données projet'!$E$11+1,1))</f>
        <v>593.28343396240075</v>
      </c>
      <c r="BJ78" s="59">
        <f t="shared" si="92"/>
        <v>289.66477662068695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36.159103941753003</v>
      </c>
      <c r="BR78" s="21">
        <f>EXP(-LN(2)/2)*BR77+(1-EXP(-LN(2)/2))/(LN(2)/2)*BL78*BO78*VLOOKUP('Données projet'!$B$11,Paramètres!$A$1:$I$89,3,0)*0.475*44/12</f>
        <v>1.220630415484965</v>
      </c>
      <c r="BS78" s="22">
        <f t="shared" si="63"/>
        <v>37.379734357237965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273.76</v>
      </c>
      <c r="BW78" s="12">
        <f>VLOOKUP(A78,'Données projet'!$A$113:$I$133,9,0)</f>
        <v>9.65625</v>
      </c>
      <c r="BX78" s="12">
        <f t="array" ref="BX78">INDEX(BW:BW,MIN(IF(ISNUMBER(BW78:BW274),ROW(BW78:BW274),"")))</f>
        <v>9.65625</v>
      </c>
      <c r="BY78" s="12">
        <f>IF('Données projet'!$A$114&gt;35,BY77+BX78-CG77,IF(A78&lt;'Données projet'!$A$114,$BV$205^A78,IF(A78='Données projet'!$A$114,'Données projet'!$B$114,BY77+BX78-CG77)))</f>
        <v>273.76</v>
      </c>
      <c r="BZ78" s="13">
        <f>BY78*VLOOKUP('Données projet'!$B$12,Paramètres!$A$1:$I$89,3,0)*VLOOKUP('Données projet'!$B$12,Paramètres!$A$1:$I$89,5,0)</f>
        <v>294.67526399999997</v>
      </c>
      <c r="CA78" s="13">
        <f t="shared" si="93"/>
        <v>70.059033491377406</v>
      </c>
      <c r="CB78" s="20">
        <f t="shared" si="64"/>
        <v>635.24556813081563</v>
      </c>
      <c r="CC78" s="59">
        <f t="shared" si="65"/>
        <v>928.57890146414888</v>
      </c>
      <c r="CD78" s="59">
        <f ca="1">AVERAGE(OFFSET($CC$3,0,0,'Données projet'!$E$12+1,1))-AVERAGE(OFFSET($H$3,0,0,'Données projet'!$E$12+1,1))</f>
        <v>502.65044103360322</v>
      </c>
      <c r="CE78" s="59">
        <f t="shared" si="94"/>
        <v>321.65762891855167</v>
      </c>
      <c r="CF78" s="15">
        <f>IF(ISNA(VLOOKUP(A78,'Données projet'!$A$113:$I$133,3,0)),0,VLOOKUP(A78,'Données projet'!$A$113:$I$133,3,0))</f>
        <v>6</v>
      </c>
      <c r="CG78" s="15">
        <f>IF(ISNA(VLOOKUP(A78,'Données projet'!$A$113:$I$133,4,0)),0,VLOOKUP(A78,'Données projet'!$A$113:$I$133,4,0))</f>
        <v>43.519999999999982</v>
      </c>
      <c r="CH78" s="16">
        <f>IF(ISNA(VLOOKUP(A78,'Données projet'!$A$113:$I$133,5,0)),0%,VLOOKUP(A78,'Données projet'!$A$113:$I$133,5,0)*VLOOKUP('Données projet'!$B$12,Paramètres!$A$1:$I$89,7,0))</f>
        <v>0.15049999999999999</v>
      </c>
      <c r="CI78" s="16">
        <f>IF(ISNA(VLOOKUP(A78,'Données projet'!$A$113:$I$133,6,0)),0%,VLOOKUP(A78,'Données projet'!$A$113:$I$133,6,0)*VLOOKUP('Données projet'!$B$12,Paramètres!$A$1:$I$89,7,0))</f>
        <v>8.6000000000000007E-2</v>
      </c>
      <c r="CJ78" s="16">
        <f>IF(ISNA(VLOOKUP(A78,'Données projet'!$A$113:$I$133,7,0)),0%,VLOOKUP(A78,'Données projet'!$A$113:$I$133,7,0))</f>
        <v>0.1</v>
      </c>
      <c r="CK78" s="21">
        <f>EXP(-LN(2)/35)*CK77+(1-EXP(-LN(2)/35))/(LN(2)/35)*CG78*CH78*VLOOKUP('Données projet'!$B$12,Paramètres!$A$1:$I$89,3,0)*0.475*44/12</f>
        <v>24.793601721159515</v>
      </c>
      <c r="CL78" s="21">
        <f>EXP(-LN(2)/25)*CL77+(1-EXP(-LN(2)/25))/(LN(2)/25)*Calculateur!CG78*Calculateur!CI78*VLOOKUP('Données projet'!$B$12,Paramètres!$A$1:$I$89,3,0)*0.475*44/12</f>
        <v>30.896891658689654</v>
      </c>
      <c r="CM78" s="21">
        <f>EXP(-LN(2)/2)*CM77+(1-EXP(-LN(2)/2))/(LN(2)/2)*CG78*CJ78*VLOOKUP('Données projet'!$B$12,Paramètres!$A$1:$I$89,3,0)*0.475*44/12</f>
        <v>4.7084760264595058</v>
      </c>
      <c r="CN78" s="22">
        <f t="shared" si="66"/>
        <v>60.39896940630868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2.0512820512820582</v>
      </c>
      <c r="N79" s="13">
        <f>IF('Données projet'!$A$36&gt;35,N78+M79-V78,IF(A79&lt;'Données projet'!$A$36,$K$205^A79,IF(A79='Données projet'!$A$36,'Données projet'!$B$36,N78+M79-V78)))</f>
        <v>125.12820512820507</v>
      </c>
      <c r="O79" s="13">
        <f>N79*VLOOKUP('Données projet'!$B$9,Paramètres!$A$1:$I$89,3,0)*VLOOKUP('Données projet'!$B$9,Paramètres!$A$1:$I$89,5,0)</f>
        <v>130.78399999999993</v>
      </c>
      <c r="P79" s="13">
        <f t="shared" si="87"/>
        <v>34.177455270520305</v>
      </c>
      <c r="Q79" s="20">
        <f t="shared" si="54"/>
        <v>287.30786792948942</v>
      </c>
      <c r="R79" s="59">
        <f t="shared" si="55"/>
        <v>580.64120126282273</v>
      </c>
      <c r="S79" s="59">
        <f ca="1">AVERAGE(OFFSET($R$3,0,0,'Données projet'!$E$9+1,1))-AVERAGE(OFFSET($H$3,0,0,'Données projet'!$E$9+1,1))</f>
        <v>239.26156489359892</v>
      </c>
      <c r="T79" s="59">
        <f t="shared" si="88"/>
        <v>213.97034450798111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1.1548272753378614</v>
      </c>
      <c r="AA79" s="21">
        <f>EXP(-LN(2)/25)*AA78+(1-EXP(-LN(2)/25))/(LN(2)/25)*Calculateur!V79*Calculateur!X79*VLOOKUP('Données projet'!$B$9,Paramètres!$A$1:$I$89,3,0)*0.475*44/12</f>
        <v>16.064559713961707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17.219386989299569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8.0188888888888883</v>
      </c>
      <c r="AI79" s="13">
        <f>IF('Données projet'!$A$62&gt;35,AI78+AH79-AQ78,IF(A79&lt;'Données projet'!$A$62,$AF$205^A79,IF(A79='Données projet'!$A$62,'Données projet'!$B$62,AI78+AH79-AQ78)))</f>
        <v>219.61888888888919</v>
      </c>
      <c r="AJ79" s="13">
        <f>AI79*VLOOKUP('Données projet'!$B$10,Paramètres!$A$1:$I$89,3,0)*VLOOKUP('Données projet'!$B$10,Paramètres!$A$1:$I$89,5,0)</f>
        <v>222.69355333333365</v>
      </c>
      <c r="AK79" s="13">
        <f t="shared" si="89"/>
        <v>54.699900959073688</v>
      </c>
      <c r="AL79" s="20">
        <f t="shared" si="58"/>
        <v>483.12693289260943</v>
      </c>
      <c r="AM79" s="59">
        <f t="shared" si="59"/>
        <v>776.46026622594275</v>
      </c>
      <c r="AN79" s="59">
        <f ca="1">AVERAGE(OFFSET($AM$3,0,0,'Données projet'!$E$10+1,1))-AVERAGE(OFFSET($H$3,0,0,'Données projet'!$E$10+1,1))</f>
        <v>543.88440431478944</v>
      </c>
      <c r="AO79" s="59">
        <f t="shared" si="90"/>
        <v>342.63929463709457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19.750194344321613</v>
      </c>
      <c r="AV79" s="21">
        <f>EXP(-LN(2)/25)*AV78+(1-EXP(-LN(2)/25))/(LN(2)/25)*Calculateur!AQ79*Calculateur!AS79*VLOOKUP('Données projet'!$B$10,Paramètres!$A$1:$I$89,3,0)*0.475*44/12</f>
        <v>32.0033756391407</v>
      </c>
      <c r="AW79" s="21">
        <f>EXP(-LN(2)/2)*AW78+(1-EXP(-LN(2)/2))/(LN(2)/2)*AQ79*AT79*VLOOKUP('Données projet'!$B$10,Paramètres!$A$1:$I$89,3,0)*0.475*44/12</f>
        <v>3.1311673696513571</v>
      </c>
      <c r="AX79" s="21">
        <f t="shared" si="60"/>
        <v>54.884737353113671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6.7437500000000021</v>
      </c>
      <c r="BD79" s="12">
        <f>IF('Données projet'!$A$88&gt;35,BD78+BC79-BL78,IF(A79&lt;'Données projet'!$A$88,$BA$205^A79,IF(A79='Données projet'!$A$88,'Données projet'!$B$88,BD78+BC79-BL78)))</f>
        <v>195.77625000000003</v>
      </c>
      <c r="BE79" s="13">
        <f>BD79*VLOOKUP('Données projet'!$B$11,Paramètres!$A$1:$I$89,3,0)*VLOOKUP('Données projet'!$B$11,Paramètres!$A$1:$I$89,5,0)</f>
        <v>222.94999350000006</v>
      </c>
      <c r="BF79" s="13">
        <f t="shared" si="91"/>
        <v>54.755554340667125</v>
      </c>
      <c r="BG79" s="20">
        <f t="shared" si="61"/>
        <v>483.67049582249541</v>
      </c>
      <c r="BH79" s="59">
        <f t="shared" si="62"/>
        <v>777.00382915582873</v>
      </c>
      <c r="BI79" s="59">
        <f ca="1">AVERAGE(OFFSET($BH$3,0,0,'Données projet'!$E$11+1,1))-AVERAGE(OFFSET($H$3,0,0,'Données projet'!$E$11+1,1))</f>
        <v>593.28343396240075</v>
      </c>
      <c r="BJ79" s="59">
        <f t="shared" si="92"/>
        <v>289.66477662068695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35.170331342941132</v>
      </c>
      <c r="BR79" s="21">
        <f>EXP(-LN(2)/2)*BR78+(1-EXP(-LN(2)/2))/(LN(2)/2)*BL79*BO79*VLOOKUP('Données projet'!$B$11,Paramètres!$A$1:$I$89,3,0)*0.475*44/12</f>
        <v>0.86311604411197174</v>
      </c>
      <c r="BS79" s="22">
        <f t="shared" si="63"/>
        <v>36.033447387053101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9.4837500000000006</v>
      </c>
      <c r="BY79" s="12">
        <f>IF('Données projet'!$A$114&gt;35,BY78+BX79-CG78,IF(A79&lt;'Données projet'!$A$114,$BV$205^A79,IF(A79='Données projet'!$A$114,'Données projet'!$B$114,BY78+BX79-CG78)))</f>
        <v>239.72375</v>
      </c>
      <c r="BZ79" s="13">
        <f>BY79*VLOOKUP('Données projet'!$B$12,Paramètres!$A$1:$I$89,3,0)*VLOOKUP('Données projet'!$B$12,Paramètres!$A$1:$I$89,5,0)</f>
        <v>258.03864449999998</v>
      </c>
      <c r="CA79" s="13">
        <f t="shared" si="93"/>
        <v>62.304112150988615</v>
      </c>
      <c r="CB79" s="20">
        <f t="shared" si="64"/>
        <v>557.9303011671384</v>
      </c>
      <c r="CC79" s="59">
        <f t="shared" si="65"/>
        <v>851.26363450047165</v>
      </c>
      <c r="CD79" s="59">
        <f ca="1">AVERAGE(OFFSET($CC$3,0,0,'Données projet'!$E$12+1,1))-AVERAGE(OFFSET($H$3,0,0,'Données projet'!$E$12+1,1))</f>
        <v>502.65044103360322</v>
      </c>
      <c r="CE79" s="59">
        <f t="shared" si="94"/>
        <v>321.65762891855167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24.307414314011393</v>
      </c>
      <c r="CL79" s="21">
        <f>EXP(-LN(2)/25)*CL78+(1-EXP(-LN(2)/25))/(LN(2)/25)*Calculateur!CG79*Calculateur!CI79*VLOOKUP('Données projet'!$B$12,Paramètres!$A$1:$I$89,3,0)*0.475*44/12</f>
        <v>30.05201453148587</v>
      </c>
      <c r="CM79" s="21">
        <f>EXP(-LN(2)/2)*CM78+(1-EXP(-LN(2)/2))/(LN(2)/2)*CG79*CJ79*VLOOKUP('Données projet'!$B$12,Paramètres!$A$1:$I$89,3,0)*0.475*44/12</f>
        <v>3.3293953273638066</v>
      </c>
      <c r="CN79" s="22">
        <f t="shared" si="66"/>
        <v>57.688824172861068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2.0512820512820582</v>
      </c>
      <c r="N80" s="13">
        <f>IF('Données projet'!$A$36&gt;35,N79+M80-V79,IF(A80&lt;'Données projet'!$A$36,$K$205^A80,IF(A80='Données projet'!$A$36,'Données projet'!$B$36,N79+M80-V79)))</f>
        <v>127.17948717948713</v>
      </c>
      <c r="O80" s="13">
        <f>N80*VLOOKUP('Données projet'!$B$9,Paramètres!$A$1:$I$89,3,0)*VLOOKUP('Données projet'!$B$9,Paramètres!$A$1:$I$89,5,0)</f>
        <v>132.92799999999994</v>
      </c>
      <c r="P80" s="13">
        <f t="shared" si="87"/>
        <v>34.67205462685105</v>
      </c>
      <c r="Q80" s="20">
        <f t="shared" si="54"/>
        <v>291.90342847509879</v>
      </c>
      <c r="R80" s="59">
        <f t="shared" si="55"/>
        <v>585.23676180843211</v>
      </c>
      <c r="S80" s="59">
        <f ca="1">AVERAGE(OFFSET($R$3,0,0,'Données projet'!$E$9+1,1))-AVERAGE(OFFSET($H$3,0,0,'Données projet'!$E$9+1,1))</f>
        <v>239.26156489359892</v>
      </c>
      <c r="T80" s="59">
        <f t="shared" si="88"/>
        <v>213.97034450798111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1.1321818168435727</v>
      </c>
      <c r="AA80" s="21">
        <f>EXP(-LN(2)/25)*AA79+(1-EXP(-LN(2)/25))/(LN(2)/25)*Calculateur!V80*Calculateur!X80*VLOOKUP('Données projet'!$B$9,Paramètres!$A$1:$I$89,3,0)*0.475*44/12</f>
        <v>15.625273483784945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16.757455300628518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8.0188888888888883</v>
      </c>
      <c r="AI80" s="13">
        <f>IF('Données projet'!$A$62&gt;35,AI79+AH80-AQ79,IF(A80&lt;'Données projet'!$A$62,$AF$205^A80,IF(A80='Données projet'!$A$62,'Données projet'!$B$62,AI79+AH80-AQ79)))</f>
        <v>227.63777777777807</v>
      </c>
      <c r="AJ80" s="13">
        <f>AI80*VLOOKUP('Données projet'!$B$10,Paramètres!$A$1:$I$89,3,0)*VLOOKUP('Données projet'!$B$10,Paramètres!$A$1:$I$89,5,0)</f>
        <v>230.824706666667</v>
      </c>
      <c r="AK80" s="13">
        <f t="shared" si="89"/>
        <v>56.460965230498672</v>
      </c>
      <c r="AL80" s="20">
        <f t="shared" si="58"/>
        <v>500.35587855423017</v>
      </c>
      <c r="AM80" s="59">
        <f t="shared" si="59"/>
        <v>793.68921188756349</v>
      </c>
      <c r="AN80" s="59">
        <f ca="1">AVERAGE(OFFSET($AM$3,0,0,'Données projet'!$E$10+1,1))-AVERAGE(OFFSET($H$3,0,0,'Données projet'!$E$10+1,1))</f>
        <v>543.88440431478944</v>
      </c>
      <c r="AO80" s="59">
        <f t="shared" si="90"/>
        <v>342.63929463709457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19.362905079658532</v>
      </c>
      <c r="AV80" s="21">
        <f>EXP(-LN(2)/25)*AV79+(1-EXP(-LN(2)/25))/(LN(2)/25)*Calculateur!AQ80*Calculateur!AS80*VLOOKUP('Données projet'!$B$10,Paramètres!$A$1:$I$89,3,0)*0.475*44/12</f>
        <v>31.128241649304016</v>
      </c>
      <c r="AW80" s="21">
        <f>EXP(-LN(2)/2)*AW79+(1-EXP(-LN(2)/2))/(LN(2)/2)*AQ80*AT80*VLOOKUP('Données projet'!$B$10,Paramètres!$A$1:$I$89,3,0)*0.475*44/12</f>
        <v>2.2140696801105197</v>
      </c>
      <c r="AX80" s="21">
        <f t="shared" si="60"/>
        <v>52.705216409073067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>
        <f>VLOOKUP(A80,'Données projet'!$A$87:$I$107,2,0)</f>
        <v>202.52</v>
      </c>
      <c r="BB80" s="12">
        <f>VLOOKUP(A80,'Données projet'!$A$87:$I$107,9,0)</f>
        <v>6.7437500000000021</v>
      </c>
      <c r="BC80" s="12">
        <f t="array" ref="BC80">INDEX(BB:BB,MIN(IF(ISNUMBER(BB80:BB276),ROW(BB80:BB276),"")))</f>
        <v>6.7437500000000021</v>
      </c>
      <c r="BD80" s="12">
        <f>IF('Données projet'!$A$88&gt;35,BD79+BC80-BL79,IF(A80&lt;'Données projet'!$A$88,$BA$205^A80,IF(A80='Données projet'!$A$88,'Données projet'!$B$88,BD79+BC80-BL79)))</f>
        <v>202.52000000000004</v>
      </c>
      <c r="BE80" s="13">
        <f>BD80*VLOOKUP('Données projet'!$B$11,Paramètres!$A$1:$I$89,3,0)*VLOOKUP('Données projet'!$B$11,Paramètres!$A$1:$I$89,5,0)</f>
        <v>230.62977600000005</v>
      </c>
      <c r="BF80" s="13">
        <f t="shared" si="91"/>
        <v>56.418832148072731</v>
      </c>
      <c r="BG80" s="20">
        <f t="shared" si="61"/>
        <v>499.94299252456011</v>
      </c>
      <c r="BH80" s="59">
        <f t="shared" si="62"/>
        <v>793.27632585789343</v>
      </c>
      <c r="BI80" s="59">
        <f ca="1">AVERAGE(OFFSET($BH$3,0,0,'Données projet'!$E$11+1,1))-AVERAGE(OFFSET($H$3,0,0,'Données projet'!$E$11+1,1))</f>
        <v>593.28343396240075</v>
      </c>
      <c r="BJ80" s="59">
        <f t="shared" si="92"/>
        <v>289.66477662068695</v>
      </c>
      <c r="BK80" s="15">
        <f>IF(ISNA(VLOOKUP(A80,'Données projet'!$A$87:$I$107,3,0)),0,VLOOKUP(A80,'Données projet'!$A$87:$I$107,3,0))</f>
        <v>3</v>
      </c>
      <c r="BL80" s="15">
        <f>IF(ISNA(VLOOKUP(A80,'Données projet'!$A$87:$I$107,4,0)),0,VLOOKUP(A80,'Données projet'!$A$87:$I$107,4,0))</f>
        <v>33.950000000000017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0.34400000000000003</v>
      </c>
      <c r="BO80" s="16">
        <f>IF(ISNA(VLOOKUP(A80,'Données projet'!$A$87:$I$107,7,0)),0%,VLOOKUP(A80,'Données projet'!$A$87:$I$107,7,0))</f>
        <v>0.2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48.853261457828687</v>
      </c>
      <c r="BR80" s="21">
        <f>EXP(-LN(2)/2)*BR79+(1-EXP(-LN(2)/2))/(LN(2)/2)*BL80*BO80*VLOOKUP('Données projet'!$B$11,Paramètres!$A$1:$I$89,3,0)*0.475*44/12</f>
        <v>7.9060917856367512</v>
      </c>
      <c r="BS80" s="22">
        <f t="shared" si="63"/>
        <v>56.759353243465441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9.4837500000000006</v>
      </c>
      <c r="BY80" s="12">
        <f>IF('Données projet'!$A$114&gt;35,BY79+BX80-CG79,IF(A80&lt;'Données projet'!$A$114,$BV$205^A80,IF(A80='Données projet'!$A$114,'Données projet'!$B$114,BY79+BX80-CG79)))</f>
        <v>249.20749999999998</v>
      </c>
      <c r="BZ80" s="13">
        <f>BY80*VLOOKUP('Données projet'!$B$12,Paramètres!$A$1:$I$89,3,0)*VLOOKUP('Données projet'!$B$12,Paramètres!$A$1:$I$89,5,0)</f>
        <v>268.24695299999996</v>
      </c>
      <c r="CA80" s="13">
        <f t="shared" si="93"/>
        <v>64.477087543228862</v>
      </c>
      <c r="CB80" s="20">
        <f t="shared" si="64"/>
        <v>579.49437061279025</v>
      </c>
      <c r="CC80" s="59">
        <f t="shared" si="65"/>
        <v>872.82770394612362</v>
      </c>
      <c r="CD80" s="59">
        <f ca="1">AVERAGE(OFFSET($CC$3,0,0,'Données projet'!$E$12+1,1))-AVERAGE(OFFSET($H$3,0,0,'Données projet'!$E$12+1,1))</f>
        <v>502.65044103360322</v>
      </c>
      <c r="CE80" s="59">
        <f t="shared" si="94"/>
        <v>321.65762891855167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23.830760745372409</v>
      </c>
      <c r="CL80" s="21">
        <f>EXP(-LN(2)/25)*CL79+(1-EXP(-LN(2)/25))/(LN(2)/25)*Calculateur!CG80*Calculateur!CI80*VLOOKUP('Données projet'!$B$12,Paramètres!$A$1:$I$89,3,0)*0.475*44/12</f>
        <v>29.23024061375563</v>
      </c>
      <c r="CM80" s="21">
        <f>EXP(-LN(2)/2)*CM79+(1-EXP(-LN(2)/2))/(LN(2)/2)*CG80*CJ80*VLOOKUP('Données projet'!$B$12,Paramètres!$A$1:$I$89,3,0)*0.475*44/12</f>
        <v>2.3542380132297533</v>
      </c>
      <c r="CN80" s="22">
        <f t="shared" si="66"/>
        <v>55.415239372357796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2.0512820512820582</v>
      </c>
      <c r="N81" s="13">
        <f>IF('Données projet'!$A$36&gt;35,N80+M81-V80,IF(A81&lt;'Données projet'!$A$36,$K$205^A81,IF(A81='Données projet'!$A$36,'Données projet'!$B$36,N80+M81-V80)))</f>
        <v>129.23076923076917</v>
      </c>
      <c r="O81" s="13">
        <f>N81*VLOOKUP('Données projet'!$B$9,Paramètres!$A$1:$I$89,3,0)*VLOOKUP('Données projet'!$B$9,Paramètres!$A$1:$I$89,5,0)</f>
        <v>135.07199999999995</v>
      </c>
      <c r="P81" s="13">
        <f t="shared" si="87"/>
        <v>35.165726241361632</v>
      </c>
      <c r="Q81" s="20">
        <f t="shared" si="54"/>
        <v>296.49737320370468</v>
      </c>
      <c r="R81" s="59">
        <f t="shared" si="55"/>
        <v>589.83070653703794</v>
      </c>
      <c r="S81" s="59">
        <f ca="1">AVERAGE(OFFSET($R$3,0,0,'Données projet'!$E$9+1,1))-AVERAGE(OFFSET($H$3,0,0,'Données projet'!$E$9+1,1))</f>
        <v>239.26156489359892</v>
      </c>
      <c r="T81" s="59">
        <f t="shared" si="88"/>
        <v>213.97034450798111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1.1099804219779912</v>
      </c>
      <c r="AA81" s="21">
        <f>EXP(-LN(2)/25)*AA80+(1-EXP(-LN(2)/25))/(LN(2)/25)*Calculateur!V81*Calculateur!X81*VLOOKUP('Données projet'!$B$9,Paramètres!$A$1:$I$89,3,0)*0.475*44/12</f>
        <v>15.197999558673425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16.307979980651417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8.0188888888888883</v>
      </c>
      <c r="AI81" s="13">
        <f>IF('Données projet'!$A$62&gt;35,AI80+AH81-AQ80,IF(A81&lt;'Données projet'!$A$62,$AF$205^A81,IF(A81='Données projet'!$A$62,'Données projet'!$B$62,AI80+AH81-AQ80)))</f>
        <v>235.65666666666695</v>
      </c>
      <c r="AJ81" s="13">
        <f>AI81*VLOOKUP('Données projet'!$B$10,Paramètres!$A$1:$I$89,3,0)*VLOOKUP('Données projet'!$B$10,Paramètres!$A$1:$I$89,5,0)</f>
        <v>238.95586000000029</v>
      </c>
      <c r="AK81" s="13">
        <f t="shared" si="89"/>
        <v>58.214821699768784</v>
      </c>
      <c r="AL81" s="20">
        <f t="shared" si="58"/>
        <v>517.57227062709774</v>
      </c>
      <c r="AM81" s="59">
        <f t="shared" si="59"/>
        <v>810.90560396043111</v>
      </c>
      <c r="AN81" s="59">
        <f ca="1">AVERAGE(OFFSET($AM$3,0,0,'Données projet'!$E$10+1,1))-AVERAGE(OFFSET($H$3,0,0,'Données projet'!$E$10+1,1))</f>
        <v>543.88440431478944</v>
      </c>
      <c r="AO81" s="59">
        <f t="shared" si="90"/>
        <v>342.63929463709457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18.983210321252365</v>
      </c>
      <c r="AV81" s="21">
        <f>EXP(-LN(2)/25)*AV80+(1-EXP(-LN(2)/25))/(LN(2)/25)*Calculateur!AQ81*Calculateur!AS81*VLOOKUP('Données projet'!$B$10,Paramètres!$A$1:$I$89,3,0)*0.475*44/12</f>
        <v>30.277038244440714</v>
      </c>
      <c r="AW81" s="21">
        <f>EXP(-LN(2)/2)*AW80+(1-EXP(-LN(2)/2))/(LN(2)/2)*AQ81*AT81*VLOOKUP('Données projet'!$B$10,Paramètres!$A$1:$I$89,3,0)*0.475*44/12</f>
        <v>1.5655836848256786</v>
      </c>
      <c r="AX81" s="21">
        <f t="shared" si="60"/>
        <v>50.825832250518751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6.7444444444444462</v>
      </c>
      <c r="BD81" s="12">
        <f>IF('Données projet'!$A$88&gt;35,BD80+BC81-BL80,IF(A81&lt;'Données projet'!$A$88,$BA$205^A81,IF(A81='Données projet'!$A$88,'Données projet'!$B$88,BD80+BC81-BL80)))</f>
        <v>175.31444444444446</v>
      </c>
      <c r="BE81" s="13">
        <f>BD81*VLOOKUP('Données projet'!$B$11,Paramètres!$A$1:$I$89,3,0)*VLOOKUP('Données projet'!$B$11,Paramètres!$A$1:$I$89,5,0)</f>
        <v>199.64808933333336</v>
      </c>
      <c r="BF81" s="13">
        <f t="shared" si="91"/>
        <v>49.666820486925445</v>
      </c>
      <c r="BG81" s="20">
        <f t="shared" si="61"/>
        <v>434.22346793695078</v>
      </c>
      <c r="BH81" s="59">
        <f t="shared" si="62"/>
        <v>727.55680127028404</v>
      </c>
      <c r="BI81" s="59">
        <f ca="1">AVERAGE(OFFSET($BH$3,0,0,'Données projet'!$E$11+1,1))-AVERAGE(OFFSET($H$3,0,0,'Données projet'!$E$11+1,1))</f>
        <v>593.28343396240075</v>
      </c>
      <c r="BJ81" s="59">
        <f t="shared" si="92"/>
        <v>289.66477662068695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47.517366454182998</v>
      </c>
      <c r="BR81" s="21">
        <f>EXP(-LN(2)/2)*BR80+(1-EXP(-LN(2)/2))/(LN(2)/2)*BL81*BO81*VLOOKUP('Données projet'!$B$11,Paramètres!$A$1:$I$89,3,0)*0.475*44/12</f>
        <v>5.5904511143070073</v>
      </c>
      <c r="BS81" s="22">
        <f t="shared" si="63"/>
        <v>53.107817568490006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9.4837500000000006</v>
      </c>
      <c r="BY81" s="12">
        <f>IF('Données projet'!$A$114&gt;35,BY80+BX81-CG80,IF(A81&lt;'Données projet'!$A$114,$BV$205^A81,IF(A81='Données projet'!$A$114,'Données projet'!$B$114,BY80+BX81-CG80)))</f>
        <v>258.69124999999997</v>
      </c>
      <c r="BZ81" s="13">
        <f>BY81*VLOOKUP('Données projet'!$B$12,Paramètres!$A$1:$I$89,3,0)*VLOOKUP('Données projet'!$B$12,Paramètres!$A$1:$I$89,5,0)</f>
        <v>278.45526149999995</v>
      </c>
      <c r="CA81" s="13">
        <f t="shared" si="93"/>
        <v>66.640456196836567</v>
      </c>
      <c r="CB81" s="20">
        <f t="shared" si="64"/>
        <v>601.0417083219902</v>
      </c>
      <c r="CC81" s="59">
        <f t="shared" si="65"/>
        <v>894.37504165532346</v>
      </c>
      <c r="CD81" s="59">
        <f ca="1">AVERAGE(OFFSET($CC$3,0,0,'Données projet'!$E$12+1,1))-AVERAGE(OFFSET($H$3,0,0,'Données projet'!$E$12+1,1))</f>
        <v>502.65044103360322</v>
      </c>
      <c r="CE81" s="59">
        <f t="shared" si="94"/>
        <v>321.65762891855167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23.363454062484465</v>
      </c>
      <c r="CL81" s="21">
        <f>EXP(-LN(2)/25)*CL80+(1-EXP(-LN(2)/25))/(LN(2)/25)*Calculateur!CG81*Calculateur!CI81*VLOOKUP('Données projet'!$B$12,Paramètres!$A$1:$I$89,3,0)*0.475*44/12</f>
        <v>28.430938147020935</v>
      </c>
      <c r="CM81" s="21">
        <f>EXP(-LN(2)/2)*CM80+(1-EXP(-LN(2)/2))/(LN(2)/2)*CG81*CJ81*VLOOKUP('Données projet'!$B$12,Paramètres!$A$1:$I$89,3,0)*0.475*44/12</f>
        <v>1.6646976636819037</v>
      </c>
      <c r="CN81" s="22">
        <f t="shared" si="66"/>
        <v>53.45908987318731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2.0512820512820582</v>
      </c>
      <c r="N82" s="13">
        <f>IF('Données projet'!$A$36&gt;35,N81+M82-V81,IF(A82&lt;'Données projet'!$A$36,$K$205^A82,IF(A82='Données projet'!$A$36,'Données projet'!$B$36,N81+M82-V81)))</f>
        <v>131.28205128205121</v>
      </c>
      <c r="O82" s="13">
        <f>N82*VLOOKUP('Données projet'!$B$9,Paramètres!$A$1:$I$89,3,0)*VLOOKUP('Données projet'!$B$9,Paramètres!$A$1:$I$89,5,0)</f>
        <v>137.21599999999995</v>
      </c>
      <c r="P82" s="13">
        <f t="shared" si="87"/>
        <v>35.658486540437423</v>
      </c>
      <c r="Q82" s="20">
        <f t="shared" si="54"/>
        <v>301.08973072459509</v>
      </c>
      <c r="R82" s="59">
        <f t="shared" si="55"/>
        <v>594.4230640579284</v>
      </c>
      <c r="S82" s="59">
        <f ca="1">AVERAGE(OFFSET($R$3,0,0,'Données projet'!$E$9+1,1))-AVERAGE(OFFSET($H$3,0,0,'Données projet'!$E$9+1,1))</f>
        <v>239.26156489359892</v>
      </c>
      <c r="T82" s="59">
        <f t="shared" si="88"/>
        <v>213.97034450798111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1.0882143829242099</v>
      </c>
      <c r="AA82" s="21">
        <f>EXP(-LN(2)/25)*AA81+(1-EXP(-LN(2)/25))/(LN(2)/25)*Calculateur!V82*Calculateur!X82*VLOOKUP('Données projet'!$B$9,Paramètres!$A$1:$I$89,3,0)*0.475*44/12</f>
        <v>14.782409461513438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15.870623844437649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8.0188888888888883</v>
      </c>
      <c r="AI82" s="13">
        <f>IF('Données projet'!$A$62&gt;35,AI81+AH82-AQ81,IF(A82&lt;'Données projet'!$A$62,$AF$205^A82,IF(A82='Données projet'!$A$62,'Données projet'!$B$62,AI81+AH82-AQ81)))</f>
        <v>243.67555555555583</v>
      </c>
      <c r="AJ82" s="13">
        <f>AI82*VLOOKUP('Données projet'!$B$10,Paramètres!$A$1:$I$89,3,0)*VLOOKUP('Données projet'!$B$10,Paramètres!$A$1:$I$89,5,0)</f>
        <v>247.08701333333363</v>
      </c>
      <c r="AK82" s="13">
        <f t="shared" si="89"/>
        <v>59.961743747472326</v>
      </c>
      <c r="AL82" s="20">
        <f t="shared" si="58"/>
        <v>534.77658524907031</v>
      </c>
      <c r="AM82" s="59">
        <f t="shared" si="59"/>
        <v>828.10991858240368</v>
      </c>
      <c r="AN82" s="59">
        <f ca="1">AVERAGE(OFFSET($AM$3,0,0,'Données projet'!$E$10+1,1))-AVERAGE(OFFSET($H$3,0,0,'Données projet'!$E$10+1,1))</f>
        <v>543.88440431478944</v>
      </c>
      <c r="AO82" s="59">
        <f t="shared" si="90"/>
        <v>342.63929463709457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18.610961145467609</v>
      </c>
      <c r="AV82" s="21">
        <f>EXP(-LN(2)/25)*AV81+(1-EXP(-LN(2)/25))/(LN(2)/25)*Calculateur!AQ82*Calculateur!AS82*VLOOKUP('Données projet'!$B$10,Paramètres!$A$1:$I$89,3,0)*0.475*44/12</f>
        <v>29.44911104144624</v>
      </c>
      <c r="AW82" s="21">
        <f>EXP(-LN(2)/2)*AW81+(1-EXP(-LN(2)/2))/(LN(2)/2)*AQ82*AT82*VLOOKUP('Données projet'!$B$10,Paramètres!$A$1:$I$89,3,0)*0.475*44/12</f>
        <v>1.1070348400552599</v>
      </c>
      <c r="AX82" s="21">
        <f t="shared" si="60"/>
        <v>49.167107026969113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6.7444444444444462</v>
      </c>
      <c r="BD82" s="12">
        <f>IF('Données projet'!$A$88&gt;35,BD81+BC82-BL81,IF(A82&lt;'Données projet'!$A$88,$BA$205^A82,IF(A82='Données projet'!$A$88,'Données projet'!$B$88,BD81+BC82-BL81)))</f>
        <v>182.0588888888889</v>
      </c>
      <c r="BE82" s="13">
        <f>BD82*VLOOKUP('Données projet'!$B$11,Paramètres!$A$1:$I$89,3,0)*VLOOKUP('Données projet'!$B$11,Paramètres!$A$1:$I$89,5,0)</f>
        <v>207.3286626666667</v>
      </c>
      <c r="BF82" s="13">
        <f t="shared" si="91"/>
        <v>51.351397043436535</v>
      </c>
      <c r="BG82" s="20">
        <f t="shared" si="61"/>
        <v>450.53443732842976</v>
      </c>
      <c r="BH82" s="59">
        <f t="shared" si="62"/>
        <v>743.86777066176307</v>
      </c>
      <c r="BI82" s="59">
        <f ca="1">AVERAGE(OFFSET($BH$3,0,0,'Données projet'!$E$11+1,1))-AVERAGE(OFFSET($H$3,0,0,'Données projet'!$E$11+1,1))</f>
        <v>593.28343396240075</v>
      </c>
      <c r="BJ82" s="59">
        <f t="shared" si="92"/>
        <v>289.66477662068695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46.218001569663663</v>
      </c>
      <c r="BR82" s="21">
        <f>EXP(-LN(2)/2)*BR81+(1-EXP(-LN(2)/2))/(LN(2)/2)*BL82*BO82*VLOOKUP('Données projet'!$B$11,Paramètres!$A$1:$I$89,3,0)*0.475*44/12</f>
        <v>3.953045892818376</v>
      </c>
      <c r="BS82" s="22">
        <f t="shared" si="63"/>
        <v>50.171047462482036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9.4837500000000006</v>
      </c>
      <c r="BY82" s="12">
        <f>IF('Données projet'!$A$114&gt;35,BY81+BX82-CG81,IF(A82&lt;'Données projet'!$A$114,$BV$205^A82,IF(A82='Données projet'!$A$114,'Données projet'!$B$114,BY81+BX82-CG81)))</f>
        <v>268.17499999999995</v>
      </c>
      <c r="BZ82" s="13">
        <f>BY82*VLOOKUP('Données projet'!$B$12,Paramètres!$A$1:$I$89,3,0)*VLOOKUP('Données projet'!$B$12,Paramètres!$A$1:$I$89,5,0)</f>
        <v>288.66356999999994</v>
      </c>
      <c r="CA82" s="13">
        <f t="shared" si="93"/>
        <v>68.794610635457303</v>
      </c>
      <c r="CB82" s="20">
        <f t="shared" si="64"/>
        <v>622.57299794008793</v>
      </c>
      <c r="CC82" s="59">
        <f t="shared" si="65"/>
        <v>915.9063312734213</v>
      </c>
      <c r="CD82" s="59">
        <f ca="1">AVERAGE(OFFSET($CC$3,0,0,'Données projet'!$E$12+1,1))-AVERAGE(OFFSET($H$3,0,0,'Données projet'!$E$12+1,1))</f>
        <v>502.65044103360322</v>
      </c>
      <c r="CE82" s="59">
        <f t="shared" si="94"/>
        <v>321.65762891855167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22.905310978619021</v>
      </c>
      <c r="CL82" s="21">
        <f>EXP(-LN(2)/25)*CL81+(1-EXP(-LN(2)/25))/(LN(2)/25)*Calculateur!CG82*Calculateur!CI82*VLOOKUP('Données projet'!$B$12,Paramètres!$A$1:$I$89,3,0)*0.475*44/12</f>
        <v>27.653492648272589</v>
      </c>
      <c r="CM82" s="21">
        <f>EXP(-LN(2)/2)*CM81+(1-EXP(-LN(2)/2))/(LN(2)/2)*CG82*CJ82*VLOOKUP('Données projet'!$B$12,Paramètres!$A$1:$I$89,3,0)*0.475*44/12</f>
        <v>1.1771190066148769</v>
      </c>
      <c r="CN82" s="22">
        <f t="shared" si="66"/>
        <v>51.73592263350649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133.33333333333334</v>
      </c>
      <c r="L83" s="12">
        <f>VLOOKUP(A83,'Données projet'!$A$35:$I$55,9,0)</f>
        <v>2.0512820512820582</v>
      </c>
      <c r="M83" s="12">
        <f t="array" ref="M83">INDEX(L:L,MIN(IF(ISNUMBER(L83:L279),ROW(L83:L279),"")))</f>
        <v>2.0512820512820582</v>
      </c>
      <c r="N83" s="13">
        <f>IF('Données projet'!$A$36&gt;35,N82+M83-V82,IF(A83&lt;'Données projet'!$A$36,$K$205^A83,IF(A83='Données projet'!$A$36,'Données projet'!$B$36,N82+M83-V82)))</f>
        <v>133.33333333333326</v>
      </c>
      <c r="O83" s="13">
        <f>N83*VLOOKUP('Données projet'!$B$9,Paramètres!$A$1:$I$89,3,0)*VLOOKUP('Données projet'!$B$9,Paramètres!$A$1:$I$89,5,0)</f>
        <v>139.35999999999993</v>
      </c>
      <c r="P83" s="13">
        <f t="shared" si="87"/>
        <v>36.150351407691339</v>
      </c>
      <c r="Q83" s="20">
        <f t="shared" si="54"/>
        <v>305.68052870172897</v>
      </c>
      <c r="R83" s="59">
        <f t="shared" si="55"/>
        <v>599.01386203506229</v>
      </c>
      <c r="S83" s="59">
        <f ca="1">AVERAGE(OFFSET($R$3,0,0,'Données projet'!$E$9+1,1))-AVERAGE(OFFSET($H$3,0,0,'Données projet'!$E$9+1,1))</f>
        <v>239.26156489359892</v>
      </c>
      <c r="T83" s="59">
        <f t="shared" si="88"/>
        <v>213.97034450798111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7.0512820512820511</v>
      </c>
      <c r="W83" s="16">
        <f>IF(ISNA(VLOOKUP(A83,'Données projet'!$A$35:$I$55,5,0)),0%,VLOOKUP(A83,'Données projet'!$A$35:$I$55,5,0)*VLOOKUP('Données projet'!$B$9,Paramètres!$A$1:$I$89,7,0))</f>
        <v>4.3000000000000003E-2</v>
      </c>
      <c r="X83" s="16">
        <f>IF(ISNA(VLOOKUP(A83,'Données projet'!$A$35:$I$55,6,0)),0%,VLOOKUP(A83,'Données projet'!$A$35:$I$55,6,0)*VLOOKUP('Données projet'!$B$9,Paramètres!$A$1:$I$89,7,0))</f>
        <v>0.215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1.4172097805980877</v>
      </c>
      <c r="AA83" s="21">
        <f>EXP(-LN(2)/25)*AA82+(1-EXP(-LN(2)/25))/(LN(2)/25)*Calculateur!V83*Calculateur!X83*VLOOKUP('Données projet'!$B$9,Paramètres!$A$1:$I$89,3,0)*0.475*44/12</f>
        <v>16.122959782909497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17.540169563507586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8.0188888888888883</v>
      </c>
      <c r="AI83" s="13">
        <f>IF('Données projet'!$A$62&gt;35,AI82+AH83-AQ82,IF(A83&lt;'Données projet'!$A$62,$AF$205^A83,IF(A83='Données projet'!$A$62,'Données projet'!$B$62,AI82+AH83-AQ82)))</f>
        <v>251.69444444444471</v>
      </c>
      <c r="AJ83" s="13">
        <f>AI83*VLOOKUP('Données projet'!$B$10,Paramètres!$A$1:$I$89,3,0)*VLOOKUP('Données projet'!$B$10,Paramètres!$A$1:$I$89,5,0)</f>
        <v>255.21816666666695</v>
      </c>
      <c r="AK83" s="13">
        <f t="shared" si="89"/>
        <v>61.701985740155273</v>
      </c>
      <c r="AL83" s="20">
        <f t="shared" si="58"/>
        <v>551.96926544188204</v>
      </c>
      <c r="AM83" s="59">
        <f t="shared" si="59"/>
        <v>845.3025987752153</v>
      </c>
      <c r="AN83" s="59">
        <f ca="1">AVERAGE(OFFSET($AM$3,0,0,'Données projet'!$E$10+1,1))-AVERAGE(OFFSET($H$3,0,0,'Données projet'!$E$10+1,1))</f>
        <v>543.88440431478944</v>
      </c>
      <c r="AO83" s="59">
        <f t="shared" si="90"/>
        <v>342.63929463709457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18.246011548970415</v>
      </c>
      <c r="AV83" s="21">
        <f>EXP(-LN(2)/25)*AV82+(1-EXP(-LN(2)/25))/(LN(2)/25)*Calculateur!AQ83*Calculateur!AS83*VLOOKUP('Données projet'!$B$10,Paramètres!$A$1:$I$89,3,0)*0.475*44/12</f>
        <v>28.643823551356451</v>
      </c>
      <c r="AW83" s="21">
        <f>EXP(-LN(2)/2)*AW82+(1-EXP(-LN(2)/2))/(LN(2)/2)*AQ83*AT83*VLOOKUP('Données projet'!$B$10,Paramètres!$A$1:$I$89,3,0)*0.475*44/12</f>
        <v>0.78279184241283928</v>
      </c>
      <c r="AX83" s="21">
        <f t="shared" si="60"/>
        <v>47.672626942739704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6.7444444444444462</v>
      </c>
      <c r="BD83" s="12">
        <f>IF('Données projet'!$A$88&gt;35,BD82+BC83-BL82,IF(A83&lt;'Données projet'!$A$88,$BA$205^A83,IF(A83='Données projet'!$A$88,'Données projet'!$B$88,BD82+BC83-BL82)))</f>
        <v>188.80333333333334</v>
      </c>
      <c r="BE83" s="13">
        <f>BD83*VLOOKUP('Données projet'!$B$11,Paramètres!$A$1:$I$89,3,0)*VLOOKUP('Données projet'!$B$11,Paramètres!$A$1:$I$89,5,0)</f>
        <v>215.00923600000002</v>
      </c>
      <c r="BF83" s="13">
        <f t="shared" si="91"/>
        <v>53.028723450763223</v>
      </c>
      <c r="BG83" s="20">
        <f t="shared" si="61"/>
        <v>466.83277937674598</v>
      </c>
      <c r="BH83" s="59">
        <f t="shared" si="62"/>
        <v>760.16611271007923</v>
      </c>
      <c r="BI83" s="59">
        <f ca="1">AVERAGE(OFFSET($BH$3,0,0,'Données projet'!$E$11+1,1))-AVERAGE(OFFSET($H$3,0,0,'Données projet'!$E$11+1,1))</f>
        <v>593.28343396240075</v>
      </c>
      <c r="BJ83" s="59">
        <f t="shared" si="92"/>
        <v>289.66477662068695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44.954167886242139</v>
      </c>
      <c r="BR83" s="21">
        <f>EXP(-LN(2)/2)*BR82+(1-EXP(-LN(2)/2))/(LN(2)/2)*BL83*BO83*VLOOKUP('Données projet'!$B$11,Paramètres!$A$1:$I$89,3,0)*0.475*44/12</f>
        <v>2.7952255571535041</v>
      </c>
      <c r="BS83" s="22">
        <f t="shared" si="63"/>
        <v>47.749393443395647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9.4837500000000006</v>
      </c>
      <c r="BY83" s="12">
        <f>IF('Données projet'!$A$114&gt;35,BY82+BX83-CG82,IF(A83&lt;'Données projet'!$A$114,$BV$205^A83,IF(A83='Données projet'!$A$114,'Données projet'!$B$114,BY82+BX83-CG82)))</f>
        <v>277.65874999999994</v>
      </c>
      <c r="BZ83" s="13">
        <f>BY83*VLOOKUP('Données projet'!$B$12,Paramètres!$A$1:$I$89,3,0)*VLOOKUP('Données projet'!$B$12,Paramètres!$A$1:$I$89,5,0)</f>
        <v>298.87187849999992</v>
      </c>
      <c r="CA83" s="13">
        <f t="shared" si="93"/>
        <v>70.939914046272307</v>
      </c>
      <c r="CB83" s="20">
        <f t="shared" si="64"/>
        <v>644.08887201809068</v>
      </c>
      <c r="CC83" s="59">
        <f t="shared" si="65"/>
        <v>937.42220535142405</v>
      </c>
      <c r="CD83" s="59">
        <f ca="1">AVERAGE(OFFSET($CC$3,0,0,'Données projet'!$E$12+1,1))-AVERAGE(OFFSET($H$3,0,0,'Données projet'!$E$12+1,1))</f>
        <v>502.65044103360322</v>
      </c>
      <c r="CE83" s="59">
        <f t="shared" si="94"/>
        <v>321.65762891855167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22.45615180118849</v>
      </c>
      <c r="CL83" s="21">
        <f>EXP(-LN(2)/25)*CL82+(1-EXP(-LN(2)/25))/(LN(2)/25)*Calculateur!CG83*Calculateur!CI83*VLOOKUP('Données projet'!$B$12,Paramètres!$A$1:$I$89,3,0)*0.475*44/12</f>
        <v>26.897306437571601</v>
      </c>
      <c r="CM83" s="21">
        <f>EXP(-LN(2)/2)*CM82+(1-EXP(-LN(2)/2))/(LN(2)/2)*CG83*CJ83*VLOOKUP('Données projet'!$B$12,Paramètres!$A$1:$I$89,3,0)*0.475*44/12</f>
        <v>0.83234883184095199</v>
      </c>
      <c r="CN83" s="22">
        <f t="shared" si="66"/>
        <v>50.185807070601044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1.7948717948717898</v>
      </c>
      <c r="N84" s="13">
        <f>IF('Données projet'!$A$36&gt;35,N83+M84-V83,IF(A84&lt;'Données projet'!$A$36,$K$205^A84,IF(A84='Données projet'!$A$36,'Données projet'!$B$36,N83+M84-V83)))</f>
        <v>128.07692307692301</v>
      </c>
      <c r="O84" s="13">
        <f>N84*VLOOKUP('Données projet'!$B$9,Paramètres!$A$1:$I$89,3,0)*VLOOKUP('Données projet'!$B$9,Paramètres!$A$1:$I$89,5,0)</f>
        <v>133.86599999999993</v>
      </c>
      <c r="P84" s="13">
        <f t="shared" si="87"/>
        <v>34.888149132612561</v>
      </c>
      <c r="Q84" s="20">
        <f t="shared" si="54"/>
        <v>293.91347640596678</v>
      </c>
      <c r="R84" s="59">
        <f t="shared" si="55"/>
        <v>587.24680973930003</v>
      </c>
      <c r="S84" s="59">
        <f ca="1">AVERAGE(OFFSET($R$3,0,0,'Données projet'!$E$9+1,1))-AVERAGE(OFFSET($H$3,0,0,'Données projet'!$E$9+1,1))</f>
        <v>239.26156489359892</v>
      </c>
      <c r="T84" s="59">
        <f t="shared" si="88"/>
        <v>213.97034450798111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1.3894191612131717</v>
      </c>
      <c r="AA84" s="21">
        <f>EXP(-LN(2)/25)*AA83+(1-EXP(-LN(2)/25))/(LN(2)/25)*Calculateur!V84*Calculateur!X84*VLOOKUP('Données projet'!$B$9,Paramètres!$A$1:$I$89,3,0)*0.475*44/12</f>
        <v>15.682076599776231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17.071495760989404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8.0188888888888883</v>
      </c>
      <c r="AI84" s="13">
        <f>IF('Données projet'!$A$62&gt;35,AI83+AH84-AQ83,IF(A84&lt;'Données projet'!$A$62,$AF$205^A84,IF(A84='Données projet'!$A$62,'Données projet'!$B$62,AI83+AH84-AQ83)))</f>
        <v>259.71333333333359</v>
      </c>
      <c r="AJ84" s="13">
        <f>AI84*VLOOKUP('Données projet'!$B$10,Paramètres!$A$1:$I$89,3,0)*VLOOKUP('Données projet'!$B$10,Paramètres!$A$1:$I$89,5,0)</f>
        <v>263.34932000000032</v>
      </c>
      <c r="AK84" s="13">
        <f t="shared" si="89"/>
        <v>63.435784915979205</v>
      </c>
      <c r="AL84" s="20">
        <f t="shared" si="58"/>
        <v>569.15072439533094</v>
      </c>
      <c r="AM84" s="59">
        <f t="shared" si="59"/>
        <v>862.48405772866431</v>
      </c>
      <c r="AN84" s="59">
        <f ca="1">AVERAGE(OFFSET($AM$3,0,0,'Données projet'!$E$10+1,1))-AVERAGE(OFFSET($H$3,0,0,'Données projet'!$E$10+1,1))</f>
        <v>543.88440431478944</v>
      </c>
      <c r="AO84" s="59">
        <f t="shared" si="90"/>
        <v>342.63929463709457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17.888218391463255</v>
      </c>
      <c r="AV84" s="21">
        <f>EXP(-LN(2)/25)*AV83+(1-EXP(-LN(2)/25))/(LN(2)/25)*Calculateur!AQ84*Calculateur!AS84*VLOOKUP('Données projet'!$B$10,Paramètres!$A$1:$I$89,3,0)*0.475*44/12</f>
        <v>27.860556690031395</v>
      </c>
      <c r="AW84" s="21">
        <f>EXP(-LN(2)/2)*AW83+(1-EXP(-LN(2)/2))/(LN(2)/2)*AQ84*AT84*VLOOKUP('Données projet'!$B$10,Paramètres!$A$1:$I$89,3,0)*0.475*44/12</f>
        <v>0.55351742002762994</v>
      </c>
      <c r="AX84" s="21">
        <f t="shared" si="60"/>
        <v>46.302292501522281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6.7444444444444462</v>
      </c>
      <c r="BD84" s="12">
        <f>IF('Données projet'!$A$88&gt;35,BD83+BC84-BL83,IF(A84&lt;'Données projet'!$A$88,$BA$205^A84,IF(A84='Données projet'!$A$88,'Données projet'!$B$88,BD83+BC84-BL83)))</f>
        <v>195.54777777777778</v>
      </c>
      <c r="BE84" s="13">
        <f>BD84*VLOOKUP('Données projet'!$B$11,Paramètres!$A$1:$I$89,3,0)*VLOOKUP('Données projet'!$B$11,Paramètres!$A$1:$I$89,5,0)</f>
        <v>222.68980933333336</v>
      </c>
      <c r="BF84" s="13">
        <f t="shared" si="91"/>
        <v>54.699088370207967</v>
      </c>
      <c r="BG84" s="20">
        <f t="shared" si="61"/>
        <v>483.11899683366778</v>
      </c>
      <c r="BH84" s="59">
        <f t="shared" si="62"/>
        <v>776.45233016700104</v>
      </c>
      <c r="BI84" s="59">
        <f ca="1">AVERAGE(OFFSET($BH$3,0,0,'Données projet'!$E$11+1,1))-AVERAGE(OFFSET($H$3,0,0,'Données projet'!$E$11+1,1))</f>
        <v>593.28343396240075</v>
      </c>
      <c r="BJ84" s="59">
        <f t="shared" si="92"/>
        <v>289.66477662068695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43.724893801355904</v>
      </c>
      <c r="BR84" s="21">
        <f>EXP(-LN(2)/2)*BR83+(1-EXP(-LN(2)/2))/(LN(2)/2)*BL84*BO84*VLOOKUP('Données projet'!$B$11,Paramètres!$A$1:$I$89,3,0)*0.475*44/12</f>
        <v>1.9765229464091882</v>
      </c>
      <c r="BS84" s="22">
        <f t="shared" si="63"/>
        <v>45.701416747765094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9.4837500000000006</v>
      </c>
      <c r="BY84" s="12">
        <f>IF('Données projet'!$A$114&gt;35,BY83+BX84-CG83,IF(A84&lt;'Données projet'!$A$114,$BV$205^A84,IF(A84='Données projet'!$A$114,'Données projet'!$B$114,BY83+BX84-CG83)))</f>
        <v>287.14249999999993</v>
      </c>
      <c r="BZ84" s="13">
        <f>BY84*VLOOKUP('Données projet'!$B$12,Paramètres!$A$1:$I$89,3,0)*VLOOKUP('Données projet'!$B$12,Paramètres!$A$1:$I$89,5,0)</f>
        <v>309.08018699999991</v>
      </c>
      <c r="CA84" s="13">
        <f t="shared" si="93"/>
        <v>73.076703398977713</v>
      </c>
      <c r="CB84" s="20">
        <f t="shared" si="64"/>
        <v>665.58991744488594</v>
      </c>
      <c r="CC84" s="59">
        <f t="shared" si="65"/>
        <v>958.9232507782192</v>
      </c>
      <c r="CD84" s="59">
        <f ca="1">AVERAGE(OFFSET($CC$3,0,0,'Données projet'!$E$12+1,1))-AVERAGE(OFFSET($H$3,0,0,'Données projet'!$E$12+1,1))</f>
        <v>502.65044103360322</v>
      </c>
      <c r="CE84" s="59">
        <f t="shared" si="94"/>
        <v>321.65762891855167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22.015800361267324</v>
      </c>
      <c r="CL84" s="21">
        <f>EXP(-LN(2)/25)*CL83+(1-EXP(-LN(2)/25))/(LN(2)/25)*Calculateur!CG84*Calculateur!CI84*VLOOKUP('Données projet'!$B$12,Paramètres!$A$1:$I$89,3,0)*0.475*44/12</f>
        <v>26.161798178568333</v>
      </c>
      <c r="CM84" s="21">
        <f>EXP(-LN(2)/2)*CM83+(1-EXP(-LN(2)/2))/(LN(2)/2)*CG84*CJ84*VLOOKUP('Données projet'!$B$12,Paramètres!$A$1:$I$89,3,0)*0.475*44/12</f>
        <v>0.58855950330743856</v>
      </c>
      <c r="CN84" s="22">
        <f t="shared" si="66"/>
        <v>48.766158043143093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1.7948717948717898</v>
      </c>
      <c r="N85" s="13">
        <f>IF('Données projet'!$A$36&gt;35,N84+M85-V84,IF(A85&lt;'Données projet'!$A$36,$K$205^A85,IF(A85='Données projet'!$A$36,'Données projet'!$B$36,N84+M85-V84)))</f>
        <v>129.8717948717948</v>
      </c>
      <c r="O85" s="13">
        <f>N85*VLOOKUP('Données projet'!$B$9,Paramètres!$A$1:$I$89,3,0)*VLOOKUP('Données projet'!$B$9,Paramètres!$A$1:$I$89,5,0)</f>
        <v>135.74199999999996</v>
      </c>
      <c r="P85" s="13">
        <f t="shared" si="87"/>
        <v>35.319810973036205</v>
      </c>
      <c r="Q85" s="20">
        <f t="shared" si="54"/>
        <v>297.93265411137128</v>
      </c>
      <c r="R85" s="59">
        <f t="shared" si="55"/>
        <v>591.26598744470459</v>
      </c>
      <c r="S85" s="59">
        <f ca="1">AVERAGE(OFFSET($R$3,0,0,'Données projet'!$E$9+1,1))-AVERAGE(OFFSET($H$3,0,0,'Données projet'!$E$9+1,1))</f>
        <v>239.26156489359892</v>
      </c>
      <c r="T85" s="59">
        <f t="shared" si="88"/>
        <v>213.97034450798111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1.3621734989237897</v>
      </c>
      <c r="AA85" s="21">
        <f>EXP(-LN(2)/25)*AA84+(1-EXP(-LN(2)/25))/(LN(2)/25)*Calculateur!V85*Calculateur!X85*VLOOKUP('Données projet'!$B$9,Paramètres!$A$1:$I$89,3,0)*0.475*44/12</f>
        <v>15.253249390470783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16.615422889394573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8.0188888888888883</v>
      </c>
      <c r="AI85" s="13">
        <f>IF('Données projet'!$A$62&gt;35,AI84+AH85-AQ84,IF(A85&lt;'Données projet'!$A$62,$AF$205^A85,IF(A85='Données projet'!$A$62,'Données projet'!$B$62,AI84+AH85-AQ84)))</f>
        <v>267.7322222222225</v>
      </c>
      <c r="AJ85" s="13">
        <f>AI85*VLOOKUP('Données projet'!$B$10,Paramètres!$A$1:$I$89,3,0)*VLOOKUP('Données projet'!$B$10,Paramètres!$A$1:$I$89,5,0)</f>
        <v>271.48047333333363</v>
      </c>
      <c r="AK85" s="13">
        <f t="shared" si="89"/>
        <v>65.163363030950919</v>
      </c>
      <c r="AL85" s="20">
        <f t="shared" si="58"/>
        <v>586.32134833446219</v>
      </c>
      <c r="AM85" s="59">
        <f t="shared" si="59"/>
        <v>879.65468166779556</v>
      </c>
      <c r="AN85" s="59">
        <f ca="1">AVERAGE(OFFSET($AM$3,0,0,'Données projet'!$E$10+1,1))-AVERAGE(OFFSET($H$3,0,0,'Données projet'!$E$10+1,1))</f>
        <v>543.88440431478944</v>
      </c>
      <c r="AO85" s="59">
        <f t="shared" si="90"/>
        <v>342.63929463709457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17.537441339542532</v>
      </c>
      <c r="AV85" s="21">
        <f>EXP(-LN(2)/25)*AV84+(1-EXP(-LN(2)/25))/(LN(2)/25)*Calculateur!AQ85*Calculateur!AS85*VLOOKUP('Données projet'!$B$10,Paramètres!$A$1:$I$89,3,0)*0.475*44/12</f>
        <v>27.098708302219485</v>
      </c>
      <c r="AW85" s="21">
        <f>EXP(-LN(2)/2)*AW84+(1-EXP(-LN(2)/2))/(LN(2)/2)*AQ85*AT85*VLOOKUP('Données projet'!$B$10,Paramètres!$A$1:$I$89,3,0)*0.475*44/12</f>
        <v>0.39139592120641964</v>
      </c>
      <c r="AX85" s="21">
        <f t="shared" si="60"/>
        <v>45.027545562968434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6.7444444444444462</v>
      </c>
      <c r="BD85" s="12">
        <f>IF('Données projet'!$A$88&gt;35,BD84+BC85-BL84,IF(A85&lt;'Données projet'!$A$88,$BA$205^A85,IF(A85='Données projet'!$A$88,'Données projet'!$B$88,BD84+BC85-BL84)))</f>
        <v>202.29222222222222</v>
      </c>
      <c r="BE85" s="13">
        <f>BD85*VLOOKUP('Données projet'!$B$11,Paramètres!$A$1:$I$89,3,0)*VLOOKUP('Données projet'!$B$11,Paramètres!$A$1:$I$89,5,0)</f>
        <v>230.37038266666667</v>
      </c>
      <c r="BF85" s="13">
        <f t="shared" si="91"/>
        <v>56.362759421880078</v>
      </c>
      <c r="BG85" s="20">
        <f t="shared" si="61"/>
        <v>499.39355580421892</v>
      </c>
      <c r="BH85" s="59">
        <f t="shared" si="62"/>
        <v>792.72688913755223</v>
      </c>
      <c r="BI85" s="59">
        <f ca="1">AVERAGE(OFFSET($BH$3,0,0,'Données projet'!$E$11+1,1))-AVERAGE(OFFSET($H$3,0,0,'Données projet'!$E$11+1,1))</f>
        <v>593.28343396240075</v>
      </c>
      <c r="BJ85" s="59">
        <f t="shared" si="92"/>
        <v>289.66477662068695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42.529234280965596</v>
      </c>
      <c r="BR85" s="21">
        <f>EXP(-LN(2)/2)*BR84+(1-EXP(-LN(2)/2))/(LN(2)/2)*BL85*BO85*VLOOKUP('Données projet'!$B$11,Paramètres!$A$1:$I$89,3,0)*0.475*44/12</f>
        <v>1.3976127785767523</v>
      </c>
      <c r="BS85" s="22">
        <f t="shared" si="63"/>
        <v>43.926847059542347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9.4837500000000006</v>
      </c>
      <c r="BY85" s="12">
        <f>IF('Données projet'!$A$114&gt;35,BY84+BX85-CG84,IF(A85&lt;'Données projet'!$A$114,$BV$205^A85,IF(A85='Données projet'!$A$114,'Données projet'!$B$114,BY84+BX85-CG84)))</f>
        <v>296.62624999999991</v>
      </c>
      <c r="BZ85" s="13">
        <f>BY85*VLOOKUP('Données projet'!$B$12,Paramètres!$A$1:$I$89,3,0)*VLOOKUP('Données projet'!$B$12,Paramètres!$A$1:$I$89,5,0)</f>
        <v>319.2884954999999</v>
      </c>
      <c r="CA85" s="13">
        <f t="shared" si="93"/>
        <v>75.205292141133469</v>
      </c>
      <c r="CB85" s="20">
        <f t="shared" si="64"/>
        <v>687.07668014164062</v>
      </c>
      <c r="CC85" s="59">
        <f t="shared" si="65"/>
        <v>980.41001347497399</v>
      </c>
      <c r="CD85" s="59">
        <f ca="1">AVERAGE(OFFSET($CC$3,0,0,'Données projet'!$E$12+1,1))-AVERAGE(OFFSET($H$3,0,0,'Données projet'!$E$12+1,1))</f>
        <v>502.65044103360322</v>
      </c>
      <c r="CE85" s="59">
        <f t="shared" si="94"/>
        <v>321.65762891855167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21.584083944495156</v>
      </c>
      <c r="CL85" s="21">
        <f>EXP(-LN(2)/25)*CL84+(1-EXP(-LN(2)/25))/(LN(2)/25)*Calculateur!CG85*Calculateur!CI85*VLOOKUP('Données projet'!$B$12,Paramètres!$A$1:$I$89,3,0)*0.475*44/12</f>
        <v>25.446402431586208</v>
      </c>
      <c r="CM85" s="21">
        <f>EXP(-LN(2)/2)*CM84+(1-EXP(-LN(2)/2))/(LN(2)/2)*CG85*CJ85*VLOOKUP('Données projet'!$B$12,Paramètres!$A$1:$I$89,3,0)*0.475*44/12</f>
        <v>0.4161744159204761</v>
      </c>
      <c r="CN85" s="22">
        <f t="shared" si="66"/>
        <v>47.446660792001836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1.7948717948717898</v>
      </c>
      <c r="N86" s="13">
        <f>IF('Données projet'!$A$36&gt;35,N85+M86-V85,IF(A86&lt;'Données projet'!$A$36,$K$205^A86,IF(A86='Données projet'!$A$36,'Données projet'!$B$36,N85+M86-V85)))</f>
        <v>131.6666666666666</v>
      </c>
      <c r="O86" s="13">
        <f>N86*VLOOKUP('Données projet'!$B$9,Paramètres!$A$1:$I$89,3,0)*VLOOKUP('Données projet'!$B$9,Paramètres!$A$1:$I$89,5,0)</f>
        <v>137.61799999999994</v>
      </c>
      <c r="P86" s="13">
        <f t="shared" si="87"/>
        <v>35.750778939526811</v>
      </c>
      <c r="Q86" s="20">
        <f t="shared" si="54"/>
        <v>301.95062331967574</v>
      </c>
      <c r="R86" s="59">
        <f t="shared" si="55"/>
        <v>595.283956653009</v>
      </c>
      <c r="S86" s="59">
        <f ca="1">AVERAGE(OFFSET($R$3,0,0,'Données projet'!$E$9+1,1))-AVERAGE(OFFSET($H$3,0,0,'Données projet'!$E$9+1,1))</f>
        <v>239.26156489359892</v>
      </c>
      <c r="T86" s="59">
        <f t="shared" si="88"/>
        <v>213.97034450798111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1.3354621074536894</v>
      </c>
      <c r="AA86" s="21">
        <f>EXP(-LN(2)/25)*AA85+(1-EXP(-LN(2)/25))/(LN(2)/25)*Calculateur!V86*Calculateur!X86*VLOOKUP('Données projet'!$B$9,Paramètres!$A$1:$I$89,3,0)*0.475*44/12</f>
        <v>14.836148483754837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16.171610591208527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8.0188888888888883</v>
      </c>
      <c r="AI86" s="13">
        <f>IF('Données projet'!$A$62&gt;35,AI85+AH86-AQ85,IF(A86&lt;'Données projet'!$A$62,$AF$205^A86,IF(A86='Données projet'!$A$62,'Données projet'!$B$62,AI85+AH86-AQ85)))</f>
        <v>275.75111111111141</v>
      </c>
      <c r="AJ86" s="13">
        <f>AI86*VLOOKUP('Données projet'!$B$10,Paramètres!$A$1:$I$89,3,0)*VLOOKUP('Données projet'!$B$10,Paramètres!$A$1:$I$89,5,0)</f>
        <v>279.61162666666701</v>
      </c>
      <c r="AK86" s="13">
        <f t="shared" si="89"/>
        <v>66.884927802384283</v>
      </c>
      <c r="AL86" s="20">
        <f t="shared" si="58"/>
        <v>603.48149903359752</v>
      </c>
      <c r="AM86" s="59">
        <f t="shared" si="59"/>
        <v>896.81483236693089</v>
      </c>
      <c r="AN86" s="59">
        <f ca="1">AVERAGE(OFFSET($AM$3,0,0,'Données projet'!$E$10+1,1))-AVERAGE(OFFSET($H$3,0,0,'Données projet'!$E$10+1,1))</f>
        <v>543.88440431478944</v>
      </c>
      <c r="AO86" s="59">
        <f t="shared" si="90"/>
        <v>342.63929463709457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17.1935428116571</v>
      </c>
      <c r="AV86" s="21">
        <f>EXP(-LN(2)/25)*AV85+(1-EXP(-LN(2)/25))/(LN(2)/25)*Calculateur!AQ86*Calculateur!AS86*VLOOKUP('Données projet'!$B$10,Paramètres!$A$1:$I$89,3,0)*0.475*44/12</f>
        <v>26.357692698636157</v>
      </c>
      <c r="AW86" s="21">
        <f>EXP(-LN(2)/2)*AW85+(1-EXP(-LN(2)/2))/(LN(2)/2)*AQ86*AT86*VLOOKUP('Données projet'!$B$10,Paramètres!$A$1:$I$89,3,0)*0.475*44/12</f>
        <v>0.27675871001381497</v>
      </c>
      <c r="AX86" s="21">
        <f t="shared" si="60"/>
        <v>43.827994220307069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6.7444444444444462</v>
      </c>
      <c r="BD86" s="12">
        <f>IF('Données projet'!$A$88&gt;35,BD85+BC86-BL85,IF(A86&lt;'Données projet'!$A$88,$BA$205^A86,IF(A86='Données projet'!$A$88,'Données projet'!$B$88,BD85+BC86-BL85)))</f>
        <v>209.03666666666666</v>
      </c>
      <c r="BE86" s="13">
        <f>BD86*VLOOKUP('Données projet'!$B$11,Paramètres!$A$1:$I$89,3,0)*VLOOKUP('Données projet'!$B$11,Paramètres!$A$1:$I$89,5,0)</f>
        <v>238.05095600000001</v>
      </c>
      <c r="BF86" s="13">
        <f t="shared" si="91"/>
        <v>58.019985368316512</v>
      </c>
      <c r="BG86" s="20">
        <f t="shared" si="61"/>
        <v>515.65688954981795</v>
      </c>
      <c r="BH86" s="59">
        <f t="shared" si="62"/>
        <v>808.99022288315132</v>
      </c>
      <c r="BI86" s="59">
        <f ca="1">AVERAGE(OFFSET($BH$3,0,0,'Données projet'!$E$11+1,1))-AVERAGE(OFFSET($H$3,0,0,'Données projet'!$E$11+1,1))</f>
        <v>593.28343396240075</v>
      </c>
      <c r="BJ86" s="59">
        <f t="shared" si="92"/>
        <v>289.66477662068695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41.366270133037361</v>
      </c>
      <c r="BR86" s="21">
        <f>EXP(-LN(2)/2)*BR85+(1-EXP(-LN(2)/2))/(LN(2)/2)*BL86*BO86*VLOOKUP('Données projet'!$B$11,Paramètres!$A$1:$I$89,3,0)*0.475*44/12</f>
        <v>0.98826147320459434</v>
      </c>
      <c r="BS86" s="22">
        <f t="shared" si="63"/>
        <v>42.354531606241956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>
        <f>VLOOKUP(A86,'Données projet'!$A$113:$I$133,2,0)</f>
        <v>306.11</v>
      </c>
      <c r="BW86" s="12">
        <f>VLOOKUP(A86,'Données projet'!$A$113:$I$133,9,0)</f>
        <v>9.4837500000000006</v>
      </c>
      <c r="BX86" s="12">
        <f t="array" ref="BX86">INDEX(BW:BW,MIN(IF(ISNUMBER(BW86:BW282),ROW(BW86:BW282),"")))</f>
        <v>9.4837500000000006</v>
      </c>
      <c r="BY86" s="12">
        <f>IF('Données projet'!$A$114&gt;35,BY85+BX86-CG85,IF(A86&lt;'Données projet'!$A$114,$BV$205^A86,IF(A86='Données projet'!$A$114,'Données projet'!$B$114,BY85+BX86-CG85)))</f>
        <v>306.1099999999999</v>
      </c>
      <c r="BZ86" s="13">
        <f>BY86*VLOOKUP('Données projet'!$B$12,Paramètres!$A$1:$I$89,3,0)*VLOOKUP('Données projet'!$B$12,Paramètres!$A$1:$I$89,5,0)</f>
        <v>329.49680399999988</v>
      </c>
      <c r="CA86" s="13">
        <f t="shared" si="93"/>
        <v>77.325972539126184</v>
      </c>
      <c r="CB86" s="20">
        <f t="shared" si="64"/>
        <v>708.54966913897795</v>
      </c>
      <c r="CC86" s="59">
        <f t="shared" si="65"/>
        <v>1001.8830024723113</v>
      </c>
      <c r="CD86" s="59">
        <f ca="1">AVERAGE(OFFSET($CC$3,0,0,'Données projet'!$E$12+1,1))-AVERAGE(OFFSET($H$3,0,0,'Données projet'!$E$12+1,1))</f>
        <v>502.65044103360322</v>
      </c>
      <c r="CE86" s="59">
        <f t="shared" si="94"/>
        <v>321.65762891855167</v>
      </c>
      <c r="CF86" s="15">
        <f>IF(ISNA(VLOOKUP(A86,'Données projet'!$A$113:$I$133,3,0)),0,VLOOKUP(A86,'Données projet'!$A$113:$I$133,3,0))</f>
        <v>7</v>
      </c>
      <c r="CG86" s="15">
        <f>IF(ISNA(VLOOKUP(A86,'Données projet'!$A$113:$I$133,4,0)),0,VLOOKUP(A86,'Données projet'!$A$113:$I$133,4,0))</f>
        <v>49.980000000000018</v>
      </c>
      <c r="CH86" s="16">
        <f>IF(ISNA(VLOOKUP(A86,'Données projet'!$A$113:$I$133,5,0)),0%,VLOOKUP(A86,'Données projet'!$A$113:$I$133,5,0)*VLOOKUP('Données projet'!$B$12,Paramètres!$A$1:$I$89,7,0))</f>
        <v>0.15049999999999999</v>
      </c>
      <c r="CI86" s="16">
        <f>IF(ISNA(VLOOKUP(A86,'Données projet'!$A$113:$I$133,6,0)),0%,VLOOKUP(A86,'Données projet'!$A$113:$I$133,6,0)*VLOOKUP('Données projet'!$B$12,Paramètres!$A$1:$I$89,7,0))</f>
        <v>8.6000000000000007E-2</v>
      </c>
      <c r="CJ86" s="16">
        <f>IF(ISNA(VLOOKUP(A86,'Données projet'!$A$113:$I$133,7,0)),0%,VLOOKUP(A86,'Données projet'!$A$113:$I$133,7,0))</f>
        <v>0.1</v>
      </c>
      <c r="CK86" s="21">
        <f>EXP(-LN(2)/35)*CK85+(1-EXP(-LN(2)/35))/(LN(2)/35)*CG86*CH86*VLOOKUP('Données projet'!$B$12,Paramètres!$A$1:$I$89,3,0)*0.475*44/12</f>
        <v>30.111462120984861</v>
      </c>
      <c r="CL86" s="21">
        <f>EXP(-LN(2)/25)*CL85+(1-EXP(-LN(2)/25))/(LN(2)/25)*Calculateur!CG86*Calculateur!CI86*VLOOKUP('Données projet'!$B$12,Paramètres!$A$1:$I$89,3,0)*0.475*44/12</f>
        <v>29.845075996768024</v>
      </c>
      <c r="CM86" s="21">
        <f>EXP(-LN(2)/2)*CM85+(1-EXP(-LN(2)/2))/(LN(2)/2)*CG86*CJ86*VLOOKUP('Données projet'!$B$12,Paramètres!$A$1:$I$89,3,0)*0.475*44/12</f>
        <v>5.3703103813181592</v>
      </c>
      <c r="CN86" s="22">
        <f t="shared" si="66"/>
        <v>65.326848499071048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1.7948717948717898</v>
      </c>
      <c r="N87" s="13">
        <f>IF('Données projet'!$A$36&gt;35,N86+M87-V86,IF(A87&lt;'Données projet'!$A$36,$K$205^A87,IF(A87='Données projet'!$A$36,'Données projet'!$B$36,N86+M87-V86)))</f>
        <v>133.4615384615384</v>
      </c>
      <c r="O87" s="13">
        <f>N87*VLOOKUP('Données projet'!$B$9,Paramètres!$A$1:$I$89,3,0)*VLOOKUP('Données projet'!$B$9,Paramètres!$A$1:$I$89,5,0)</f>
        <v>139.49399999999994</v>
      </c>
      <c r="P87" s="13">
        <f t="shared" si="87"/>
        <v>36.181063584224482</v>
      </c>
      <c r="Q87" s="20">
        <f t="shared" si="54"/>
        <v>305.96740240919087</v>
      </c>
      <c r="R87" s="59">
        <f t="shared" si="55"/>
        <v>599.30073574252424</v>
      </c>
      <c r="S87" s="59">
        <f ca="1">AVERAGE(OFFSET($R$3,0,0,'Données projet'!$E$9+1,1))-AVERAGE(OFFSET($H$3,0,0,'Données projet'!$E$9+1,1))</f>
        <v>239.26156489359892</v>
      </c>
      <c r="T87" s="59">
        <f t="shared" si="88"/>
        <v>213.97034450798111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1.3092745100779779</v>
      </c>
      <c r="AA87" s="21">
        <f>EXP(-LN(2)/25)*AA86+(1-EXP(-LN(2)/25))/(LN(2)/25)*Calculateur!V87*Calculateur!X87*VLOOKUP('Données projet'!$B$9,Paramètres!$A$1:$I$89,3,0)*0.475*44/12</f>
        <v>14.430453223267421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15.739727733345399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283.77</v>
      </c>
      <c r="AG87" s="12">
        <f>VLOOKUP(A87,'Données projet'!$A$61:$I$81,9,0)</f>
        <v>8.0188888888888883</v>
      </c>
      <c r="AH87" s="12">
        <f t="array" ref="AH87">INDEX(AG:AG,MIN(IF(ISNUMBER(AG87:AG283),ROW(AG87:AG283),"")))</f>
        <v>8.0188888888888883</v>
      </c>
      <c r="AI87" s="13">
        <f>IF('Données projet'!$A$62&gt;35,AI86+AH87-AQ86,IF(A87&lt;'Données projet'!$A$62,$AF$205^A87,IF(A87='Données projet'!$A$62,'Données projet'!$B$62,AI86+AH87-AQ86)))</f>
        <v>283.77000000000032</v>
      </c>
      <c r="AJ87" s="13">
        <f>AI87*VLOOKUP('Données projet'!$B$10,Paramètres!$A$1:$I$89,3,0)*VLOOKUP('Données projet'!$B$10,Paramètres!$A$1:$I$89,5,0)</f>
        <v>287.74278000000032</v>
      </c>
      <c r="AK87" s="13">
        <f t="shared" si="89"/>
        <v>68.600674179739528</v>
      </c>
      <c r="AL87" s="20">
        <f t="shared" si="58"/>
        <v>620.63151602971357</v>
      </c>
      <c r="AM87" s="59">
        <f t="shared" si="59"/>
        <v>913.96484936304682</v>
      </c>
      <c r="AN87" s="59">
        <f ca="1">AVERAGE(OFFSET($AM$3,0,0,'Données projet'!$E$10+1,1))-AVERAGE(OFFSET($H$3,0,0,'Données projet'!$E$10+1,1))</f>
        <v>543.88440431478944</v>
      </c>
      <c r="AO87" s="59">
        <f t="shared" si="90"/>
        <v>342.63929463709457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49.669999999999987</v>
      </c>
      <c r="AR87" s="16">
        <f>IF(ISNA(VLOOKUP(A87,'Données projet'!$A$61:$I$81,5,0)),0%,VLOOKUP(A87,'Données projet'!$A$61:$I$81,5,0)*VLOOKUP('Données projet'!$B$10,Paramètres!$A$1:$I$89,7,0))</f>
        <v>0.15049999999999999</v>
      </c>
      <c r="AS87" s="16">
        <f>IF(ISNA(VLOOKUP(A87,'Données projet'!$A$61:$I$81,6,0)),0%,VLOOKUP(A87,'Données projet'!$A$61:$I$81,6,0)*VLOOKUP('Données projet'!$B$10,Paramètres!$A$1:$I$89,7,0))</f>
        <v>8.6000000000000007E-2</v>
      </c>
      <c r="AT87" s="16">
        <f>IF(ISNA(VLOOKUP(A87,'Données projet'!$A$61:$I$81,7,0)),0%,VLOOKUP(A87,'Données projet'!$A$61:$I$81,7,0))</f>
        <v>0.1</v>
      </c>
      <c r="AU87" s="21">
        <f>EXP(-LN(2)/35)*AU86+(1-EXP(-LN(2)/35))/(LN(2)/35)*AQ87*AR87*VLOOKUP('Données projet'!$B$10,Paramètres!$A$1:$I$89,3,0)*0.475*44/12</f>
        <v>25.235842003606258</v>
      </c>
      <c r="AV87" s="21">
        <f>EXP(-LN(2)/25)*AV86+(1-EXP(-LN(2)/25))/(LN(2)/25)*Calculateur!AQ87*Calculateur!AS87*VLOOKUP('Données projet'!$B$10,Paramètres!$A$1:$I$89,3,0)*0.475*44/12</f>
        <v>30.406346477659419</v>
      </c>
      <c r="AW87" s="21">
        <f>EXP(-LN(2)/2)*AW86+(1-EXP(-LN(2)/2))/(LN(2)/2)*AQ87*AT87*VLOOKUP('Données projet'!$B$10,Paramètres!$A$1:$I$89,3,0)*0.475*44/12</f>
        <v>4.9478071200360016</v>
      </c>
      <c r="AX87" s="21">
        <f t="shared" si="60"/>
        <v>60.58999560130168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6.7444444444444462</v>
      </c>
      <c r="BD87" s="12">
        <f>IF('Données projet'!$A$88&gt;35,BD86+BC87-BL86,IF(A87&lt;'Données projet'!$A$88,$BA$205^A87,IF(A87='Données projet'!$A$88,'Données projet'!$B$88,BD86+BC87-BL86)))</f>
        <v>215.7811111111111</v>
      </c>
      <c r="BE87" s="13">
        <f>BD87*VLOOKUP('Données projet'!$B$11,Paramètres!$A$1:$I$89,3,0)*VLOOKUP('Données projet'!$B$11,Paramètres!$A$1:$I$89,5,0)</f>
        <v>245.73152933333333</v>
      </c>
      <c r="BF87" s="13">
        <f t="shared" si="91"/>
        <v>59.67099800837255</v>
      </c>
      <c r="BG87" s="20">
        <f t="shared" si="61"/>
        <v>531.90940178680432</v>
      </c>
      <c r="BH87" s="59">
        <f t="shared" si="62"/>
        <v>825.2427351201377</v>
      </c>
      <c r="BI87" s="59">
        <f ca="1">AVERAGE(OFFSET($BH$3,0,0,'Données projet'!$E$11+1,1))-AVERAGE(OFFSET($H$3,0,0,'Données projet'!$E$11+1,1))</f>
        <v>593.28343396240075</v>
      </c>
      <c r="BJ87" s="59">
        <f t="shared" si="92"/>
        <v>289.66477662068695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40.235107300891855</v>
      </c>
      <c r="BR87" s="21">
        <f>EXP(-LN(2)/2)*BR86+(1-EXP(-LN(2)/2))/(LN(2)/2)*BL87*BO87*VLOOKUP('Données projet'!$B$11,Paramètres!$A$1:$I$89,3,0)*0.475*44/12</f>
        <v>0.69880638928837624</v>
      </c>
      <c r="BS87" s="22">
        <f t="shared" si="63"/>
        <v>40.933913690180233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9.2740000000000009</v>
      </c>
      <c r="BY87" s="12">
        <f>IF('Données projet'!$A$114&gt;35,BY86+BX87-CG86,IF(A87&lt;'Données projet'!$A$114,$BV$205^A87,IF(A87='Données projet'!$A$114,'Données projet'!$B$114,BY86+BX87-CG86)))</f>
        <v>265.40399999999988</v>
      </c>
      <c r="BZ87" s="13">
        <f>BY87*VLOOKUP('Données projet'!$B$12,Paramètres!$A$1:$I$89,3,0)*VLOOKUP('Données projet'!$B$12,Paramètres!$A$1:$I$89,5,0)</f>
        <v>285.68086559999989</v>
      </c>
      <c r="CA87" s="13">
        <f t="shared" si="93"/>
        <v>68.166132081271343</v>
      </c>
      <c r="CB87" s="20">
        <f t="shared" si="64"/>
        <v>616.28352096154731</v>
      </c>
      <c r="CC87" s="59">
        <f t="shared" si="65"/>
        <v>909.61685429488057</v>
      </c>
      <c r="CD87" s="59">
        <f ca="1">AVERAGE(OFFSET($CC$3,0,0,'Données projet'!$E$12+1,1))-AVERAGE(OFFSET($H$3,0,0,'Données projet'!$E$12+1,1))</f>
        <v>502.65044103360322</v>
      </c>
      <c r="CE87" s="59">
        <f t="shared" si="94"/>
        <v>321.65762891855167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29.520994714970733</v>
      </c>
      <c r="CL87" s="21">
        <f>EXP(-LN(2)/25)*CL86+(1-EXP(-LN(2)/25))/(LN(2)/25)*Calculateur!CG87*Calculateur!CI87*VLOOKUP('Données projet'!$B$12,Paramètres!$A$1:$I$89,3,0)*0.475*44/12</f>
        <v>29.028960824152069</v>
      </c>
      <c r="CM87" s="21">
        <f>EXP(-LN(2)/2)*CM86+(1-EXP(-LN(2)/2))/(LN(2)/2)*CG87*CJ87*VLOOKUP('Données projet'!$B$12,Paramètres!$A$1:$I$89,3,0)*0.475*44/12</f>
        <v>3.7973828877065845</v>
      </c>
      <c r="CN87" s="22">
        <f t="shared" si="66"/>
        <v>62.347338426829388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135.25641025641025</v>
      </c>
      <c r="L88" s="12">
        <f>VLOOKUP(A88,'Données projet'!$A$35:$I$55,9,0)</f>
        <v>1.7948717948717898</v>
      </c>
      <c r="M88" s="12">
        <f t="array" ref="M88">INDEX(L:L,MIN(IF(ISNUMBER(L88:L284),ROW(L88:L284),"")))</f>
        <v>1.7948717948717898</v>
      </c>
      <c r="N88" s="13">
        <f>IF('Données projet'!$A$36&gt;35,N87+M88-V87,IF(A88&lt;'Données projet'!$A$36,$K$205^A88,IF(A88='Données projet'!$A$36,'Données projet'!$B$36,N87+M88-V87)))</f>
        <v>135.25641025641019</v>
      </c>
      <c r="O88" s="13">
        <f>N88*VLOOKUP('Données projet'!$B$9,Paramètres!$A$1:$I$89,3,0)*VLOOKUP('Données projet'!$B$9,Paramètres!$A$1:$I$89,5,0)</f>
        <v>141.36999999999995</v>
      </c>
      <c r="P88" s="13">
        <f t="shared" si="87"/>
        <v>36.610675159135553</v>
      </c>
      <c r="Q88" s="20">
        <f t="shared" si="54"/>
        <v>309.98300923549431</v>
      </c>
      <c r="R88" s="59">
        <f t="shared" si="55"/>
        <v>603.31634256882762</v>
      </c>
      <c r="S88" s="59">
        <f ca="1">AVERAGE(OFFSET($R$3,0,0,'Données projet'!$E$9+1,1))-AVERAGE(OFFSET($H$3,0,0,'Données projet'!$E$9+1,1))</f>
        <v>239.26156489359892</v>
      </c>
      <c r="T88" s="59">
        <f t="shared" si="88"/>
        <v>213.97034450798111</v>
      </c>
      <c r="U88" s="15">
        <f>IF(ISNA(VLOOKUP(A88,'Données projet'!$A$35:$I$55,3,0)),0,VLOOKUP(A88,'Données projet'!$A$35:$I$55,3,0))</f>
        <v>14</v>
      </c>
      <c r="V88" s="15">
        <f>IF(ISNA(VLOOKUP(A88,'Données projet'!$A$35:$I$55,4,0)),0,VLOOKUP(A88,'Données projet'!$A$35:$I$55,4,0))</f>
        <v>6.4102564102564097</v>
      </c>
      <c r="W88" s="16">
        <f>IF(ISNA(VLOOKUP(A88,'Données projet'!$A$35:$I$55,5,0)),0%,VLOOKUP(A88,'Données projet'!$A$35:$I$55,5,0)*VLOOKUP('Données projet'!$B$9,Paramètres!$A$1:$I$89,7,0))</f>
        <v>4.3000000000000003E-2</v>
      </c>
      <c r="X88" s="16">
        <f>IF(ISNA(VLOOKUP(A88,'Données projet'!$A$35:$I$55,6,0)),0%,VLOOKUP(A88,'Données projet'!$A$35:$I$55,6,0)*VLOOKUP('Données projet'!$B$9,Paramètres!$A$1:$I$89,7,0))</f>
        <v>0.215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1.6020864518573896</v>
      </c>
      <c r="AA88" s="21">
        <f>EXP(-LN(2)/25)*AA87+(1-EXP(-LN(2)/25))/(LN(2)/25)*Calculateur!V88*Calculateur!X88*VLOOKUP('Données projet'!$B$9,Paramètres!$A$1:$I$89,3,0)*0.475*44/12</f>
        <v>15.622011798734682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17.224098250592071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7.6966666666666681</v>
      </c>
      <c r="AI88" s="13">
        <f>IF('Données projet'!$A$62&gt;35,AI87+AH88-AQ87,IF(A88&lt;'Données projet'!$A$62,$AF$205^A88,IF(A88='Données projet'!$A$62,'Données projet'!$B$62,AI87+AH88-AQ87)))</f>
        <v>241.79666666666699</v>
      </c>
      <c r="AJ88" s="13">
        <f>AI88*VLOOKUP('Données projet'!$B$10,Paramètres!$A$1:$I$89,3,0)*VLOOKUP('Données projet'!$B$10,Paramètres!$A$1:$I$89,5,0)</f>
        <v>245.18182000000036</v>
      </c>
      <c r="AK88" s="13">
        <f t="shared" si="89"/>
        <v>59.553034461422406</v>
      </c>
      <c r="AL88" s="20">
        <f t="shared" si="58"/>
        <v>530.746538186978</v>
      </c>
      <c r="AM88" s="59">
        <f t="shared" si="59"/>
        <v>824.07987152031137</v>
      </c>
      <c r="AN88" s="59">
        <f ca="1">AVERAGE(OFFSET($AM$3,0,0,'Données projet'!$E$10+1,1))-AVERAGE(OFFSET($H$3,0,0,'Données projet'!$E$10+1,1))</f>
        <v>543.88440431478944</v>
      </c>
      <c r="AO88" s="59">
        <f t="shared" si="90"/>
        <v>342.63929463709457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24.740982534259295</v>
      </c>
      <c r="AV88" s="21">
        <f>EXP(-LN(2)/25)*AV87+(1-EXP(-LN(2)/25))/(LN(2)/25)*Calculateur!AQ88*Calculateur!AS88*VLOOKUP('Données projet'!$B$10,Paramètres!$A$1:$I$89,3,0)*0.475*44/12</f>
        <v>29.574883334227554</v>
      </c>
      <c r="AW88" s="21">
        <f>EXP(-LN(2)/2)*AW87+(1-EXP(-LN(2)/2))/(LN(2)/2)*AQ88*AT88*VLOOKUP('Données projet'!$B$10,Paramètres!$A$1:$I$89,3,0)*0.475*44/12</f>
        <v>3.4986279665805391</v>
      </c>
      <c r="AX88" s="21">
        <f t="shared" si="60"/>
        <v>57.814493835067395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6.7444444444444462</v>
      </c>
      <c r="BD88" s="12">
        <f>IF('Données projet'!$A$88&gt;35,BD87+BC88-BL87,IF(A88&lt;'Données projet'!$A$88,$BA$205^A88,IF(A88='Données projet'!$A$88,'Données projet'!$B$88,BD87+BC88-BL87)))</f>
        <v>222.52555555555554</v>
      </c>
      <c r="BE88" s="13">
        <f>BD88*VLOOKUP('Données projet'!$B$11,Paramètres!$A$1:$I$89,3,0)*VLOOKUP('Données projet'!$B$11,Paramètres!$A$1:$I$89,5,0)</f>
        <v>253.41210266666667</v>
      </c>
      <c r="BF88" s="13">
        <f t="shared" si="91"/>
        <v>61.316013827679889</v>
      </c>
      <c r="BG88" s="20">
        <f t="shared" si="61"/>
        <v>548.15146956098692</v>
      </c>
      <c r="BH88" s="59">
        <f t="shared" si="62"/>
        <v>841.48480289432018</v>
      </c>
      <c r="BI88" s="59">
        <f ca="1">AVERAGE(OFFSET($BH$3,0,0,'Données projet'!$E$11+1,1))-AVERAGE(OFFSET($H$3,0,0,'Données projet'!$E$11+1,1))</f>
        <v>593.28343396240075</v>
      </c>
      <c r="BJ88" s="59">
        <f t="shared" si="92"/>
        <v>289.66477662068695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39.134876175876634</v>
      </c>
      <c r="BR88" s="21">
        <f>EXP(-LN(2)/2)*BR87+(1-EXP(-LN(2)/2))/(LN(2)/2)*BL88*BO88*VLOOKUP('Données projet'!$B$11,Paramètres!$A$1:$I$89,3,0)*0.475*44/12</f>
        <v>0.49413073660229723</v>
      </c>
      <c r="BS88" s="22">
        <f t="shared" si="63"/>
        <v>39.629006912478928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9.2740000000000009</v>
      </c>
      <c r="BY88" s="12">
        <f>IF('Données projet'!$A$114&gt;35,BY87+BX88-CG87,IF(A88&lt;'Données projet'!$A$114,$BV$205^A88,IF(A88='Données projet'!$A$114,'Données projet'!$B$114,BY87+BX88-CG87)))</f>
        <v>274.67799999999988</v>
      </c>
      <c r="BZ88" s="13">
        <f>BY88*VLOOKUP('Données projet'!$B$12,Paramètres!$A$1:$I$89,3,0)*VLOOKUP('Données projet'!$B$12,Paramètres!$A$1:$I$89,5,0)</f>
        <v>295.66339919999984</v>
      </c>
      <c r="CA88" s="13">
        <f t="shared" si="93"/>
        <v>70.266576389697462</v>
      </c>
      <c r="CB88" s="20">
        <f t="shared" si="64"/>
        <v>637.3280408187228</v>
      </c>
      <c r="CC88" s="59">
        <f t="shared" si="65"/>
        <v>930.66137415205617</v>
      </c>
      <c r="CD88" s="59">
        <f ca="1">AVERAGE(OFFSET($CC$3,0,0,'Données projet'!$E$12+1,1))-AVERAGE(OFFSET($H$3,0,0,'Données projet'!$E$12+1,1))</f>
        <v>502.65044103360322</v>
      </c>
      <c r="CE88" s="59">
        <f t="shared" si="94"/>
        <v>321.65762891855167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28.942106014638984</v>
      </c>
      <c r="CL88" s="21">
        <f>EXP(-LN(2)/25)*CL87+(1-EXP(-LN(2)/25))/(LN(2)/25)*Calculateur!CG88*Calculateur!CI88*VLOOKUP('Données projet'!$B$12,Paramètres!$A$1:$I$89,3,0)*0.475*44/12</f>
        <v>28.235162363848929</v>
      </c>
      <c r="CM88" s="21">
        <f>EXP(-LN(2)/2)*CM87+(1-EXP(-LN(2)/2))/(LN(2)/2)*CG88*CJ88*VLOOKUP('Données projet'!$B$12,Paramètres!$A$1:$I$89,3,0)*0.475*44/12</f>
        <v>2.68515519065908</v>
      </c>
      <c r="CN88" s="22">
        <f t="shared" si="66"/>
        <v>59.862423569146991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1.7948717948717956</v>
      </c>
      <c r="N89" s="13">
        <f>IF('Données projet'!$A$36&gt;35,N88+M89-V88,IF(A89&lt;'Données projet'!$A$36,$K$205^A89,IF(A89='Données projet'!$A$36,'Données projet'!$B$36,N88+M89-V88)))</f>
        <v>130.64102564102558</v>
      </c>
      <c r="O89" s="13">
        <f>N89*VLOOKUP('Données projet'!$B$9,Paramètres!$A$1:$I$89,3,0)*VLOOKUP('Données projet'!$B$9,Paramètres!$A$1:$I$89,5,0)</f>
        <v>136.54599999999996</v>
      </c>
      <c r="P89" s="13">
        <f t="shared" si="87"/>
        <v>35.504595871947302</v>
      </c>
      <c r="Q89" s="20">
        <f t="shared" si="54"/>
        <v>299.65478781030816</v>
      </c>
      <c r="R89" s="59">
        <f t="shared" si="55"/>
        <v>592.98812114364148</v>
      </c>
      <c r="S89" s="59">
        <f ca="1">AVERAGE(OFFSET($R$3,0,0,'Données projet'!$E$9+1,1))-AVERAGE(OFFSET($H$3,0,0,'Données projet'!$E$9+1,1))</f>
        <v>239.26156489359892</v>
      </c>
      <c r="T89" s="59">
        <f t="shared" si="88"/>
        <v>213.97034450798111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1.5706705137127137</v>
      </c>
      <c r="AA89" s="21">
        <f>EXP(-LN(2)/25)*AA88+(1-EXP(-LN(2)/25))/(LN(2)/25)*Calculateur!V89*Calculateur!X89*VLOOKUP('Données projet'!$B$9,Paramètres!$A$1:$I$89,3,0)*0.475*44/12</f>
        <v>15.194827064572387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16.7654975782851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7.6966666666666681</v>
      </c>
      <c r="AI89" s="13">
        <f>IF('Données projet'!$A$62&gt;35,AI88+AH89-AQ88,IF(A89&lt;'Données projet'!$A$62,$AF$205^A89,IF(A89='Données projet'!$A$62,'Données projet'!$B$62,AI88+AH89-AQ88)))</f>
        <v>249.49333333333365</v>
      </c>
      <c r="AJ89" s="13">
        <f>AI89*VLOOKUP('Données projet'!$B$10,Paramètres!$A$1:$I$89,3,0)*VLOOKUP('Données projet'!$B$10,Paramètres!$A$1:$I$89,5,0)</f>
        <v>252.98624000000032</v>
      </c>
      <c r="AK89" s="13">
        <f t="shared" si="89"/>
        <v>61.22495661784717</v>
      </c>
      <c r="AL89" s="20">
        <f t="shared" si="58"/>
        <v>547.2511674427509</v>
      </c>
      <c r="AM89" s="59">
        <f t="shared" si="59"/>
        <v>840.58450077608427</v>
      </c>
      <c r="AN89" s="59">
        <f ca="1">AVERAGE(OFFSET($AM$3,0,0,'Données projet'!$E$10+1,1))-AVERAGE(OFFSET($H$3,0,0,'Données projet'!$E$10+1,1))</f>
        <v>543.88440431478944</v>
      </c>
      <c r="AO89" s="59">
        <f t="shared" si="90"/>
        <v>342.63929463709457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24.255826957271751</v>
      </c>
      <c r="AV89" s="21">
        <f>EXP(-LN(2)/25)*AV88+(1-EXP(-LN(2)/25))/(LN(2)/25)*Calculateur!AQ89*Calculateur!AS89*VLOOKUP('Données projet'!$B$10,Paramètres!$A$1:$I$89,3,0)*0.475*44/12</f>
        <v>28.766156594177581</v>
      </c>
      <c r="AW89" s="21">
        <f>EXP(-LN(2)/2)*AW88+(1-EXP(-LN(2)/2))/(LN(2)/2)*AQ89*AT89*VLOOKUP('Données projet'!$B$10,Paramètres!$A$1:$I$89,3,0)*0.475*44/12</f>
        <v>2.4739035600180013</v>
      </c>
      <c r="AX89" s="21">
        <f t="shared" si="60"/>
        <v>55.495887111467333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>
        <f>VLOOKUP(A89,'Données projet'!$A$87:$I$107,2,0)</f>
        <v>229.27</v>
      </c>
      <c r="BB89" s="12">
        <f>VLOOKUP(A89,'Données projet'!$A$87:$I$107,9,0)</f>
        <v>6.7444444444444462</v>
      </c>
      <c r="BC89" s="12">
        <f t="array" ref="BC89">INDEX(BB:BB,MIN(IF(ISNUMBER(BB89:BB285),ROW(BB89:BB285),"")))</f>
        <v>6.7444444444444462</v>
      </c>
      <c r="BD89" s="12">
        <f>IF('Données projet'!$A$88&gt;35,BD88+BC89-BL88,IF(A89&lt;'Données projet'!$A$88,$BA$205^A89,IF(A89='Données projet'!$A$88,'Données projet'!$B$88,BD88+BC89-BL88)))</f>
        <v>229.26999999999998</v>
      </c>
      <c r="BE89" s="13">
        <f>BD89*VLOOKUP('Données projet'!$B$11,Paramètres!$A$1:$I$89,3,0)*VLOOKUP('Données projet'!$B$11,Paramètres!$A$1:$I$89,5,0)</f>
        <v>261.09267599999998</v>
      </c>
      <c r="BF89" s="13">
        <f t="shared" si="91"/>
        <v>62.955235443390585</v>
      </c>
      <c r="BG89" s="20">
        <f t="shared" si="61"/>
        <v>564.38344576390512</v>
      </c>
      <c r="BH89" s="59">
        <f t="shared" si="62"/>
        <v>857.71677909723849</v>
      </c>
      <c r="BI89" s="59">
        <f ca="1">AVERAGE(OFFSET($BH$3,0,0,'Données projet'!$E$11+1,1))-AVERAGE(OFFSET($H$3,0,0,'Données projet'!$E$11+1,1))</f>
        <v>593.28343396240075</v>
      </c>
      <c r="BJ89" s="59">
        <f t="shared" si="92"/>
        <v>289.66477662068695</v>
      </c>
      <c r="BK89" s="15">
        <f>IF(ISNA(VLOOKUP(A89,'Données projet'!$A$87:$I$107,3,0)),0,VLOOKUP(A89,'Données projet'!$A$87:$I$107,3,0))</f>
        <v>4</v>
      </c>
      <c r="BL89" s="15">
        <f>IF(ISNA(VLOOKUP(A89,'Données projet'!$A$87:$I$107,4,0)),0,VLOOKUP(A89,'Données projet'!$A$87:$I$107,4,0))</f>
        <v>37.54000000000002</v>
      </c>
      <c r="BM89" s="16">
        <f>IF(ISNA(VLOOKUP(A89,'Données projet'!$A$87:$I$107,5,0)),0%,VLOOKUP(A89,'Données projet'!$A$87:$I$107,5,0)*VLOOKUP('Données projet'!$B$11,Paramètres!$A$1:$I$89,7,0))</f>
        <v>0.15049999999999999</v>
      </c>
      <c r="BN89" s="16">
        <f>IF(ISNA(VLOOKUP(A89,'Données projet'!$A$87:$I$107,6,0)),0%,VLOOKUP(A89,'Données projet'!$A$87:$I$107,6,0)*VLOOKUP('Données projet'!$B$11,Paramètres!$A$1:$I$89,7,0))</f>
        <v>8.6000000000000007E-2</v>
      </c>
      <c r="BO89" s="16">
        <f>IF(ISNA(VLOOKUP(A89,'Données projet'!$A$87:$I$107,7,0)),0%,VLOOKUP(A89,'Données projet'!$A$87:$I$107,7,0))</f>
        <v>0.1</v>
      </c>
      <c r="BP89" s="21">
        <f>EXP(-LN(2)/35)*BP88+(1-EXP(-LN(2)/35))/(LN(2)/35)*BL89*BM89*VLOOKUP('Données projet'!$B$11,Paramètres!$A$1:$I$89,3,0)*0.475*44/12</f>
        <v>7.1125500761748128</v>
      </c>
      <c r="BQ89" s="21">
        <f>EXP(-LN(2)/25)*BQ88+(1-EXP(-LN(2)/25))/(LN(2)/25)*Calculateur!BL89*Calculateur!BN89*VLOOKUP('Données projet'!$B$11,Paramètres!$A$1:$I$89,3,0)*0.475*44/12</f>
        <v>42.113042503936946</v>
      </c>
      <c r="BR89" s="21">
        <f>EXP(-LN(2)/2)*BR88+(1-EXP(-LN(2)/2))/(LN(2)/2)*BL89*BO89*VLOOKUP('Données projet'!$B$11,Paramètres!$A$1:$I$89,3,0)*0.475*44/12</f>
        <v>4.383032837267911</v>
      </c>
      <c r="BS89" s="22">
        <f t="shared" si="63"/>
        <v>53.60862541737967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9.2740000000000009</v>
      </c>
      <c r="BY89" s="12">
        <f>IF('Données projet'!$A$114&gt;35,BY88+BX89-CG88,IF(A89&lt;'Données projet'!$A$114,$BV$205^A89,IF(A89='Données projet'!$A$114,'Données projet'!$B$114,BY88+BX89-CG88)))</f>
        <v>283.95199999999988</v>
      </c>
      <c r="BZ89" s="13">
        <f>BY89*VLOOKUP('Données projet'!$B$12,Paramètres!$A$1:$I$89,3,0)*VLOOKUP('Données projet'!$B$12,Paramètres!$A$1:$I$89,5,0)</f>
        <v>305.64593279999985</v>
      </c>
      <c r="CA89" s="13">
        <f t="shared" si="93"/>
        <v>72.358780428424367</v>
      </c>
      <c r="CB89" s="20">
        <f t="shared" si="64"/>
        <v>658.35820887283887</v>
      </c>
      <c r="CC89" s="59">
        <f t="shared" si="65"/>
        <v>951.69154220617224</v>
      </c>
      <c r="CD89" s="59">
        <f ca="1">AVERAGE(OFFSET($CC$3,0,0,'Données projet'!$E$12+1,1))-AVERAGE(OFFSET($H$3,0,0,'Données projet'!$E$12+1,1))</f>
        <v>502.65044103360322</v>
      </c>
      <c r="CE89" s="59">
        <f t="shared" si="94"/>
        <v>321.65762891855167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28.374568968633501</v>
      </c>
      <c r="CL89" s="21">
        <f>EXP(-LN(2)/25)*CL88+(1-EXP(-LN(2)/25))/(LN(2)/25)*Calculateur!CG89*Calculateur!CI89*VLOOKUP('Données projet'!$B$12,Paramètres!$A$1:$I$89,3,0)*0.475*44/12</f>
        <v>27.463070364186823</v>
      </c>
      <c r="CM89" s="21">
        <f>EXP(-LN(2)/2)*CM88+(1-EXP(-LN(2)/2))/(LN(2)/2)*CG89*CJ89*VLOOKUP('Données projet'!$B$12,Paramètres!$A$1:$I$89,3,0)*0.475*44/12</f>
        <v>1.8986914438532925</v>
      </c>
      <c r="CN89" s="22">
        <f t="shared" si="66"/>
        <v>57.736330776673618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1.7948717948717956</v>
      </c>
      <c r="N90" s="13">
        <f>IF('Données projet'!$A$36&gt;35,N89+M90-V89,IF(A90&lt;'Données projet'!$A$36,$K$205^A90,IF(A90='Données projet'!$A$36,'Données projet'!$B$36,N89+M90-V89)))</f>
        <v>132.43589743589737</v>
      </c>
      <c r="O90" s="13">
        <f>N90*VLOOKUP('Données projet'!$B$9,Paramètres!$A$1:$I$89,3,0)*VLOOKUP('Données projet'!$B$9,Paramètres!$A$1:$I$89,5,0)</f>
        <v>138.42199999999994</v>
      </c>
      <c r="P90" s="13">
        <f t="shared" si="87"/>
        <v>35.935269711934978</v>
      </c>
      <c r="Q90" s="20">
        <f t="shared" si="54"/>
        <v>303.67224474828663</v>
      </c>
      <c r="R90" s="59">
        <f t="shared" si="55"/>
        <v>597.00557808161989</v>
      </c>
      <c r="S90" s="59">
        <f ca="1">AVERAGE(OFFSET($R$3,0,0,'Données projet'!$E$9+1,1))-AVERAGE(OFFSET($H$3,0,0,'Données projet'!$E$9+1,1))</f>
        <v>239.26156489359892</v>
      </c>
      <c r="T90" s="59">
        <f t="shared" si="88"/>
        <v>213.97034450798111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1.5398706229532246</v>
      </c>
      <c r="AA90" s="21">
        <f>EXP(-LN(2)/25)*AA89+(1-EXP(-LN(2)/25))/(LN(2)/25)*Calculateur!V90*Calculateur!X90*VLOOKUP('Données projet'!$B$9,Paramètres!$A$1:$I$89,3,0)*0.475*44/12</f>
        <v>14.779323719430428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16.319194342383653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7.6966666666666681</v>
      </c>
      <c r="AI90" s="13">
        <f>IF('Données projet'!$A$62&gt;35,AI89+AH90-AQ89,IF(A90&lt;'Données projet'!$A$62,$AF$205^A90,IF(A90='Données projet'!$A$62,'Données projet'!$B$62,AI89+AH90-AQ89)))</f>
        <v>257.19000000000034</v>
      </c>
      <c r="AJ90" s="13">
        <f>AI90*VLOOKUP('Données projet'!$B$10,Paramètres!$A$1:$I$89,3,0)*VLOOKUP('Données projet'!$B$10,Paramètres!$A$1:$I$89,5,0)</f>
        <v>260.79066000000034</v>
      </c>
      <c r="AK90" s="13">
        <f t="shared" si="89"/>
        <v>62.890884921889402</v>
      </c>
      <c r="AL90" s="20">
        <f t="shared" si="58"/>
        <v>563.74535740562453</v>
      </c>
      <c r="AM90" s="59">
        <f t="shared" si="59"/>
        <v>857.0786907389579</v>
      </c>
      <c r="AN90" s="59">
        <f ca="1">AVERAGE(OFFSET($AM$3,0,0,'Données projet'!$E$10+1,1))-AVERAGE(OFFSET($H$3,0,0,'Données projet'!$E$10+1,1))</f>
        <v>543.88440431478944</v>
      </c>
      <c r="AO90" s="59">
        <f t="shared" si="90"/>
        <v>342.63929463709457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23.780184985233252</v>
      </c>
      <c r="AV90" s="21">
        <f>EXP(-LN(2)/25)*AV89+(1-EXP(-LN(2)/25))/(LN(2)/25)*Calculateur!AQ90*Calculateur!AS90*VLOOKUP('Données projet'!$B$10,Paramètres!$A$1:$I$89,3,0)*0.475*44/12</f>
        <v>27.979544529363366</v>
      </c>
      <c r="AW90" s="21">
        <f>EXP(-LN(2)/2)*AW89+(1-EXP(-LN(2)/2))/(LN(2)/2)*AQ90*AT90*VLOOKUP('Données projet'!$B$10,Paramètres!$A$1:$I$89,3,0)*0.475*44/12</f>
        <v>1.74931398329027</v>
      </c>
      <c r="AX90" s="21">
        <f t="shared" si="60"/>
        <v>53.509043497886886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6.7600000000000007</v>
      </c>
      <c r="BD90" s="12">
        <f>IF('Données projet'!$A$88&gt;35,BD89+BC90-BL89,IF(A90&lt;'Données projet'!$A$88,$BA$205^A90,IF(A90='Données projet'!$A$88,'Données projet'!$B$88,BD89+BC90-BL89)))</f>
        <v>198.48999999999995</v>
      </c>
      <c r="BE90" s="13">
        <f>BD90*VLOOKUP('Données projet'!$B$11,Paramètres!$A$1:$I$89,3,0)*VLOOKUP('Données projet'!$B$11,Paramètres!$A$1:$I$89,5,0)</f>
        <v>226.04041199999995</v>
      </c>
      <c r="BF90" s="13">
        <f t="shared" si="91"/>
        <v>55.425662660889152</v>
      </c>
      <c r="BG90" s="20">
        <f t="shared" si="61"/>
        <v>490.22008003438185</v>
      </c>
      <c r="BH90" s="59">
        <f t="shared" si="62"/>
        <v>783.55341336771517</v>
      </c>
      <c r="BI90" s="59">
        <f ca="1">AVERAGE(OFFSET($BH$3,0,0,'Données projet'!$E$11+1,1))-AVERAGE(OFFSET($H$3,0,0,'Données projet'!$E$11+1,1))</f>
        <v>593.28343396240075</v>
      </c>
      <c r="BJ90" s="59">
        <f t="shared" si="92"/>
        <v>289.66477662068695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6.9730773074082073</v>
      </c>
      <c r="BQ90" s="21">
        <f>EXP(-LN(2)/25)*BQ89+(1-EXP(-LN(2)/25))/(LN(2)/25)*Calculateur!BL90*Calculateur!BN90*VLOOKUP('Données projet'!$B$11,Paramètres!$A$1:$I$89,3,0)*0.475*44/12</f>
        <v>40.961459142038137</v>
      </c>
      <c r="BR90" s="21">
        <f>EXP(-LN(2)/2)*BR89+(1-EXP(-LN(2)/2))/(LN(2)/2)*BL90*BO90*VLOOKUP('Données projet'!$B$11,Paramètres!$A$1:$I$89,3,0)*0.475*44/12</f>
        <v>3.0992722413954534</v>
      </c>
      <c r="BS90" s="22">
        <f t="shared" si="63"/>
        <v>51.033808690841795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9.2740000000000009</v>
      </c>
      <c r="BY90" s="12">
        <f>IF('Données projet'!$A$114&gt;35,BY89+BX90-CG89,IF(A90&lt;'Données projet'!$A$114,$BV$205^A90,IF(A90='Données projet'!$A$114,'Données projet'!$B$114,BY89+BX90-CG89)))</f>
        <v>293.22599999999989</v>
      </c>
      <c r="BZ90" s="13">
        <f>BY90*VLOOKUP('Données projet'!$B$12,Paramètres!$A$1:$I$89,3,0)*VLOOKUP('Données projet'!$B$12,Paramètres!$A$1:$I$89,5,0)</f>
        <v>315.62846639999987</v>
      </c>
      <c r="CA90" s="13">
        <f t="shared" si="93"/>
        <v>74.443044193100945</v>
      </c>
      <c r="CB90" s="20">
        <f t="shared" si="64"/>
        <v>679.37454761631727</v>
      </c>
      <c r="CC90" s="59">
        <f t="shared" si="65"/>
        <v>972.70788094965064</v>
      </c>
      <c r="CD90" s="59">
        <f ca="1">AVERAGE(OFFSET($CC$3,0,0,'Données projet'!$E$12+1,1))-AVERAGE(OFFSET($H$3,0,0,'Données projet'!$E$12+1,1))</f>
        <v>502.65044103360322</v>
      </c>
      <c r="CE90" s="59">
        <f t="shared" si="94"/>
        <v>321.65762891855167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27.818160977936767</v>
      </c>
      <c r="CL90" s="21">
        <f>EXP(-LN(2)/25)*CL89+(1-EXP(-LN(2)/25))/(LN(2)/25)*Calculateur!CG90*Calculateur!CI90*VLOOKUP('Données projet'!$B$12,Paramètres!$A$1:$I$89,3,0)*0.475*44/12</f>
        <v>26.712091260858031</v>
      </c>
      <c r="CM90" s="21">
        <f>EXP(-LN(2)/2)*CM89+(1-EXP(-LN(2)/2))/(LN(2)/2)*CG90*CJ90*VLOOKUP('Données projet'!$B$12,Paramètres!$A$1:$I$89,3,0)*0.475*44/12</f>
        <v>1.3425775953295402</v>
      </c>
      <c r="CN90" s="22">
        <f t="shared" si="66"/>
        <v>55.872829834124339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1.7948717948717956</v>
      </c>
      <c r="N91" s="13">
        <f>IF('Données projet'!$A$36&gt;35,N90+M91-V90,IF(A91&lt;'Données projet'!$A$36,$K$205^A91,IF(A91='Données projet'!$A$36,'Données projet'!$B$36,N90+M91-V90)))</f>
        <v>134.23076923076917</v>
      </c>
      <c r="O91" s="13">
        <f>N91*VLOOKUP('Données projet'!$B$9,Paramètres!$A$1:$I$89,3,0)*VLOOKUP('Données projet'!$B$9,Paramètres!$A$1:$I$89,5,0)</f>
        <v>140.29799999999997</v>
      </c>
      <c r="P91" s="13">
        <f t="shared" si="87"/>
        <v>36.365264659858738</v>
      </c>
      <c r="Q91" s="20">
        <f t="shared" si="54"/>
        <v>307.68851928258727</v>
      </c>
      <c r="R91" s="59">
        <f t="shared" si="55"/>
        <v>601.02185261592058</v>
      </c>
      <c r="S91" s="59">
        <f ca="1">AVERAGE(OFFSET($R$3,0,0,'Données projet'!$E$9+1,1))-AVERAGE(OFFSET($H$3,0,0,'Données projet'!$E$9+1,1))</f>
        <v>239.26156489359892</v>
      </c>
      <c r="T91" s="59">
        <f t="shared" si="88"/>
        <v>213.97034450798111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1.5096746992654508</v>
      </c>
      <c r="AA91" s="21">
        <f>EXP(-LN(2)/25)*AA90+(1-EXP(-LN(2)/25))/(LN(2)/25)*Calculateur!V91*Calculateur!X91*VLOOKUP('Données projet'!$B$9,Paramètres!$A$1:$I$89,3,0)*0.475*44/12</f>
        <v>14.375182335111747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15.884857034377198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7.6966666666666681</v>
      </c>
      <c r="AI91" s="13">
        <f>IF('Données projet'!$A$62&gt;35,AI90+AH91-AQ90,IF(A91&lt;'Données projet'!$A$62,$AF$205^A91,IF(A91='Données projet'!$A$62,'Données projet'!$B$62,AI90+AH91-AQ90)))</f>
        <v>264.886666666667</v>
      </c>
      <c r="AJ91" s="13">
        <f>AI91*VLOOKUP('Données projet'!$B$10,Paramètres!$A$1:$I$89,3,0)*VLOOKUP('Données projet'!$B$10,Paramètres!$A$1:$I$89,5,0)</f>
        <v>268.59508000000034</v>
      </c>
      <c r="AK91" s="13">
        <f t="shared" si="89"/>
        <v>64.551019336598415</v>
      </c>
      <c r="AL91" s="20">
        <f t="shared" si="58"/>
        <v>580.22945634457619</v>
      </c>
      <c r="AM91" s="59">
        <f t="shared" si="59"/>
        <v>873.56278967790945</v>
      </c>
      <c r="AN91" s="59">
        <f ca="1">AVERAGE(OFFSET($AM$3,0,0,'Données projet'!$E$10+1,1))-AVERAGE(OFFSET($H$3,0,0,'Données projet'!$E$10+1,1))</f>
        <v>543.88440431478944</v>
      </c>
      <c r="AO91" s="59">
        <f t="shared" si="90"/>
        <v>342.63929463709457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23.31387006215347</v>
      </c>
      <c r="AV91" s="21">
        <f>EXP(-LN(2)/25)*AV90+(1-EXP(-LN(2)/25))/(LN(2)/25)*Calculateur!AQ91*Calculateur!AS91*VLOOKUP('Données projet'!$B$10,Paramètres!$A$1:$I$89,3,0)*0.475*44/12</f>
        <v>27.214442412827626</v>
      </c>
      <c r="AW91" s="21">
        <f>EXP(-LN(2)/2)*AW90+(1-EXP(-LN(2)/2))/(LN(2)/2)*AQ91*AT91*VLOOKUP('Données projet'!$B$10,Paramètres!$A$1:$I$89,3,0)*0.475*44/12</f>
        <v>1.2369517800090009</v>
      </c>
      <c r="AX91" s="21">
        <f t="shared" si="60"/>
        <v>51.765264254990093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6.7600000000000007</v>
      </c>
      <c r="BD91" s="12">
        <f>IF('Données projet'!$A$88&gt;35,BD90+BC91-BL90,IF(A91&lt;'Données projet'!$A$88,$BA$205^A91,IF(A91='Données projet'!$A$88,'Données projet'!$B$88,BD90+BC91-BL90)))</f>
        <v>205.24999999999994</v>
      </c>
      <c r="BE91" s="13">
        <f>BD91*VLOOKUP('Données projet'!$B$11,Paramètres!$A$1:$I$89,3,0)*VLOOKUP('Données projet'!$B$11,Paramètres!$A$1:$I$89,5,0)</f>
        <v>233.73869999999994</v>
      </c>
      <c r="BF91" s="13">
        <f t="shared" si="91"/>
        <v>57.090315684407514</v>
      </c>
      <c r="BG91" s="20">
        <f t="shared" si="61"/>
        <v>506.52720231700965</v>
      </c>
      <c r="BH91" s="59">
        <f t="shared" si="62"/>
        <v>799.86053565034297</v>
      </c>
      <c r="BI91" s="59">
        <f ca="1">AVERAGE(OFFSET($BH$3,0,0,'Données projet'!$E$11+1,1))-AVERAGE(OFFSET($H$3,0,0,'Données projet'!$E$11+1,1))</f>
        <v>593.28343396240075</v>
      </c>
      <c r="BJ91" s="59">
        <f t="shared" si="92"/>
        <v>289.66477662068695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6.8363395145671255</v>
      </c>
      <c r="BQ91" s="21">
        <f>EXP(-LN(2)/25)*BQ90+(1-EXP(-LN(2)/25))/(LN(2)/25)*Calculateur!BL91*Calculateur!BN91*VLOOKUP('Données projet'!$B$11,Paramètres!$A$1:$I$89,3,0)*0.475*44/12</f>
        <v>39.841365887729587</v>
      </c>
      <c r="BR91" s="21">
        <f>EXP(-LN(2)/2)*BR90+(1-EXP(-LN(2)/2))/(LN(2)/2)*BL91*BO91*VLOOKUP('Données projet'!$B$11,Paramètres!$A$1:$I$89,3,0)*0.475*44/12</f>
        <v>2.1915164186339555</v>
      </c>
      <c r="BS91" s="22">
        <f t="shared" si="63"/>
        <v>48.869221820930662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9.2740000000000009</v>
      </c>
      <c r="BY91" s="12">
        <f>IF('Données projet'!$A$114&gt;35,BY90+BX91-CG90,IF(A91&lt;'Données projet'!$A$114,$BV$205^A91,IF(A91='Données projet'!$A$114,'Données projet'!$B$114,BY90+BX91-CG90)))</f>
        <v>302.49999999999989</v>
      </c>
      <c r="BZ91" s="13">
        <f>BY91*VLOOKUP('Données projet'!$B$12,Paramètres!$A$1:$I$89,3,0)*VLOOKUP('Données projet'!$B$12,Paramètres!$A$1:$I$89,5,0)</f>
        <v>325.61099999999988</v>
      </c>
      <c r="CA91" s="13">
        <f t="shared" si="93"/>
        <v>76.519647625515432</v>
      </c>
      <c r="CB91" s="20">
        <f t="shared" si="64"/>
        <v>700.3775446144391</v>
      </c>
      <c r="CC91" s="59">
        <f t="shared" si="65"/>
        <v>993.71087794777236</v>
      </c>
      <c r="CD91" s="59">
        <f ca="1">AVERAGE(OFFSET($CC$3,0,0,'Données projet'!$E$12+1,1))-AVERAGE(OFFSET($H$3,0,0,'Données projet'!$E$12+1,1))</f>
        <v>502.65044103360322</v>
      </c>
      <c r="CE91" s="59">
        <f t="shared" si="94"/>
        <v>321.65762891855167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27.272663808562232</v>
      </c>
      <c r="CL91" s="21">
        <f>EXP(-LN(2)/25)*CL90+(1-EXP(-LN(2)/25))/(LN(2)/25)*Calculateur!CG91*Calculateur!CI91*VLOOKUP('Données projet'!$B$12,Paramètres!$A$1:$I$89,3,0)*0.475*44/12</f>
        <v>25.981647720602041</v>
      </c>
      <c r="CM91" s="21">
        <f>EXP(-LN(2)/2)*CM90+(1-EXP(-LN(2)/2))/(LN(2)/2)*CG91*CJ91*VLOOKUP('Données projet'!$B$12,Paramètres!$A$1:$I$89,3,0)*0.475*44/12</f>
        <v>0.94934572192664646</v>
      </c>
      <c r="CN91" s="22">
        <f t="shared" si="66"/>
        <v>54.203657251090917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1.7948717948717956</v>
      </c>
      <c r="N92" s="13">
        <f>IF('Données projet'!$A$36&gt;35,N91+M92-V91,IF(A92&lt;'Données projet'!$A$36,$K$205^A92,IF(A92='Données projet'!$A$36,'Données projet'!$B$36,N91+M92-V91)))</f>
        <v>136.02564102564097</v>
      </c>
      <c r="O92" s="13">
        <f>N92*VLOOKUP('Données projet'!$B$9,Paramètres!$A$1:$I$89,3,0)*VLOOKUP('Données projet'!$B$9,Paramètres!$A$1:$I$89,5,0)</f>
        <v>142.17399999999995</v>
      </c>
      <c r="P92" s="13">
        <f t="shared" si="87"/>
        <v>36.794590842933211</v>
      </c>
      <c r="Q92" s="20">
        <f t="shared" si="54"/>
        <v>311.70362905144191</v>
      </c>
      <c r="R92" s="59">
        <f t="shared" si="55"/>
        <v>605.03696238477528</v>
      </c>
      <c r="S92" s="59">
        <f ca="1">AVERAGE(OFFSET($R$3,0,0,'Données projet'!$E$9+1,1))-AVERAGE(OFFSET($H$3,0,0,'Données projet'!$E$9+1,1))</f>
        <v>239.26156489359892</v>
      </c>
      <c r="T92" s="59">
        <f t="shared" si="88"/>
        <v>213.97034450798111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1.4800708992234994</v>
      </c>
      <c r="AA92" s="21">
        <f>EXP(-LN(2)/25)*AA91+(1-EXP(-LN(2)/25))/(LN(2)/25)*Calculateur!V92*Calculateur!X92*VLOOKUP('Données projet'!$B$9,Paramètres!$A$1:$I$89,3,0)*0.475*44/12</f>
        <v>13.982092218200131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15.46216311742363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7.6966666666666681</v>
      </c>
      <c r="AI92" s="13">
        <f>IF('Données projet'!$A$62&gt;35,AI91+AH92-AQ91,IF(A92&lt;'Données projet'!$A$62,$AF$205^A92,IF(A92='Données projet'!$A$62,'Données projet'!$B$62,AI91+AH92-AQ91)))</f>
        <v>272.58333333333366</v>
      </c>
      <c r="AJ92" s="13">
        <f>AI92*VLOOKUP('Données projet'!$B$10,Paramètres!$A$1:$I$89,3,0)*VLOOKUP('Données projet'!$B$10,Paramètres!$A$1:$I$89,5,0)</f>
        <v>276.39950000000033</v>
      </c>
      <c r="AK92" s="13">
        <f t="shared" si="89"/>
        <v>66.205547543820884</v>
      </c>
      <c r="AL92" s="20">
        <f t="shared" si="58"/>
        <v>596.70379113882188</v>
      </c>
      <c r="AM92" s="59">
        <f t="shared" si="59"/>
        <v>890.03712447215526</v>
      </c>
      <c r="AN92" s="59">
        <f ca="1">AVERAGE(OFFSET($AM$3,0,0,'Données projet'!$E$10+1,1))-AVERAGE(OFFSET($H$3,0,0,'Données projet'!$E$10+1,1))</f>
        <v>543.88440431478944</v>
      </c>
      <c r="AO92" s="59">
        <f t="shared" si="90"/>
        <v>342.63929463709457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22.856699290291264</v>
      </c>
      <c r="AV92" s="21">
        <f>EXP(-LN(2)/25)*AV91+(1-EXP(-LN(2)/25))/(LN(2)/25)*Calculateur!AQ92*Calculateur!AS92*VLOOKUP('Données projet'!$B$10,Paramètres!$A$1:$I$89,3,0)*0.475*44/12</f>
        <v>26.470262053903529</v>
      </c>
      <c r="AW92" s="21">
        <f>EXP(-LN(2)/2)*AW91+(1-EXP(-LN(2)/2))/(LN(2)/2)*AQ92*AT92*VLOOKUP('Données projet'!$B$10,Paramètres!$A$1:$I$89,3,0)*0.475*44/12</f>
        <v>0.87465699164513511</v>
      </c>
      <c r="AX92" s="21">
        <f t="shared" si="60"/>
        <v>50.201618335839925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6.7600000000000007</v>
      </c>
      <c r="BD92" s="12">
        <f>IF('Données projet'!$A$88&gt;35,BD91+BC92-BL91,IF(A92&lt;'Données projet'!$A$88,$BA$205^A92,IF(A92='Données projet'!$A$88,'Données projet'!$B$88,BD91+BC92-BL91)))</f>
        <v>212.00999999999993</v>
      </c>
      <c r="BE92" s="13">
        <f>BD92*VLOOKUP('Données projet'!$B$11,Paramètres!$A$1:$I$89,3,0)*VLOOKUP('Données projet'!$B$11,Paramètres!$A$1:$I$89,5,0)</f>
        <v>241.43698799999993</v>
      </c>
      <c r="BF92" s="13">
        <f t="shared" si="91"/>
        <v>58.748597951768716</v>
      </c>
      <c r="BG92" s="20">
        <f t="shared" si="61"/>
        <v>522.82322886599707</v>
      </c>
      <c r="BH92" s="59">
        <f t="shared" si="62"/>
        <v>816.15656219933044</v>
      </c>
      <c r="BI92" s="59">
        <f ca="1">AVERAGE(OFFSET($BH$3,0,0,'Données projet'!$E$11+1,1))-AVERAGE(OFFSET($H$3,0,0,'Données projet'!$E$11+1,1))</f>
        <v>593.28343396240075</v>
      </c>
      <c r="BJ92" s="59">
        <f t="shared" si="92"/>
        <v>289.66477662068695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6.7022830664418391</v>
      </c>
      <c r="BQ92" s="21">
        <f>EXP(-LN(2)/25)*BQ91+(1-EXP(-LN(2)/25))/(LN(2)/25)*Calculateur!BL92*Calculateur!BN92*VLOOKUP('Données projet'!$B$11,Paramètres!$A$1:$I$89,3,0)*0.475*44/12</f>
        <v>38.751901642363251</v>
      </c>
      <c r="BR92" s="21">
        <f>EXP(-LN(2)/2)*BR91+(1-EXP(-LN(2)/2))/(LN(2)/2)*BL92*BO92*VLOOKUP('Données projet'!$B$11,Paramètres!$A$1:$I$89,3,0)*0.475*44/12</f>
        <v>1.5496361206977267</v>
      </c>
      <c r="BS92" s="22">
        <f t="shared" si="63"/>
        <v>47.003820829502814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9.2740000000000009</v>
      </c>
      <c r="BY92" s="12">
        <f>IF('Données projet'!$A$114&gt;35,BY91+BX92-CG91,IF(A92&lt;'Données projet'!$A$114,$BV$205^A92,IF(A92='Données projet'!$A$114,'Données projet'!$B$114,BY91+BX92-CG91)))</f>
        <v>311.77399999999989</v>
      </c>
      <c r="BZ92" s="13">
        <f>BY92*VLOOKUP('Données projet'!$B$12,Paramètres!$A$1:$I$89,3,0)*VLOOKUP('Données projet'!$B$12,Paramètres!$A$1:$I$89,5,0)</f>
        <v>335.59353359999983</v>
      </c>
      <c r="CA92" s="13">
        <f t="shared" si="93"/>
        <v>78.588852527390316</v>
      </c>
      <c r="CB92" s="20">
        <f t="shared" si="64"/>
        <v>721.36765583853776</v>
      </c>
      <c r="CC92" s="59">
        <f t="shared" si="65"/>
        <v>1014.700989171871</v>
      </c>
      <c r="CD92" s="59">
        <f ca="1">AVERAGE(OFFSET($CC$3,0,0,'Données projet'!$E$12+1,1))-AVERAGE(OFFSET($H$3,0,0,'Données projet'!$E$12+1,1))</f>
        <v>502.65044103360322</v>
      </c>
      <c r="CE92" s="59">
        <f t="shared" si="94"/>
        <v>321.65762891855167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26.73786350595871</v>
      </c>
      <c r="CL92" s="21">
        <f>EXP(-LN(2)/25)*CL91+(1-EXP(-LN(2)/25))/(LN(2)/25)*Calculateur!CG92*Calculateur!CI92*VLOOKUP('Données projet'!$B$12,Paramètres!$A$1:$I$89,3,0)*0.475*44/12</f>
        <v>25.271178197366705</v>
      </c>
      <c r="CM92" s="21">
        <f>EXP(-LN(2)/2)*CM91+(1-EXP(-LN(2)/2))/(LN(2)/2)*CG92*CJ92*VLOOKUP('Données projet'!$B$12,Paramètres!$A$1:$I$89,3,0)*0.475*44/12</f>
        <v>0.67128879766477023</v>
      </c>
      <c r="CN92" s="22">
        <f t="shared" si="66"/>
        <v>52.680330500990188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137.82051282051282</v>
      </c>
      <c r="L93" s="12">
        <f>VLOOKUP(A93,'Données projet'!$A$35:$I$55,9,0)</f>
        <v>1.7948717948717956</v>
      </c>
      <c r="M93" s="12">
        <f t="array" ref="M93">INDEX(L:L,MIN(IF(ISNUMBER(L93:L289),ROW(L93:L289),"")))</f>
        <v>1.7948717948717956</v>
      </c>
      <c r="N93" s="13">
        <f>IF('Données projet'!$A$36&gt;35,N92+M93-V92,IF(A93&lt;'Données projet'!$A$36,$K$205^A93,IF(A93='Données projet'!$A$36,'Données projet'!$B$36,N92+M93-V92)))</f>
        <v>137.82051282051276</v>
      </c>
      <c r="O93" s="13">
        <f>N93*VLOOKUP('Données projet'!$B$9,Paramètres!$A$1:$I$89,3,0)*VLOOKUP('Données projet'!$B$9,Paramètres!$A$1:$I$89,5,0)</f>
        <v>144.04999999999995</v>
      </c>
      <c r="P93" s="13">
        <f t="shared" si="87"/>
        <v>37.223258105752187</v>
      </c>
      <c r="Q93" s="20">
        <f t="shared" si="54"/>
        <v>315.71759120085159</v>
      </c>
      <c r="R93" s="59">
        <f t="shared" si="55"/>
        <v>609.0509245341849</v>
      </c>
      <c r="S93" s="59">
        <f ca="1">AVERAGE(OFFSET($R$3,0,0,'Données projet'!$E$9+1,1))-AVERAGE(OFFSET($H$3,0,0,'Données projet'!$E$9+1,1))</f>
        <v>239.26156489359892</v>
      </c>
      <c r="T93" s="59">
        <f t="shared" si="88"/>
        <v>213.97034450798111</v>
      </c>
      <c r="U93" s="15">
        <f>IF(ISNA(VLOOKUP(A93,'Données projet'!$A$35:$I$55,3,0)),0,VLOOKUP(A93,'Données projet'!$A$35:$I$55,3,0))</f>
        <v>15</v>
      </c>
      <c r="V93" s="15">
        <f>IF(ISNA(VLOOKUP(A93,'Données projet'!$A$35:$I$55,4,0)),0,VLOOKUP(A93,'Données projet'!$A$35:$I$55,4,0))</f>
        <v>6.4102564102564097</v>
      </c>
      <c r="W93" s="16">
        <f>IF(ISNA(VLOOKUP(A93,'Données projet'!$A$35:$I$55,5,0)),0%,VLOOKUP(A93,'Données projet'!$A$35:$I$55,5,0)*VLOOKUP('Données projet'!$B$9,Paramètres!$A$1:$I$89,7,0))</f>
        <v>4.3000000000000003E-2</v>
      </c>
      <c r="X93" s="16">
        <f>IF(ISNA(VLOOKUP(A93,'Données projet'!$A$35:$I$55,6,0)),0%,VLOOKUP(A93,'Données projet'!$A$35:$I$55,6,0)*VLOOKUP('Données projet'!$B$9,Paramètres!$A$1:$I$89,7,0))</f>
        <v>0.215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1.7695336279872784</v>
      </c>
      <c r="AA93" s="21">
        <f>EXP(-LN(2)/25)*AA92+(1-EXP(-LN(2)/25))/(LN(2)/25)*Calculateur!V93*Calculateur!X93*VLOOKUP('Données projet'!$B$9,Paramètres!$A$1:$I$89,3,0)*0.475*44/12</f>
        <v>15.185911248929239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16.955444876916516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7.6966666666666681</v>
      </c>
      <c r="AI93" s="13">
        <f>IF('Données projet'!$A$62&gt;35,AI92+AH93-AQ92,IF(A93&lt;'Données projet'!$A$62,$AF$205^A93,IF(A93='Données projet'!$A$62,'Données projet'!$B$62,AI92+AH93-AQ92)))</f>
        <v>280.28000000000031</v>
      </c>
      <c r="AJ93" s="13">
        <f>AI93*VLOOKUP('Données projet'!$B$10,Paramètres!$A$1:$I$89,3,0)*VLOOKUP('Données projet'!$B$10,Paramètres!$A$1:$I$89,5,0)</f>
        <v>284.20392000000032</v>
      </c>
      <c r="AK93" s="13">
        <f t="shared" si="89"/>
        <v>67.854646023688801</v>
      </c>
      <c r="AL93" s="20">
        <f t="shared" si="58"/>
        <v>613.16866915792525</v>
      </c>
      <c r="AM93" s="59">
        <f t="shared" si="59"/>
        <v>906.50200249125851</v>
      </c>
      <c r="AN93" s="59">
        <f ca="1">AVERAGE(OFFSET($AM$3,0,0,'Données projet'!$E$10+1,1))-AVERAGE(OFFSET($H$3,0,0,'Données projet'!$E$10+1,1))</f>
        <v>543.88440431478944</v>
      </c>
      <c r="AO93" s="59">
        <f t="shared" si="90"/>
        <v>342.63929463709457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22.408493358418639</v>
      </c>
      <c r="AV93" s="21">
        <f>EXP(-LN(2)/25)*AV92+(1-EXP(-LN(2)/25))/(LN(2)/25)*Calculateur!AQ93*Calculateur!AS93*VLOOKUP('Données projet'!$B$10,Paramètres!$A$1:$I$89,3,0)*0.475*44/12</f>
        <v>25.746431346028952</v>
      </c>
      <c r="AW93" s="21">
        <f>EXP(-LN(2)/2)*AW92+(1-EXP(-LN(2)/2))/(LN(2)/2)*AQ93*AT93*VLOOKUP('Données projet'!$B$10,Paramètres!$A$1:$I$89,3,0)*0.475*44/12</f>
        <v>0.61847589000450054</v>
      </c>
      <c r="AX93" s="21">
        <f t="shared" si="60"/>
        <v>48.773400594452099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6.7600000000000007</v>
      </c>
      <c r="BD93" s="12">
        <f>IF('Données projet'!$A$88&gt;35,BD92+BC93-BL92,IF(A93&lt;'Données projet'!$A$88,$BA$205^A93,IF(A93='Données projet'!$A$88,'Données projet'!$B$88,BD92+BC93-BL92)))</f>
        <v>218.76999999999992</v>
      </c>
      <c r="BE93" s="13">
        <f>BD93*VLOOKUP('Données projet'!$B$11,Paramètres!$A$1:$I$89,3,0)*VLOOKUP('Données projet'!$B$11,Paramètres!$A$1:$I$89,5,0)</f>
        <v>249.13527599999992</v>
      </c>
      <c r="BF93" s="13">
        <f t="shared" si="91"/>
        <v>60.4007358986577</v>
      </c>
      <c r="BG93" s="20">
        <f t="shared" si="61"/>
        <v>539.10855405682867</v>
      </c>
      <c r="BH93" s="59">
        <f t="shared" si="62"/>
        <v>832.44188739016204</v>
      </c>
      <c r="BI93" s="59">
        <f ca="1">AVERAGE(OFFSET($BH$3,0,0,'Données projet'!$E$11+1,1))-AVERAGE(OFFSET($H$3,0,0,'Données projet'!$E$11+1,1))</f>
        <v>593.28343396240075</v>
      </c>
      <c r="BJ93" s="59">
        <f t="shared" si="92"/>
        <v>289.66477662068695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6.5708553834979302</v>
      </c>
      <c r="BQ93" s="21">
        <f>EXP(-LN(2)/25)*BQ92+(1-EXP(-LN(2)/25))/(LN(2)/25)*Calculateur!BL93*Calculateur!BN93*VLOOKUP('Données projet'!$B$11,Paramètres!$A$1:$I$89,3,0)*0.475*44/12</f>
        <v>37.692228854078891</v>
      </c>
      <c r="BR93" s="21">
        <f>EXP(-LN(2)/2)*BR92+(1-EXP(-LN(2)/2))/(LN(2)/2)*BL93*BO93*VLOOKUP('Données projet'!$B$11,Paramètres!$A$1:$I$89,3,0)*0.475*44/12</f>
        <v>1.0957582093169778</v>
      </c>
      <c r="BS93" s="22">
        <f t="shared" si="63"/>
        <v>45.358842446893796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9.2740000000000009</v>
      </c>
      <c r="BY93" s="12">
        <f>IF('Données projet'!$A$114&gt;35,BY92+BX93-CG92,IF(A93&lt;'Données projet'!$A$114,$BV$205^A93,IF(A93='Données projet'!$A$114,'Données projet'!$B$114,BY92+BX93-CG92)))</f>
        <v>321.04799999999989</v>
      </c>
      <c r="BZ93" s="13">
        <f>BY93*VLOOKUP('Données projet'!$B$12,Paramètres!$A$1:$I$89,3,0)*VLOOKUP('Données projet'!$B$12,Paramètres!$A$1:$I$89,5,0)</f>
        <v>345.57606719999984</v>
      </c>
      <c r="CA93" s="13">
        <f t="shared" si="93"/>
        <v>80.650904240067121</v>
      </c>
      <c r="CB93" s="20">
        <f t="shared" si="64"/>
        <v>742.34530859144991</v>
      </c>
      <c r="CC93" s="59">
        <f t="shared" si="65"/>
        <v>1035.6786419247833</v>
      </c>
      <c r="CD93" s="59">
        <f ca="1">AVERAGE(OFFSET($CC$3,0,0,'Données projet'!$E$12+1,1))-AVERAGE(OFFSET($H$3,0,0,'Données projet'!$E$12+1,1))</f>
        <v>502.65044103360322</v>
      </c>
      <c r="CE93" s="59">
        <f t="shared" si="94"/>
        <v>321.65762891855167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26.213550311093268</v>
      </c>
      <c r="CL93" s="21">
        <f>EXP(-LN(2)/25)*CL92+(1-EXP(-LN(2)/25))/(LN(2)/25)*Calculateur!CG93*Calculateur!CI93*VLOOKUP('Données projet'!$B$12,Paramètres!$A$1:$I$89,3,0)*0.475*44/12</f>
        <v>24.580136500606208</v>
      </c>
      <c r="CM93" s="21">
        <f>EXP(-LN(2)/2)*CM92+(1-EXP(-LN(2)/2))/(LN(2)/2)*CG93*CJ93*VLOOKUP('Données projet'!$B$12,Paramètres!$A$1:$I$89,3,0)*0.475*44/12</f>
        <v>0.47467286096332328</v>
      </c>
      <c r="CN93" s="22">
        <f t="shared" si="66"/>
        <v>51.268359672662797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1.7948717948717956</v>
      </c>
      <c r="N94" s="13">
        <f>IF('Données projet'!$A$36&gt;35,N93+M94-V93,IF(A94&lt;'Données projet'!$A$36,$K$205^A94,IF(A94='Données projet'!$A$36,'Données projet'!$B$36,N93+M94-V93)))</f>
        <v>133.20512820512815</v>
      </c>
      <c r="O94" s="13">
        <f>N94*VLOOKUP('Données projet'!$B$9,Paramètres!$A$1:$I$89,3,0)*VLOOKUP('Données projet'!$B$9,Paramètres!$A$1:$I$89,5,0)</f>
        <v>139.22599999999994</v>
      </c>
      <c r="P94" s="13">
        <f t="shared" si="87"/>
        <v>36.119635793564001</v>
      </c>
      <c r="Q94" s="20">
        <f t="shared" si="54"/>
        <v>305.39364900712383</v>
      </c>
      <c r="R94" s="59">
        <f t="shared" si="55"/>
        <v>598.7269823404572</v>
      </c>
      <c r="S94" s="59">
        <f ca="1">AVERAGE(OFFSET($R$3,0,0,'Données projet'!$E$9+1,1))-AVERAGE(OFFSET($H$3,0,0,'Données projet'!$E$9+1,1))</f>
        <v>239.26156489359892</v>
      </c>
      <c r="T94" s="59">
        <f t="shared" si="88"/>
        <v>213.97034450798111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1.734834152851388</v>
      </c>
      <c r="AA94" s="21">
        <f>EXP(-LN(2)/25)*AA93+(1-EXP(-LN(2)/25))/(LN(2)/25)*Calculateur!V94*Calculateur!X94*VLOOKUP('Données projet'!$B$9,Paramètres!$A$1:$I$89,3,0)*0.475*44/12</f>
        <v>14.770651707234904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16.505485860086292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7.6966666666666681</v>
      </c>
      <c r="AI94" s="13">
        <f>IF('Données projet'!$A$62&gt;35,AI93+AH94-AQ93,IF(A94&lt;'Données projet'!$A$62,$AF$205^A94,IF(A94='Données projet'!$A$62,'Données projet'!$B$62,AI93+AH94-AQ93)))</f>
        <v>287.97666666666697</v>
      </c>
      <c r="AJ94" s="13">
        <f>AI94*VLOOKUP('Données projet'!$B$10,Paramètres!$A$1:$I$89,3,0)*VLOOKUP('Données projet'!$B$10,Paramètres!$A$1:$I$89,5,0)</f>
        <v>292.00834000000032</v>
      </c>
      <c r="AK94" s="13">
        <f t="shared" si="89"/>
        <v>69.498481012201026</v>
      </c>
      <c r="AL94" s="20">
        <f t="shared" si="58"/>
        <v>629.62437992958405</v>
      </c>
      <c r="AM94" s="59">
        <f t="shared" si="59"/>
        <v>922.95771326291742</v>
      </c>
      <c r="AN94" s="59">
        <f ca="1">AVERAGE(OFFSET($AM$3,0,0,'Données projet'!$E$10+1,1))-AVERAGE(OFFSET($H$3,0,0,'Données projet'!$E$10+1,1))</f>
        <v>543.88440431478944</v>
      </c>
      <c r="AO94" s="59">
        <f t="shared" si="90"/>
        <v>342.63929463709457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21.969076471491412</v>
      </c>
      <c r="AV94" s="21">
        <f>EXP(-LN(2)/25)*AV93+(1-EXP(-LN(2)/25))/(LN(2)/25)*Calculateur!AQ94*Calculateur!AS94*VLOOKUP('Données projet'!$B$10,Paramètres!$A$1:$I$89,3,0)*0.475*44/12</f>
        <v>25.04239382692581</v>
      </c>
      <c r="AW94" s="21">
        <f>EXP(-LN(2)/2)*AW93+(1-EXP(-LN(2)/2))/(LN(2)/2)*AQ94*AT94*VLOOKUP('Données projet'!$B$10,Paramètres!$A$1:$I$89,3,0)*0.475*44/12</f>
        <v>0.43732849582256761</v>
      </c>
      <c r="AX94" s="21">
        <f t="shared" si="60"/>
        <v>47.448798794239792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6.7600000000000007</v>
      </c>
      <c r="BD94" s="12">
        <f>IF('Données projet'!$A$88&gt;35,BD93+BC94-BL93,IF(A94&lt;'Données projet'!$A$88,$BA$205^A94,IF(A94='Données projet'!$A$88,'Données projet'!$B$88,BD93+BC94-BL93)))</f>
        <v>225.52999999999992</v>
      </c>
      <c r="BE94" s="13">
        <f>BD94*VLOOKUP('Données projet'!$B$11,Paramètres!$A$1:$I$89,3,0)*VLOOKUP('Données projet'!$B$11,Paramètres!$A$1:$I$89,5,0)</f>
        <v>256.83356399999991</v>
      </c>
      <c r="BF94" s="13">
        <f t="shared" si="91"/>
        <v>62.046941172045024</v>
      </c>
      <c r="BG94" s="20">
        <f t="shared" si="61"/>
        <v>555.38354650797817</v>
      </c>
      <c r="BH94" s="59">
        <f t="shared" si="62"/>
        <v>848.71687984131154</v>
      </c>
      <c r="BI94" s="59">
        <f ca="1">AVERAGE(OFFSET($BH$3,0,0,'Données projet'!$E$11+1,1))-AVERAGE(OFFSET($H$3,0,0,'Données projet'!$E$11+1,1))</f>
        <v>593.28343396240075</v>
      </c>
      <c r="BJ94" s="59">
        <f t="shared" si="92"/>
        <v>289.66477662068695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6.4420049172535796</v>
      </c>
      <c r="BQ94" s="21">
        <f>EXP(-LN(2)/25)*BQ93+(1-EXP(-LN(2)/25))/(LN(2)/25)*Calculateur!BL94*Calculateur!BN94*VLOOKUP('Données projet'!$B$11,Paramètres!$A$1:$I$89,3,0)*0.475*44/12</f>
        <v>36.661532873915938</v>
      </c>
      <c r="BR94" s="21">
        <f>EXP(-LN(2)/2)*BR93+(1-EXP(-LN(2)/2))/(LN(2)/2)*BL94*BO94*VLOOKUP('Données projet'!$B$11,Paramètres!$A$1:$I$89,3,0)*0.475*44/12</f>
        <v>0.77481806034886336</v>
      </c>
      <c r="BS94" s="22">
        <f t="shared" si="63"/>
        <v>43.878355851518378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9.2740000000000009</v>
      </c>
      <c r="BY94" s="12">
        <f>IF('Données projet'!$A$114&gt;35,BY93+BX94-CG93,IF(A94&lt;'Données projet'!$A$114,$BV$205^A94,IF(A94='Données projet'!$A$114,'Données projet'!$B$114,BY93+BX94-CG93)))</f>
        <v>330.32199999999989</v>
      </c>
      <c r="BZ94" s="13">
        <f>BY94*VLOOKUP('Données projet'!$B$12,Paramètres!$A$1:$I$89,3,0)*VLOOKUP('Données projet'!$B$12,Paramètres!$A$1:$I$89,5,0)</f>
        <v>355.55860079999985</v>
      </c>
      <c r="CA94" s="13">
        <f t="shared" si="93"/>
        <v>82.706033124655704</v>
      </c>
      <c r="CB94" s="20">
        <f t="shared" si="64"/>
        <v>763.31090408544162</v>
      </c>
      <c r="CC94" s="59">
        <f t="shared" si="65"/>
        <v>1056.644237418775</v>
      </c>
      <c r="CD94" s="59">
        <f ca="1">AVERAGE(OFFSET($CC$3,0,0,'Données projet'!$E$12+1,1))-AVERAGE(OFFSET($H$3,0,0,'Données projet'!$E$12+1,1))</f>
        <v>502.65044103360322</v>
      </c>
      <c r="CE94" s="59">
        <f t="shared" si="94"/>
        <v>321.65762891855167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25.699518578179667</v>
      </c>
      <c r="CL94" s="21">
        <f>EXP(-LN(2)/25)*CL93+(1-EXP(-LN(2)/25))/(LN(2)/25)*Calculateur!CG94*Calculateur!CI94*VLOOKUP('Données projet'!$B$12,Paramètres!$A$1:$I$89,3,0)*0.475*44/12</f>
        <v>23.907991375383933</v>
      </c>
      <c r="CM94" s="21">
        <f>EXP(-LN(2)/2)*CM93+(1-EXP(-LN(2)/2))/(LN(2)/2)*CG94*CJ94*VLOOKUP('Données projet'!$B$12,Paramètres!$A$1:$I$89,3,0)*0.475*44/12</f>
        <v>0.33564439883238517</v>
      </c>
      <c r="CN94" s="22">
        <f t="shared" si="66"/>
        <v>49.943154352395986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1.7948717948717956</v>
      </c>
      <c r="N95" s="13">
        <f>IF('Données projet'!$A$36&gt;35,N94+M95-V94,IF(A95&lt;'Données projet'!$A$36,$K$205^A95,IF(A95='Données projet'!$A$36,'Données projet'!$B$36,N94+M95-V94)))</f>
        <v>134.99999999999994</v>
      </c>
      <c r="O95" s="13">
        <f>N95*VLOOKUP('Données projet'!$B$9,Paramètres!$A$1:$I$89,3,0)*VLOOKUP('Données projet'!$B$9,Paramètres!$A$1:$I$89,5,0)</f>
        <v>141.10199999999995</v>
      </c>
      <c r="P95" s="13">
        <f t="shared" si="87"/>
        <v>36.549342904663185</v>
      </c>
      <c r="Q95" s="20">
        <f t="shared" si="54"/>
        <v>309.4094222256216</v>
      </c>
      <c r="R95" s="59">
        <f t="shared" si="55"/>
        <v>602.74275555895497</v>
      </c>
      <c r="S95" s="59">
        <f ca="1">AVERAGE(OFFSET($R$3,0,0,'Données projet'!$E$9+1,1))-AVERAGE(OFFSET($H$3,0,0,'Données projet'!$E$9+1,1))</f>
        <v>239.26156489359892</v>
      </c>
      <c r="T95" s="59">
        <f t="shared" si="88"/>
        <v>213.97034450798111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1.7008151132583225</v>
      </c>
      <c r="AA95" s="21">
        <f>EXP(-LN(2)/25)*AA94+(1-EXP(-LN(2)/25))/(LN(2)/25)*Calculateur!V95*Calculateur!X95*VLOOKUP('Données projet'!$B$9,Paramètres!$A$1:$I$89,3,0)*0.475*44/12</f>
        <v>14.366747459545751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16.067562572804075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7.6966666666666681</v>
      </c>
      <c r="AI95" s="13">
        <f>IF('Données projet'!$A$62&gt;35,AI94+AH95-AQ94,IF(A95&lt;'Données projet'!$A$62,$AF$205^A95,IF(A95='Données projet'!$A$62,'Données projet'!$B$62,AI94+AH95-AQ94)))</f>
        <v>295.67333333333363</v>
      </c>
      <c r="AJ95" s="13">
        <f>AI95*VLOOKUP('Données projet'!$B$10,Paramètres!$A$1:$I$89,3,0)*VLOOKUP('Données projet'!$B$10,Paramètres!$A$1:$I$89,5,0)</f>
        <v>299.81276000000031</v>
      </c>
      <c r="AK95" s="13">
        <f t="shared" si="89"/>
        <v>71.13720935355245</v>
      </c>
      <c r="AL95" s="20">
        <f t="shared" si="58"/>
        <v>646.07119662410435</v>
      </c>
      <c r="AM95" s="59">
        <f t="shared" si="59"/>
        <v>939.40452995743772</v>
      </c>
      <c r="AN95" s="59">
        <f ca="1">AVERAGE(OFFSET($AM$3,0,0,'Données projet'!$E$10+1,1))-AVERAGE(OFFSET($H$3,0,0,'Données projet'!$E$10+1,1))</f>
        <v>543.88440431478944</v>
      </c>
      <c r="AO95" s="59">
        <f t="shared" si="90"/>
        <v>342.63929463709457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21.538276281698991</v>
      </c>
      <c r="AV95" s="21">
        <f>EXP(-LN(2)/25)*AV94+(1-EXP(-LN(2)/25))/(LN(2)/25)*Calculateur!AQ95*Calculateur!AS95*VLOOKUP('Données projet'!$B$10,Paramètres!$A$1:$I$89,3,0)*0.475*44/12</f>
        <v>24.357608250806269</v>
      </c>
      <c r="AW95" s="21">
        <f>EXP(-LN(2)/2)*AW94+(1-EXP(-LN(2)/2))/(LN(2)/2)*AQ95*AT95*VLOOKUP('Données projet'!$B$10,Paramètres!$A$1:$I$89,3,0)*0.475*44/12</f>
        <v>0.30923794500225033</v>
      </c>
      <c r="AX95" s="21">
        <f t="shared" si="60"/>
        <v>46.205122477507516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6.7600000000000007</v>
      </c>
      <c r="BD95" s="12">
        <f>IF('Données projet'!$A$88&gt;35,BD94+BC95-BL94,IF(A95&lt;'Données projet'!$A$88,$BA$205^A95,IF(A95='Données projet'!$A$88,'Données projet'!$B$88,BD94+BC95-BL94)))</f>
        <v>232.28999999999991</v>
      </c>
      <c r="BE95" s="13">
        <f>BD95*VLOOKUP('Données projet'!$B$11,Paramètres!$A$1:$I$89,3,0)*VLOOKUP('Données projet'!$B$11,Paramètres!$A$1:$I$89,5,0)</f>
        <v>264.5318519999999</v>
      </c>
      <c r="BF95" s="13">
        <f t="shared" si="91"/>
        <v>63.687412010040255</v>
      </c>
      <c r="BG95" s="20">
        <f t="shared" si="61"/>
        <v>571.64855148415324</v>
      </c>
      <c r="BH95" s="59">
        <f t="shared" si="62"/>
        <v>864.98188481748662</v>
      </c>
      <c r="BI95" s="59">
        <f ca="1">AVERAGE(OFFSET($BH$3,0,0,'Données projet'!$E$11+1,1))-AVERAGE(OFFSET($H$3,0,0,'Données projet'!$E$11+1,1))</f>
        <v>593.28343396240075</v>
      </c>
      <c r="BJ95" s="59">
        <f t="shared" si="92"/>
        <v>289.66477662068695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6.3156811300612565</v>
      </c>
      <c r="BQ95" s="21">
        <f>EXP(-LN(2)/25)*BQ94+(1-EXP(-LN(2)/25))/(LN(2)/25)*Calculateur!BL95*Calculateur!BN95*VLOOKUP('Données projet'!$B$11,Paramètres!$A$1:$I$89,3,0)*0.475*44/12</f>
        <v>35.659021329532486</v>
      </c>
      <c r="BR95" s="21">
        <f>EXP(-LN(2)/2)*BR94+(1-EXP(-LN(2)/2))/(LN(2)/2)*BL95*BO95*VLOOKUP('Données projet'!$B$11,Paramètres!$A$1:$I$89,3,0)*0.475*44/12</f>
        <v>0.54787910465848888</v>
      </c>
      <c r="BS95" s="22">
        <f t="shared" si="63"/>
        <v>42.522581564252235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9.2740000000000009</v>
      </c>
      <c r="BY95" s="12">
        <f>IF('Données projet'!$A$114&gt;35,BY94+BX95-CG94,IF(A95&lt;'Données projet'!$A$114,$BV$205^A95,IF(A95='Données projet'!$A$114,'Données projet'!$B$114,BY94+BX95-CG94)))</f>
        <v>339.59599999999989</v>
      </c>
      <c r="BZ95" s="13">
        <f>BY95*VLOOKUP('Données projet'!$B$12,Paramètres!$A$1:$I$89,3,0)*VLOOKUP('Données projet'!$B$12,Paramètres!$A$1:$I$89,5,0)</f>
        <v>365.54113439999986</v>
      </c>
      <c r="CA95" s="13">
        <f t="shared" si="93"/>
        <v>84.754455871286439</v>
      </c>
      <c r="CB95" s="20">
        <f t="shared" si="64"/>
        <v>784.2648197224903</v>
      </c>
      <c r="CC95" s="59">
        <f t="shared" si="65"/>
        <v>1077.5981530558236</v>
      </c>
      <c r="CD95" s="59">
        <f ca="1">AVERAGE(OFFSET($CC$3,0,0,'Données projet'!$E$12+1,1))-AVERAGE(OFFSET($H$3,0,0,'Données projet'!$E$12+1,1))</f>
        <v>502.65044103360322</v>
      </c>
      <c r="CE95" s="59">
        <f t="shared" si="94"/>
        <v>321.65762891855167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25.195566694020105</v>
      </c>
      <c r="CL95" s="21">
        <f>EXP(-LN(2)/25)*CL94+(1-EXP(-LN(2)/25))/(LN(2)/25)*Calculateur!CG95*Calculateur!CI95*VLOOKUP('Données projet'!$B$12,Paramètres!$A$1:$I$89,3,0)*0.475*44/12</f>
        <v>23.254226093957435</v>
      </c>
      <c r="CM95" s="21">
        <f>EXP(-LN(2)/2)*CM94+(1-EXP(-LN(2)/2))/(LN(2)/2)*CG95*CJ95*VLOOKUP('Données projet'!$B$12,Paramètres!$A$1:$I$89,3,0)*0.475*44/12</f>
        <v>0.2373364304816617</v>
      </c>
      <c r="CN95" s="22">
        <f t="shared" si="66"/>
        <v>48.687129218459205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1.7948717948717956</v>
      </c>
      <c r="N96" s="13">
        <f>IF('Données projet'!$A$36&gt;35,N95+M96-V95,IF(A96&lt;'Données projet'!$A$36,$K$205^A96,IF(A96='Données projet'!$A$36,'Données projet'!$B$36,N95+M96-V95)))</f>
        <v>136.79487179487174</v>
      </c>
      <c r="O96" s="13">
        <f>N96*VLOOKUP('Données projet'!$B$9,Paramètres!$A$1:$I$89,3,0)*VLOOKUP('Données projet'!$B$9,Paramètres!$A$1:$I$89,5,0)</f>
        <v>142.97799999999995</v>
      </c>
      <c r="P96" s="13">
        <f t="shared" si="87"/>
        <v>36.978385503948552</v>
      </c>
      <c r="Q96" s="20">
        <f t="shared" si="54"/>
        <v>313.42403808604359</v>
      </c>
      <c r="R96" s="59">
        <f t="shared" si="55"/>
        <v>606.75737141937691</v>
      </c>
      <c r="S96" s="59">
        <f ca="1">AVERAGE(OFFSET($R$3,0,0,'Données projet'!$E$9+1,1))-AVERAGE(OFFSET($H$3,0,0,'Données projet'!$E$9+1,1))</f>
        <v>239.26156489359892</v>
      </c>
      <c r="T96" s="59">
        <f t="shared" si="88"/>
        <v>213.97034450798111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1.6674631662821116</v>
      </c>
      <c r="AA96" s="21">
        <f>EXP(-LN(2)/25)*AA95+(1-EXP(-LN(2)/25))/(LN(2)/25)*Calculateur!V96*Calculateur!X96*VLOOKUP('Données projet'!$B$9,Paramètres!$A$1:$I$89,3,0)*0.475*44/12</f>
        <v>13.97388799475006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15.641351161032171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>
        <f>VLOOKUP(A96,'Données projet'!$A$61:$I$81,2,0)</f>
        <v>303.37</v>
      </c>
      <c r="AG96" s="12">
        <f>VLOOKUP(A96,'Données projet'!$A$61:$I$81,9,0)</f>
        <v>7.6966666666666681</v>
      </c>
      <c r="AH96" s="12">
        <f t="array" ref="AH96">INDEX(AG:AG,MIN(IF(ISNUMBER(AG96:AG292),ROW(AG96:AG292),"")))</f>
        <v>7.6966666666666681</v>
      </c>
      <c r="AI96" s="13">
        <f>IF('Données projet'!$A$62&gt;35,AI95+AH96-AQ95,IF(A96&lt;'Données projet'!$A$62,$AF$205^A96,IF(A96='Données projet'!$A$62,'Données projet'!$B$62,AI95+AH96-AQ95)))</f>
        <v>303.37000000000029</v>
      </c>
      <c r="AJ96" s="13">
        <f>AI96*VLOOKUP('Données projet'!$B$10,Paramètres!$A$1:$I$89,3,0)*VLOOKUP('Données projet'!$B$10,Paramètres!$A$1:$I$89,5,0)</f>
        <v>307.6171800000003</v>
      </c>
      <c r="AK96" s="13">
        <f t="shared" si="89"/>
        <v>72.770979261218784</v>
      </c>
      <c r="AL96" s="20">
        <f t="shared" si="58"/>
        <v>662.5093773799565</v>
      </c>
      <c r="AM96" s="59">
        <f t="shared" si="59"/>
        <v>955.84271071328976</v>
      </c>
      <c r="AN96" s="59">
        <f ca="1">AVERAGE(OFFSET($AM$3,0,0,'Données projet'!$E$10+1,1))-AVERAGE(OFFSET($H$3,0,0,'Données projet'!$E$10+1,1))</f>
        <v>543.88440431478944</v>
      </c>
      <c r="AO96" s="59">
        <f t="shared" si="90"/>
        <v>342.63929463709457</v>
      </c>
      <c r="AP96" s="15">
        <f>IF(ISNA(VLOOKUP(A96,'Données projet'!$A$61:$I$81,3,0)),0,VLOOKUP(A96,'Données projet'!$A$61:$I$81,3,0))</f>
        <v>7</v>
      </c>
      <c r="AQ96" s="15">
        <f>IF(ISNA(VLOOKUP(A96,'Données projet'!$A$61:$I$81,4,0)),0,VLOOKUP(A96,'Données projet'!$A$61:$I$81,4,0))</f>
        <v>42.910000000000025</v>
      </c>
      <c r="AR96" s="16">
        <f>IF(ISNA(VLOOKUP(A96,'Données projet'!$A$61:$I$81,5,0)),0%,VLOOKUP(A96,'Données projet'!$A$61:$I$81,5,0)*VLOOKUP('Données projet'!$B$10,Paramètres!$A$1:$I$89,7,0))</f>
        <v>0.15049999999999999</v>
      </c>
      <c r="AS96" s="16">
        <f>IF(ISNA(VLOOKUP(A96,'Données projet'!$A$61:$I$81,6,0)),0%,VLOOKUP(A96,'Données projet'!$A$61:$I$81,6,0)*VLOOKUP('Données projet'!$B$10,Paramètres!$A$1:$I$89,7,0))</f>
        <v>8.6000000000000007E-2</v>
      </c>
      <c r="AT96" s="16">
        <f>IF(ISNA(VLOOKUP(A96,'Données projet'!$A$61:$I$81,7,0)),0%,VLOOKUP(A96,'Données projet'!$A$61:$I$81,7,0))</f>
        <v>0.1</v>
      </c>
      <c r="AU96" s="21">
        <f>EXP(-LN(2)/35)*AU95+(1-EXP(-LN(2)/35))/(LN(2)/35)*AQ96*AR96*VLOOKUP('Données projet'!$B$10,Paramètres!$A$1:$I$89,3,0)*0.475*44/12</f>
        <v>28.354948877230942</v>
      </c>
      <c r="AV96" s="21">
        <f>EXP(-LN(2)/25)*AV95+(1-EXP(-LN(2)/25))/(LN(2)/25)*Calculateur!AQ96*Calculateur!AS96*VLOOKUP('Données projet'!$B$10,Paramètres!$A$1:$I$89,3,0)*0.475*44/12</f>
        <v>27.811846604524458</v>
      </c>
      <c r="AW96" s="21">
        <f>EXP(-LN(2)/2)*AW95+(1-EXP(-LN(2)/2))/(LN(2)/2)*AQ96*AT96*VLOOKUP('Données projet'!$B$10,Paramètres!$A$1:$I$89,3,0)*0.475*44/12</f>
        <v>4.3240196743510113</v>
      </c>
      <c r="AX96" s="21">
        <f t="shared" si="60"/>
        <v>60.490815156106414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6.7600000000000007</v>
      </c>
      <c r="BD96" s="12">
        <f>IF('Données projet'!$A$88&gt;35,BD95+BC96-BL95,IF(A96&lt;'Données projet'!$A$88,$BA$205^A96,IF(A96='Données projet'!$A$88,'Données projet'!$B$88,BD95+BC96-BL95)))</f>
        <v>239.0499999999999</v>
      </c>
      <c r="BE96" s="13">
        <f>BD96*VLOOKUP('Données projet'!$B$11,Paramètres!$A$1:$I$89,3,0)*VLOOKUP('Données projet'!$B$11,Paramètres!$A$1:$I$89,5,0)</f>
        <v>272.23013999999989</v>
      </c>
      <c r="BF96" s="13">
        <f t="shared" si="91"/>
        <v>65.322334456608132</v>
      </c>
      <c r="BG96" s="20">
        <f t="shared" si="61"/>
        <v>587.90389301192556</v>
      </c>
      <c r="BH96" s="59">
        <f t="shared" si="62"/>
        <v>881.23722634525893</v>
      </c>
      <c r="BI96" s="59">
        <f ca="1">AVERAGE(OFFSET($BH$3,0,0,'Données projet'!$E$11+1,1))-AVERAGE(OFFSET($H$3,0,0,'Données projet'!$E$11+1,1))</f>
        <v>593.28343396240075</v>
      </c>
      <c r="BJ96" s="59">
        <f t="shared" si="92"/>
        <v>289.66477662068695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6.1918344752858729</v>
      </c>
      <c r="BQ96" s="21">
        <f>EXP(-LN(2)/25)*BQ95+(1-EXP(-LN(2)/25))/(LN(2)/25)*Calculateur!BL96*Calculateur!BN96*VLOOKUP('Données projet'!$B$11,Paramètres!$A$1:$I$89,3,0)*0.475*44/12</f>
        <v>34.683923516049987</v>
      </c>
      <c r="BR96" s="21">
        <f>EXP(-LN(2)/2)*BR95+(1-EXP(-LN(2)/2))/(LN(2)/2)*BL96*BO96*VLOOKUP('Données projet'!$B$11,Paramètres!$A$1:$I$89,3,0)*0.475*44/12</f>
        <v>0.38740903017443168</v>
      </c>
      <c r="BS96" s="22">
        <f t="shared" si="63"/>
        <v>41.263167021510291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>
        <f>VLOOKUP(A96,'Données projet'!$A$113:$I$133,2,0)</f>
        <v>348.87</v>
      </c>
      <c r="BW96" s="12">
        <f>VLOOKUP(A96,'Données projet'!$A$113:$I$133,9,0)</f>
        <v>9.2740000000000009</v>
      </c>
      <c r="BX96" s="12">
        <f t="array" ref="BX96">INDEX(BW:BW,MIN(IF(ISNUMBER(BW96:BW292),ROW(BW96:BW292),"")))</f>
        <v>9.2740000000000009</v>
      </c>
      <c r="BY96" s="12">
        <f>IF('Données projet'!$A$114&gt;35,BY95+BX96-CG95,IF(A96&lt;'Données projet'!$A$114,$BV$205^A96,IF(A96='Données projet'!$A$114,'Données projet'!$B$114,BY95+BX96-CG95)))</f>
        <v>348.86999999999989</v>
      </c>
      <c r="BZ96" s="13">
        <f>BY96*VLOOKUP('Données projet'!$B$12,Paramètres!$A$1:$I$89,3,0)*VLOOKUP('Données projet'!$B$12,Paramètres!$A$1:$I$89,5,0)</f>
        <v>375.52366799999987</v>
      </c>
      <c r="CA96" s="13">
        <f t="shared" si="93"/>
        <v>86.796376661322839</v>
      </c>
      <c r="CB96" s="20">
        <f t="shared" si="64"/>
        <v>805.2074111184703</v>
      </c>
      <c r="CC96" s="59">
        <f t="shared" si="65"/>
        <v>1098.5407444518037</v>
      </c>
      <c r="CD96" s="59">
        <f ca="1">AVERAGE(OFFSET($CC$3,0,0,'Données projet'!$E$12+1,1))-AVERAGE(OFFSET($H$3,0,0,'Données projet'!$E$12+1,1))</f>
        <v>502.65044103360322</v>
      </c>
      <c r="CE96" s="59">
        <f t="shared" si="94"/>
        <v>321.65762891855167</v>
      </c>
      <c r="CF96" s="15">
        <f>IF(ISNA(VLOOKUP(A96,'Données projet'!$A$113:$I$133,3,0)),0,VLOOKUP(A96,'Données projet'!$A$113:$I$133,3,0))</f>
        <v>8</v>
      </c>
      <c r="CG96" s="15">
        <f>IF(ISNA(VLOOKUP(A96,'Données projet'!$A$113:$I$133,4,0)),0,VLOOKUP(A96,'Données projet'!$A$113:$I$133,4,0))</f>
        <v>67.45999999999998</v>
      </c>
      <c r="CH96" s="16">
        <f>IF(ISNA(VLOOKUP(A96,'Données projet'!$A$113:$I$133,5,0)),0%,VLOOKUP(A96,'Données projet'!$A$113:$I$133,5,0)*VLOOKUP('Données projet'!$B$12,Paramètres!$A$1:$I$89,7,0))</f>
        <v>0.215</v>
      </c>
      <c r="CI96" s="16">
        <f>IF(ISNA(VLOOKUP(A96,'Données projet'!$A$113:$I$133,6,0)),0%,VLOOKUP(A96,'Données projet'!$A$113:$I$133,6,0)*VLOOKUP('Données projet'!$B$12,Paramètres!$A$1:$I$89,7,0))</f>
        <v>8.6000000000000007E-2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41.960098309037448</v>
      </c>
      <c r="CL96" s="21">
        <f>EXP(-LN(2)/25)*CL95+(1-EXP(-LN(2)/25))/(LN(2)/25)*Calculateur!CG96*Calculateur!CI96*VLOOKUP('Données projet'!$B$12,Paramètres!$A$1:$I$89,3,0)*0.475*44/12</f>
        <v>29.494597106814883</v>
      </c>
      <c r="CM96" s="21">
        <f>EXP(-LN(2)/2)*CM95+(1-EXP(-LN(2)/2))/(LN(2)/2)*CG96*CJ96*VLOOKUP('Données projet'!$B$12,Paramètres!$A$1:$I$89,3,0)*0.475*44/12</f>
        <v>0.16782219941619261</v>
      </c>
      <c r="CN96" s="22">
        <f t="shared" si="66"/>
        <v>71.622517615268521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1.7948717948717956</v>
      </c>
      <c r="N97" s="13">
        <f>IF('Données projet'!$A$36&gt;35,N96+M97-V96,IF(A97&lt;'Données projet'!$A$36,$K$205^A97,IF(A97='Données projet'!$A$36,'Données projet'!$B$36,N96+M97-V96)))</f>
        <v>138.58974358974353</v>
      </c>
      <c r="O97" s="13">
        <f>N97*VLOOKUP('Données projet'!$B$9,Paramètres!$A$1:$I$89,3,0)*VLOOKUP('Données projet'!$B$9,Paramètres!$A$1:$I$89,5,0)</f>
        <v>144.85399999999996</v>
      </c>
      <c r="P97" s="13">
        <f t="shared" si="87"/>
        <v>37.406773318436002</v>
      </c>
      <c r="Q97" s="20">
        <f t="shared" si="54"/>
        <v>317.43751352960925</v>
      </c>
      <c r="R97" s="59">
        <f t="shared" si="55"/>
        <v>610.77084686294256</v>
      </c>
      <c r="S97" s="59">
        <f ca="1">AVERAGE(OFFSET($R$3,0,0,'Données projet'!$E$9+1,1))-AVERAGE(OFFSET($H$3,0,0,'Données projet'!$E$9+1,1))</f>
        <v>239.26156489359892</v>
      </c>
      <c r="T97" s="59">
        <f t="shared" si="88"/>
        <v>213.97034450798111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1.6347652306434253</v>
      </c>
      <c r="AA97" s="21">
        <f>EXP(-LN(2)/25)*AA96+(1-EXP(-LN(2)/25))/(LN(2)/25)*Calculateur!V97*Calculateur!X97*VLOOKUP('Données projet'!$B$9,Paramètres!$A$1:$I$89,3,0)*0.475*44/12</f>
        <v>13.591771292678787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15.226536523322213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7.7249999999999996</v>
      </c>
      <c r="AI97" s="13">
        <f>IF('Données projet'!$A$62&gt;35,AI96+AH97-AQ96,IF(A97&lt;'Données projet'!$A$62,$AF$205^A97,IF(A97='Données projet'!$A$62,'Données projet'!$B$62,AI96+AH97-AQ96)))</f>
        <v>268.18500000000029</v>
      </c>
      <c r="AJ97" s="13">
        <f>AI97*VLOOKUP('Données projet'!$B$10,Paramètres!$A$1:$I$89,3,0)*VLOOKUP('Données projet'!$B$10,Paramètres!$A$1:$I$89,5,0)</f>
        <v>271.93959000000029</v>
      </c>
      <c r="AK97" s="13">
        <f t="shared" si="89"/>
        <v>65.260727598012593</v>
      </c>
      <c r="AL97" s="20">
        <f t="shared" si="58"/>
        <v>587.29055314987238</v>
      </c>
      <c r="AM97" s="59">
        <f t="shared" si="59"/>
        <v>880.62388648320575</v>
      </c>
      <c r="AN97" s="59">
        <f ca="1">AVERAGE(OFFSET($AM$3,0,0,'Données projet'!$E$10+1,1))-AVERAGE(OFFSET($H$3,0,0,'Données projet'!$E$10+1,1))</f>
        <v>543.88440431478944</v>
      </c>
      <c r="AO97" s="59">
        <f t="shared" si="90"/>
        <v>342.63929463709457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27.798925624559537</v>
      </c>
      <c r="AV97" s="21">
        <f>EXP(-LN(2)/25)*AV96+(1-EXP(-LN(2)/25))/(LN(2)/25)*Calculateur!AQ97*Calculateur!AS97*VLOOKUP('Données projet'!$B$10,Paramètres!$A$1:$I$89,3,0)*0.475*44/12</f>
        <v>27.05133019656229</v>
      </c>
      <c r="AW97" s="21">
        <f>EXP(-LN(2)/2)*AW96+(1-EXP(-LN(2)/2))/(LN(2)/2)*AQ97*AT97*VLOOKUP('Données projet'!$B$10,Paramètres!$A$1:$I$89,3,0)*0.475*44/12</f>
        <v>3.0575436337176471</v>
      </c>
      <c r="AX97" s="21">
        <f t="shared" si="60"/>
        <v>57.907799454839477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6.7600000000000007</v>
      </c>
      <c r="BD97" s="12">
        <f>IF('Données projet'!$A$88&gt;35,BD96+BC97-BL96,IF(A97&lt;'Données projet'!$A$88,$BA$205^A97,IF(A97='Données projet'!$A$88,'Données projet'!$B$88,BD96+BC97-BL96)))</f>
        <v>245.80999999999989</v>
      </c>
      <c r="BE97" s="13">
        <f>BD97*VLOOKUP('Données projet'!$B$11,Paramètres!$A$1:$I$89,3,0)*VLOOKUP('Données projet'!$B$11,Paramètres!$A$1:$I$89,5,0)</f>
        <v>279.92842799999988</v>
      </c>
      <c r="BF97" s="13">
        <f t="shared" si="91"/>
        <v>66.951883435020946</v>
      </c>
      <c r="BG97" s="20">
        <f t="shared" si="61"/>
        <v>604.14987574932786</v>
      </c>
      <c r="BH97" s="59">
        <f t="shared" si="62"/>
        <v>897.48320908266123</v>
      </c>
      <c r="BI97" s="59">
        <f ca="1">AVERAGE(OFFSET($BH$3,0,0,'Données projet'!$E$11+1,1))-AVERAGE(OFFSET($H$3,0,0,'Données projet'!$E$11+1,1))</f>
        <v>593.28343396240075</v>
      </c>
      <c r="BJ97" s="59">
        <f t="shared" si="92"/>
        <v>289.66477662068695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6.0704163778716342</v>
      </c>
      <c r="BQ97" s="21">
        <f>EXP(-LN(2)/25)*BQ96+(1-EXP(-LN(2)/25))/(LN(2)/25)*Calculateur!BL97*Calculateur!BN97*VLOOKUP('Données projet'!$B$11,Paramètres!$A$1:$I$89,3,0)*0.475*44/12</f>
        <v>33.735489803555332</v>
      </c>
      <c r="BR97" s="21">
        <f>EXP(-LN(2)/2)*BR96+(1-EXP(-LN(2)/2))/(LN(2)/2)*BL97*BO97*VLOOKUP('Données projet'!$B$11,Paramètres!$A$1:$I$89,3,0)*0.475*44/12</f>
        <v>0.27393955232924444</v>
      </c>
      <c r="BS97" s="22">
        <f t="shared" si="63"/>
        <v>40.079845733756208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8.9989999999999952</v>
      </c>
      <c r="BY97" s="12">
        <f>IF('Données projet'!$A$114&gt;35,BY96+BX97-CG96,IF(A97&lt;'Données projet'!$A$114,$BV$205^A97,IF(A97='Données projet'!$A$114,'Données projet'!$B$114,BY96+BX97-CG96)))</f>
        <v>290.40899999999993</v>
      </c>
      <c r="BZ97" s="13">
        <f>BY97*VLOOKUP('Données projet'!$B$12,Paramètres!$A$1:$I$89,3,0)*VLOOKUP('Données projet'!$B$12,Paramètres!$A$1:$I$89,5,0)</f>
        <v>312.59624759999991</v>
      </c>
      <c r="CA97" s="13">
        <f t="shared" si="93"/>
        <v>73.810766542684433</v>
      </c>
      <c r="CB97" s="20">
        <f t="shared" si="64"/>
        <v>672.99221629850854</v>
      </c>
      <c r="CC97" s="59">
        <f t="shared" si="65"/>
        <v>966.3255496318418</v>
      </c>
      <c r="CD97" s="59">
        <f ca="1">AVERAGE(OFFSET($CC$3,0,0,'Données projet'!$E$12+1,1))-AVERAGE(OFFSET($H$3,0,0,'Données projet'!$E$12+1,1))</f>
        <v>502.65044103360322</v>
      </c>
      <c r="CE97" s="59">
        <f t="shared" si="94"/>
        <v>321.65762891855167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41.137286374330081</v>
      </c>
      <c r="CL97" s="21">
        <f>EXP(-LN(2)/25)*CL96+(1-EXP(-LN(2)/25))/(LN(2)/25)*Calculateur!CG97*Calculateur!CI97*VLOOKUP('Données projet'!$B$12,Paramètres!$A$1:$I$89,3,0)*0.475*44/12</f>
        <v>28.688065797875581</v>
      </c>
      <c r="CM97" s="21">
        <f>EXP(-LN(2)/2)*CM96+(1-EXP(-LN(2)/2))/(LN(2)/2)*CG97*CJ97*VLOOKUP('Données projet'!$B$12,Paramètres!$A$1:$I$89,3,0)*0.475*44/12</f>
        <v>0.11866821524083086</v>
      </c>
      <c r="CN97" s="22">
        <f t="shared" si="66"/>
        <v>69.9440203874465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140.38461538461539</v>
      </c>
      <c r="L98" s="12">
        <f>VLOOKUP(A98,'Données projet'!$A$35:$I$55,9,0)</f>
        <v>1.7948717948717956</v>
      </c>
      <c r="M98" s="12">
        <f t="array" ref="M98">INDEX(L:L,MIN(IF(ISNUMBER(L98:L294),ROW(L98:L294),"")))</f>
        <v>1.7948717948717956</v>
      </c>
      <c r="N98" s="13">
        <f>IF('Données projet'!$A$36&gt;35,N97+M98-V97,IF(A98&lt;'Données projet'!$A$36,$K$205^A98,IF(A98='Données projet'!$A$36,'Données projet'!$B$36,N97+M98-V97)))</f>
        <v>140.38461538461533</v>
      </c>
      <c r="O98" s="13">
        <f>N98*VLOOKUP('Données projet'!$B$9,Paramètres!$A$1:$I$89,3,0)*VLOOKUP('Données projet'!$B$9,Paramètres!$A$1:$I$89,5,0)</f>
        <v>146.72999999999996</v>
      </c>
      <c r="P98" s="13">
        <f t="shared" si="87"/>
        <v>37.834515808707891</v>
      </c>
      <c r="Q98" s="20">
        <f t="shared" si="54"/>
        <v>321.44986503349952</v>
      </c>
      <c r="R98" s="59">
        <f t="shared" si="55"/>
        <v>614.78319836683283</v>
      </c>
      <c r="S98" s="59">
        <f ca="1">AVERAGE(OFFSET($R$3,0,0,'Données projet'!$E$9+1,1))-AVERAGE(OFFSET($H$3,0,0,'Données projet'!$E$9+1,1))</f>
        <v>239.26156489359892</v>
      </c>
      <c r="T98" s="59">
        <f t="shared" si="88"/>
        <v>213.97034450798111</v>
      </c>
      <c r="U98" s="15">
        <f>IF(ISNA(VLOOKUP(A98,'Données projet'!$A$35:$I$55,3,0)),0,VLOOKUP(A98,'Données projet'!$A$35:$I$55,3,0))</f>
        <v>16</v>
      </c>
      <c r="V98" s="15">
        <f>IF(ISNA(VLOOKUP(A98,'Données projet'!$A$35:$I$55,4,0)),0,VLOOKUP(A98,'Données projet'!$A$35:$I$55,4,0))</f>
        <v>7.0512820512820511</v>
      </c>
      <c r="W98" s="16">
        <f>IF(ISNA(VLOOKUP(A98,'Données projet'!$A$35:$I$55,5,0)),0%,VLOOKUP(A98,'Données projet'!$A$35:$I$55,5,0)*VLOOKUP('Données projet'!$B$9,Paramètres!$A$1:$I$89,7,0))</f>
        <v>4.3000000000000003E-2</v>
      </c>
      <c r="X98" s="16">
        <f>IF(ISNA(VLOOKUP(A98,'Données projet'!$A$35:$I$55,6,0)),0%,VLOOKUP(A98,'Données projet'!$A$35:$I$55,6,0)*VLOOKUP('Données projet'!$B$9,Paramètres!$A$1:$I$89,7,0))</f>
        <v>0.215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1.9530430995566295</v>
      </c>
      <c r="AA98" s="21">
        <f>EXP(-LN(2)/25)*AA97+(1-EXP(-LN(2)/25))/(LN(2)/25)*Calculateur!V98*Calculateur!X98*VLOOKUP('Données projet'!$B$9,Paramètres!$A$1:$I$89,3,0)*0.475*44/12</f>
        <v>14.964879677414567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16.917922776971196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7.7249999999999996</v>
      </c>
      <c r="AI98" s="13">
        <f>IF('Données projet'!$A$62&gt;35,AI97+AH98-AQ97,IF(A98&lt;'Données projet'!$A$62,$AF$205^A98,IF(A98='Données projet'!$A$62,'Données projet'!$B$62,AI97+AH98-AQ97)))</f>
        <v>275.91000000000031</v>
      </c>
      <c r="AJ98" s="13">
        <f>AI98*VLOOKUP('Données projet'!$B$10,Paramètres!$A$1:$I$89,3,0)*VLOOKUP('Données projet'!$B$10,Paramètres!$A$1:$I$89,5,0)</f>
        <v>279.77274000000034</v>
      </c>
      <c r="AK98" s="13">
        <f t="shared" si="89"/>
        <v>66.918980040810155</v>
      </c>
      <c r="AL98" s="20">
        <f t="shared" si="58"/>
        <v>603.82141240441149</v>
      </c>
      <c r="AM98" s="59">
        <f t="shared" si="59"/>
        <v>897.15474573774486</v>
      </c>
      <c r="AN98" s="59">
        <f ca="1">AVERAGE(OFFSET($AM$3,0,0,'Données projet'!$E$10+1,1))-AVERAGE(OFFSET($H$3,0,0,'Données projet'!$E$10+1,1))</f>
        <v>543.88440431478944</v>
      </c>
      <c r="AO98" s="59">
        <f t="shared" si="90"/>
        <v>342.63929463709457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27.253805648732321</v>
      </c>
      <c r="AV98" s="21">
        <f>EXP(-LN(2)/25)*AV97+(1-EXP(-LN(2)/25))/(LN(2)/25)*Calculateur!AQ98*Calculateur!AS98*VLOOKUP('Données projet'!$B$10,Paramètres!$A$1:$I$89,3,0)*0.475*44/12</f>
        <v>26.311610149769667</v>
      </c>
      <c r="AW98" s="21">
        <f>EXP(-LN(2)/2)*AW97+(1-EXP(-LN(2)/2))/(LN(2)/2)*AQ98*AT98*VLOOKUP('Données projet'!$B$10,Paramètres!$A$1:$I$89,3,0)*0.475*44/12</f>
        <v>2.1620098371755061</v>
      </c>
      <c r="AX98" s="21">
        <f t="shared" si="60"/>
        <v>55.727425635677491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252.57</v>
      </c>
      <c r="BB98" s="12">
        <f>VLOOKUP(A98,'Données projet'!$A$87:$I$107,9,0)</f>
        <v>6.7600000000000007</v>
      </c>
      <c r="BC98" s="12">
        <f t="array" ref="BC98">INDEX(BB:BB,MIN(IF(ISNUMBER(BB98:BB294),ROW(BB98:BB294),"")))</f>
        <v>6.7600000000000007</v>
      </c>
      <c r="BD98" s="12">
        <f>IF('Données projet'!$A$88&gt;35,BD97+BC98-BL97,IF(A98&lt;'Données projet'!$A$88,$BA$205^A98,IF(A98='Données projet'!$A$88,'Données projet'!$B$88,BD97+BC98-BL97)))</f>
        <v>252.56999999999988</v>
      </c>
      <c r="BE98" s="13">
        <f>BD98*VLOOKUP('Données projet'!$B$11,Paramètres!$A$1:$I$89,3,0)*VLOOKUP('Données projet'!$B$11,Paramètres!$A$1:$I$89,5,0)</f>
        <v>287.62671599999982</v>
      </c>
      <c r="BF98" s="13">
        <f t="shared" si="91"/>
        <v>68.576223699906507</v>
      </c>
      <c r="BG98" s="20">
        <f t="shared" si="61"/>
        <v>620.38678664400345</v>
      </c>
      <c r="BH98" s="59">
        <f t="shared" si="62"/>
        <v>913.72011997733671</v>
      </c>
      <c r="BI98" s="59">
        <f ca="1">AVERAGE(OFFSET($BH$3,0,0,'Données projet'!$E$11+1,1))-AVERAGE(OFFSET($H$3,0,0,'Données projet'!$E$11+1,1))</f>
        <v>593.28343396240075</v>
      </c>
      <c r="BJ98" s="59">
        <f t="shared" si="92"/>
        <v>289.66477662068695</v>
      </c>
      <c r="BK98" s="15">
        <f>IF(ISNA(VLOOKUP(A98,'Données projet'!$A$87:$I$107,3,0)),0,VLOOKUP(A98,'Données projet'!$A$87:$I$107,3,0))</f>
        <v>5</v>
      </c>
      <c r="BL98" s="15">
        <f>IF(ISNA(VLOOKUP(A98,'Données projet'!$A$87:$I$107,4,0)),0,VLOOKUP(A98,'Données projet'!$A$87:$I$107,4,0))</f>
        <v>42.199999999999989</v>
      </c>
      <c r="BM98" s="16">
        <f>IF(ISNA(VLOOKUP(A98,'Données projet'!$A$87:$I$107,5,0)),0%,VLOOKUP(A98,'Données projet'!$A$87:$I$107,5,0)*VLOOKUP('Données projet'!$B$11,Paramètres!$A$1:$I$89,7,0))</f>
        <v>0.15049999999999999</v>
      </c>
      <c r="BN98" s="16">
        <f>IF(ISNA(VLOOKUP(A98,'Données projet'!$A$87:$I$107,6,0)),0%,VLOOKUP(A98,'Données projet'!$A$87:$I$107,6,0)*VLOOKUP('Données projet'!$B$11,Paramètres!$A$1:$I$89,7,0))</f>
        <v>8.6000000000000007E-2</v>
      </c>
      <c r="BO98" s="16">
        <f>IF(ISNA(VLOOKUP(A98,'Données projet'!$A$87:$I$107,7,0)),0%,VLOOKUP(A98,'Données projet'!$A$87:$I$107,7,0))</f>
        <v>0.1</v>
      </c>
      <c r="BP98" s="21">
        <f>EXP(-LN(2)/35)*BP97+(1-EXP(-LN(2)/35))/(LN(2)/35)*BL98*BM98*VLOOKUP('Données projet'!$B$11,Paramètres!$A$1:$I$89,3,0)*0.475*44/12</f>
        <v>13.946840409071978</v>
      </c>
      <c r="BQ98" s="21">
        <f>EXP(-LN(2)/25)*BQ97+(1-EXP(-LN(2)/25))/(LN(2)/25)*Calculateur!BL98*Calculateur!BN98*VLOOKUP('Données projet'!$B$11,Paramètres!$A$1:$I$89,3,0)*0.475*44/12</f>
        <v>37.363836784549115</v>
      </c>
      <c r="BR98" s="21">
        <f>EXP(-LN(2)/2)*BR97+(1-EXP(-LN(2)/2))/(LN(2)/2)*BL98*BO98*VLOOKUP('Données projet'!$B$11,Paramètres!$A$1:$I$89,3,0)*0.475*44/12</f>
        <v>4.7280457755752554</v>
      </c>
      <c r="BS98" s="22">
        <f t="shared" si="63"/>
        <v>56.038722969196343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8.9989999999999952</v>
      </c>
      <c r="BY98" s="12">
        <f>IF('Données projet'!$A$114&gt;35,BY97+BX98-CG97,IF(A98&lt;'Données projet'!$A$114,$BV$205^A98,IF(A98='Données projet'!$A$114,'Données projet'!$B$114,BY97+BX98-CG97)))</f>
        <v>299.4079999999999</v>
      </c>
      <c r="BZ98" s="13">
        <f>BY98*VLOOKUP('Données projet'!$B$12,Paramètres!$A$1:$I$89,3,0)*VLOOKUP('Données projet'!$B$12,Paramètres!$A$1:$I$89,5,0)</f>
        <v>322.2827711999999</v>
      </c>
      <c r="CA98" s="13">
        <f t="shared" si="93"/>
        <v>75.828131927775956</v>
      </c>
      <c r="CB98" s="20">
        <f t="shared" si="64"/>
        <v>693.37648961420962</v>
      </c>
      <c r="CC98" s="59">
        <f t="shared" si="65"/>
        <v>986.70982294754299</v>
      </c>
      <c r="CD98" s="59">
        <f ca="1">AVERAGE(OFFSET($CC$3,0,0,'Données projet'!$E$12+1,1))-AVERAGE(OFFSET($H$3,0,0,'Données projet'!$E$12+1,1))</f>
        <v>502.65044103360322</v>
      </c>
      <c r="CE98" s="59">
        <f t="shared" si="94"/>
        <v>321.65762891855167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40.330609279796597</v>
      </c>
      <c r="CL98" s="21">
        <f>EXP(-LN(2)/25)*CL97+(1-EXP(-LN(2)/25))/(LN(2)/25)*Calculateur!CG98*Calculateur!CI98*VLOOKUP('Données projet'!$B$12,Paramètres!$A$1:$I$89,3,0)*0.475*44/12</f>
        <v>27.903589129992859</v>
      </c>
      <c r="CM98" s="21">
        <f>EXP(-LN(2)/2)*CM97+(1-EXP(-LN(2)/2))/(LN(2)/2)*CG98*CJ98*VLOOKUP('Données projet'!$B$12,Paramètres!$A$1:$I$89,3,0)*0.475*44/12</f>
        <v>8.3911099708096321E-2</v>
      </c>
      <c r="CN98" s="22">
        <f t="shared" si="66"/>
        <v>68.318109509497546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1.9230769230769227</v>
      </c>
      <c r="N99" s="13">
        <f>IF('Données projet'!$A$36&gt;35,N98+M99-V98,IF(A99&lt;'Données projet'!$A$36,$K$205^A99,IF(A99='Données projet'!$A$36,'Données projet'!$B$36,N98+M99-V98)))</f>
        <v>135.25641025641022</v>
      </c>
      <c r="O99" s="13">
        <f>N99*VLOOKUP('Données projet'!$B$9,Paramètres!$A$1:$I$89,3,0)*VLOOKUP('Données projet'!$B$9,Paramètres!$A$1:$I$89,5,0)</f>
        <v>141.36999999999998</v>
      </c>
      <c r="P99" s="13">
        <f t="shared" si="87"/>
        <v>36.610675159135589</v>
      </c>
      <c r="Q99" s="20">
        <f t="shared" ref="Q99:Q130" si="107">(O99+P99)*0.475*44/12</f>
        <v>309.98300923549442</v>
      </c>
      <c r="R99" s="59">
        <f t="shared" si="55"/>
        <v>603.31634256882774</v>
      </c>
      <c r="S99" s="59">
        <f ca="1">AVERAGE(OFFSET($R$3,0,0,'Données projet'!$E$9+1,1))-AVERAGE(OFFSET($H$3,0,0,'Données projet'!$E$9+1,1))</f>
        <v>239.26156489359892</v>
      </c>
      <c r="T99" s="59">
        <f t="shared" si="88"/>
        <v>213.97034450798111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1.9147451156129895</v>
      </c>
      <c r="AA99" s="21">
        <f>EXP(-LN(2)/25)*AA98+(1-EXP(-LN(2)/25))/(LN(2)/25)*Calculateur!V99*Calculateur!X99*VLOOKUP('Données projet'!$B$9,Paramètres!$A$1:$I$89,3,0)*0.475*44/12</f>
        <v>14.555664255666846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16.470409371279835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7.7249999999999996</v>
      </c>
      <c r="AI99" s="13">
        <f>IF('Données projet'!$A$62&gt;35,AI98+AH99-AQ98,IF(A99&lt;'Données projet'!$A$62,$AF$205^A99,IF(A99='Données projet'!$A$62,'Données projet'!$B$62,AI98+AH99-AQ98)))</f>
        <v>283.63500000000033</v>
      </c>
      <c r="AJ99" s="13">
        <f>AI99*VLOOKUP('Données projet'!$B$10,Paramètres!$A$1:$I$89,3,0)*VLOOKUP('Données projet'!$B$10,Paramètres!$A$1:$I$89,5,0)</f>
        <v>287.60589000000039</v>
      </c>
      <c r="AK99" s="13">
        <f t="shared" si="89"/>
        <v>68.571836294715325</v>
      </c>
      <c r="AL99" s="20">
        <f t="shared" si="58"/>
        <v>620.34287329662993</v>
      </c>
      <c r="AM99" s="59">
        <f t="shared" si="59"/>
        <v>913.67620662996319</v>
      </c>
      <c r="AN99" s="59">
        <f ca="1">AVERAGE(OFFSET($AM$3,0,0,'Données projet'!$E$10+1,1))-AVERAGE(OFFSET($H$3,0,0,'Données projet'!$E$10+1,1))</f>
        <v>543.88440431478944</v>
      </c>
      <c r="AO99" s="59">
        <f t="shared" si="90"/>
        <v>342.63929463709457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26.719375143140724</v>
      </c>
      <c r="AV99" s="21">
        <f>EXP(-LN(2)/25)*AV98+(1-EXP(-LN(2)/25))/(LN(2)/25)*Calculateur!AQ99*Calculateur!AS99*VLOOKUP('Données projet'!$B$10,Paramètres!$A$1:$I$89,3,0)*0.475*44/12</f>
        <v>25.592117786556773</v>
      </c>
      <c r="AW99" s="21">
        <f>EXP(-LN(2)/2)*AW98+(1-EXP(-LN(2)/2))/(LN(2)/2)*AQ99*AT99*VLOOKUP('Données projet'!$B$10,Paramètres!$A$1:$I$89,3,0)*0.475*44/12</f>
        <v>1.528771816858824</v>
      </c>
      <c r="AX99" s="21">
        <f t="shared" si="60"/>
        <v>53.840264746556315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6.7777777777777777</v>
      </c>
      <c r="BD99" s="12">
        <f>IF('Données projet'!$A$88&gt;35,BD98+BC99-BL98,IF(A99&lt;'Données projet'!$A$88,$BA$205^A99,IF(A99='Données projet'!$A$88,'Données projet'!$B$88,BD98+BC99-BL98)))</f>
        <v>217.14777777777766</v>
      </c>
      <c r="BE99" s="13">
        <f>BD99*VLOOKUP('Données projet'!$B$11,Paramètres!$A$1:$I$89,3,0)*VLOOKUP('Données projet'!$B$11,Paramètres!$A$1:$I$89,5,0)</f>
        <v>247.28788933333323</v>
      </c>
      <c r="BF99" s="13">
        <f t="shared" si="91"/>
        <v>60.004815004836068</v>
      </c>
      <c r="BG99" s="20">
        <f t="shared" si="61"/>
        <v>535.20146005564482</v>
      </c>
      <c r="BH99" s="59">
        <f t="shared" si="62"/>
        <v>828.53479338897819</v>
      </c>
      <c r="BI99" s="59">
        <f ca="1">AVERAGE(OFFSET($BH$3,0,0,'Données projet'!$E$11+1,1))-AVERAGE(OFFSET($H$3,0,0,'Données projet'!$E$11+1,1))</f>
        <v>593.28343396240075</v>
      </c>
      <c r="BJ99" s="59">
        <f t="shared" si="92"/>
        <v>289.66477662068695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13.673351375382756</v>
      </c>
      <c r="BQ99" s="21">
        <f>EXP(-LN(2)/25)*BQ98+(1-EXP(-LN(2)/25))/(LN(2)/25)*Calculateur!BL99*Calculateur!BN99*VLOOKUP('Données projet'!$B$11,Paramètres!$A$1:$I$89,3,0)*0.475*44/12</f>
        <v>36.342120702796841</v>
      </c>
      <c r="BR99" s="21">
        <f>EXP(-LN(2)/2)*BR98+(1-EXP(-LN(2)/2))/(LN(2)/2)*BL99*BO99*VLOOKUP('Données projet'!$B$11,Paramètres!$A$1:$I$89,3,0)*0.475*44/12</f>
        <v>3.3432332296696727</v>
      </c>
      <c r="BS99" s="22">
        <f t="shared" si="63"/>
        <v>53.35870530784927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8.9989999999999952</v>
      </c>
      <c r="BY99" s="12">
        <f>IF('Données projet'!$A$114&gt;35,BY98+BX99-CG98,IF(A99&lt;'Données projet'!$A$114,$BV$205^A99,IF(A99='Données projet'!$A$114,'Données projet'!$B$114,BY98+BX99-CG98)))</f>
        <v>308.40699999999993</v>
      </c>
      <c r="BZ99" s="13">
        <f>BY99*VLOOKUP('Données projet'!$B$12,Paramètres!$A$1:$I$89,3,0)*VLOOKUP('Données projet'!$B$12,Paramètres!$A$1:$I$89,5,0)</f>
        <v>331.96929479999989</v>
      </c>
      <c r="CA99" s="13">
        <f t="shared" si="93"/>
        <v>77.838450738855911</v>
      </c>
      <c r="CB99" s="20">
        <f t="shared" si="64"/>
        <v>713.74849014684048</v>
      </c>
      <c r="CC99" s="59">
        <f t="shared" si="65"/>
        <v>1007.0818234801739</v>
      </c>
      <c r="CD99" s="59">
        <f ca="1">AVERAGE(OFFSET($CC$3,0,0,'Données projet'!$E$12+1,1))-AVERAGE(OFFSET($H$3,0,0,'Données projet'!$E$12+1,1))</f>
        <v>502.65044103360322</v>
      </c>
      <c r="CE99" s="59">
        <f t="shared" si="94"/>
        <v>321.65762891855167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39.539750631062475</v>
      </c>
      <c r="CL99" s="21">
        <f>EXP(-LN(2)/25)*CL98+(1-EXP(-LN(2)/25))/(LN(2)/25)*Calculateur!CG99*Calculateur!CI99*VLOOKUP('Données projet'!$B$12,Paramètres!$A$1:$I$89,3,0)*0.475*44/12</f>
        <v>27.140564017847225</v>
      </c>
      <c r="CM99" s="21">
        <f>EXP(-LN(2)/2)*CM98+(1-EXP(-LN(2)/2))/(LN(2)/2)*CG99*CJ99*VLOOKUP('Données projet'!$B$12,Paramètres!$A$1:$I$89,3,0)*0.475*44/12</f>
        <v>5.9334107620415438E-2</v>
      </c>
      <c r="CN99" s="22">
        <f t="shared" si="66"/>
        <v>66.739648756530116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1.9230769230769227</v>
      </c>
      <c r="N100" s="13">
        <f>IF('Données projet'!$A$36&gt;35,N99+M100-V99,IF(A100&lt;'Données projet'!$A$36,$K$205^A100,IF(A100='Données projet'!$A$36,'Données projet'!$B$36,N99+M100-V99)))</f>
        <v>137.17948717948715</v>
      </c>
      <c r="O100" s="13">
        <f>N100*VLOOKUP('Données projet'!$B$9,Paramètres!$A$1:$I$89,3,0)*VLOOKUP('Données projet'!$B$9,Paramètres!$A$1:$I$89,5,0)</f>
        <v>143.37999999999997</v>
      </c>
      <c r="P100" s="13">
        <f t="shared" si="87"/>
        <v>37.070237688614135</v>
      </c>
      <c r="Q100" s="20">
        <f t="shared" si="107"/>
        <v>314.2841639743362</v>
      </c>
      <c r="R100" s="59">
        <f t="shared" si="55"/>
        <v>607.61749730766951</v>
      </c>
      <c r="S100" s="59">
        <f ca="1">AVERAGE(OFFSET($R$3,0,0,'Données projet'!$E$9+1,1))-AVERAGE(OFFSET($H$3,0,0,'Données projet'!$E$9+1,1))</f>
        <v>239.26156489359892</v>
      </c>
      <c r="T100" s="59">
        <f t="shared" si="88"/>
        <v>213.97034450798111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1.8771981317750208</v>
      </c>
      <c r="AA100" s="21">
        <f>EXP(-LN(2)/25)*AA99+(1-EXP(-LN(2)/25))/(LN(2)/25)*Calculateur!V100*Calculateur!X100*VLOOKUP('Données projet'!$B$9,Paramètres!$A$1:$I$89,3,0)*0.475*44/12</f>
        <v>14.157638851146521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16.03483698292154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7.7249999999999996</v>
      </c>
      <c r="AI100" s="13">
        <f>IF('Données projet'!$A$62&gt;35,AI99+AH100-AQ99,IF(A100&lt;'Données projet'!$A$62,$AF$205^A100,IF(A100='Données projet'!$A$62,'Données projet'!$B$62,AI99+AH100-AQ99)))</f>
        <v>291.36000000000035</v>
      </c>
      <c r="AJ100" s="13">
        <f>AI100*VLOOKUP('Données projet'!$B$10,Paramètres!$A$1:$I$89,3,0)*VLOOKUP('Données projet'!$B$10,Paramètres!$A$1:$I$89,5,0)</f>
        <v>295.43904000000038</v>
      </c>
      <c r="AK100" s="13">
        <f t="shared" si="89"/>
        <v>70.219460217166883</v>
      </c>
      <c r="AL100" s="20">
        <f t="shared" si="58"/>
        <v>636.85522121156635</v>
      </c>
      <c r="AM100" s="59">
        <f t="shared" si="59"/>
        <v>930.18855454489972</v>
      </c>
      <c r="AN100" s="59">
        <f ca="1">AVERAGE(OFFSET($AM$3,0,0,'Données projet'!$E$10+1,1))-AVERAGE(OFFSET($H$3,0,0,'Données projet'!$E$10+1,1))</f>
        <v>543.88440431478944</v>
      </c>
      <c r="AO100" s="59">
        <f t="shared" si="90"/>
        <v>342.63929463709457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26.195424493793354</v>
      </c>
      <c r="AV100" s="21">
        <f>EXP(-LN(2)/25)*AV99+(1-EXP(-LN(2)/25))/(LN(2)/25)*Calculateur!AQ100*Calculateur!AS100*VLOOKUP('Données projet'!$B$10,Paramètres!$A$1:$I$89,3,0)*0.475*44/12</f>
        <v>24.892299979852396</v>
      </c>
      <c r="AW100" s="21">
        <f>EXP(-LN(2)/2)*AW99+(1-EXP(-LN(2)/2))/(LN(2)/2)*AQ100*AT100*VLOOKUP('Données projet'!$B$10,Paramètres!$A$1:$I$89,3,0)*0.475*44/12</f>
        <v>1.0810049185877533</v>
      </c>
      <c r="AX100" s="21">
        <f t="shared" si="60"/>
        <v>52.168729392233502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6.7777777777777777</v>
      </c>
      <c r="BD100" s="12">
        <f>IF('Données projet'!$A$88&gt;35,BD99+BC100-BL99,IF(A100&lt;'Données projet'!$A$88,$BA$205^A100,IF(A100='Données projet'!$A$88,'Données projet'!$B$88,BD99+BC100-BL99)))</f>
        <v>223.92555555555543</v>
      </c>
      <c r="BE100" s="13">
        <f>BD100*VLOOKUP('Données projet'!$B$11,Paramètres!$A$1:$I$89,3,0)*VLOOKUP('Données projet'!$B$11,Paramètres!$A$1:$I$89,5,0)</f>
        <v>255.00642266666651</v>
      </c>
      <c r="BF100" s="13">
        <f t="shared" si="91"/>
        <v>61.656750661172069</v>
      </c>
      <c r="BG100" s="20">
        <f t="shared" si="61"/>
        <v>551.5216935459855</v>
      </c>
      <c r="BH100" s="59">
        <f t="shared" si="62"/>
        <v>844.85502687931876</v>
      </c>
      <c r="BI100" s="59">
        <f ca="1">AVERAGE(OFFSET($BH$3,0,0,'Données projet'!$E$11+1,1))-AVERAGE(OFFSET($H$3,0,0,'Données projet'!$E$11+1,1))</f>
        <v>593.28343396240075</v>
      </c>
      <c r="BJ100" s="59">
        <f t="shared" si="92"/>
        <v>289.66477662068695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13.405225294832341</v>
      </c>
      <c r="BQ100" s="21">
        <f>EXP(-LN(2)/25)*BQ99+(1-EXP(-LN(2)/25))/(LN(2)/25)*Calculateur!BL100*Calculateur!BN100*VLOOKUP('Données projet'!$B$11,Paramètres!$A$1:$I$89,3,0)*0.475*44/12</f>
        <v>35.348343501029795</v>
      </c>
      <c r="BR100" s="21">
        <f>EXP(-LN(2)/2)*BR99+(1-EXP(-LN(2)/2))/(LN(2)/2)*BL100*BO100*VLOOKUP('Données projet'!$B$11,Paramètres!$A$1:$I$89,3,0)*0.475*44/12</f>
        <v>2.3640228877876281</v>
      </c>
      <c r="BS100" s="22">
        <f t="shared" si="63"/>
        <v>51.117591683649763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8.9989999999999952</v>
      </c>
      <c r="BY100" s="12">
        <f>IF('Données projet'!$A$114&gt;35,BY99+BX100-CG99,IF(A100&lt;'Données projet'!$A$114,$BV$205^A100,IF(A100='Données projet'!$A$114,'Données projet'!$B$114,BY99+BX100-CG99)))</f>
        <v>317.40599999999995</v>
      </c>
      <c r="BZ100" s="13">
        <f>BY100*VLOOKUP('Données projet'!$B$12,Paramètres!$A$1:$I$89,3,0)*VLOOKUP('Données projet'!$B$12,Paramètres!$A$1:$I$89,5,0)</f>
        <v>341.65581839999993</v>
      </c>
      <c r="CA100" s="13">
        <f t="shared" si="93"/>
        <v>79.841952197500291</v>
      </c>
      <c r="CB100" s="20">
        <f t="shared" si="64"/>
        <v>734.10861712397957</v>
      </c>
      <c r="CC100" s="59">
        <f t="shared" si="65"/>
        <v>1027.4419504573129</v>
      </c>
      <c r="CD100" s="59">
        <f ca="1">AVERAGE(OFFSET($CC$3,0,0,'Données projet'!$E$12+1,1))-AVERAGE(OFFSET($H$3,0,0,'Données projet'!$E$12+1,1))</f>
        <v>502.65044103360322</v>
      </c>
      <c r="CE100" s="59">
        <f t="shared" si="94"/>
        <v>321.65762891855167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38.764400238053881</v>
      </c>
      <c r="CL100" s="21">
        <f>EXP(-LN(2)/25)*CL99+(1-EXP(-LN(2)/25))/(LN(2)/25)*Calculateur!CG100*Calculateur!CI100*VLOOKUP('Données projet'!$B$12,Paramètres!$A$1:$I$89,3,0)*0.475*44/12</f>
        <v>26.398403867518962</v>
      </c>
      <c r="CM100" s="21">
        <f>EXP(-LN(2)/2)*CM99+(1-EXP(-LN(2)/2))/(LN(2)/2)*CG100*CJ100*VLOOKUP('Données projet'!$B$12,Paramètres!$A$1:$I$89,3,0)*0.475*44/12</f>
        <v>4.1955549854048167E-2</v>
      </c>
      <c r="CN100" s="22">
        <f t="shared" si="66"/>
        <v>65.204759655426898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1.9230769230769227</v>
      </c>
      <c r="N101" s="13">
        <f>IF('Données projet'!$A$36&gt;35,N100+M101-V100,IF(A101&lt;'Données projet'!$A$36,$K$205^A101,IF(A101='Données projet'!$A$36,'Données projet'!$B$36,N100+M101-V100)))</f>
        <v>139.10256410256409</v>
      </c>
      <c r="O101" s="13">
        <f>N101*VLOOKUP('Données projet'!$B$9,Paramètres!$A$1:$I$89,3,0)*VLOOKUP('Données projet'!$B$9,Paramètres!$A$1:$I$89,5,0)</f>
        <v>145.38999999999999</v>
      </c>
      <c r="P101" s="13">
        <f t="shared" si="87"/>
        <v>37.529050900676538</v>
      </c>
      <c r="Q101" s="20">
        <f t="shared" si="107"/>
        <v>318.58401365201161</v>
      </c>
      <c r="R101" s="59">
        <f t="shared" si="55"/>
        <v>611.91734698534492</v>
      </c>
      <c r="S101" s="59">
        <f ca="1">AVERAGE(OFFSET($R$3,0,0,'Données projet'!$E$9+1,1))-AVERAGE(OFFSET($H$3,0,0,'Données projet'!$E$9+1,1))</f>
        <v>239.26156489359892</v>
      </c>
      <c r="T101" s="59">
        <f t="shared" si="88"/>
        <v>213.97034450798111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1.8403874213887159</v>
      </c>
      <c r="AA101" s="21">
        <f>EXP(-LN(2)/25)*AA100+(1-EXP(-LN(2)/25))/(LN(2)/25)*Calculateur!V101*Calculateur!X101*VLOOKUP('Données projet'!$B$9,Paramètres!$A$1:$I$89,3,0)*0.475*44/12</f>
        <v>13.770497472244049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15.610884893632765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7.7249999999999996</v>
      </c>
      <c r="AI101" s="13">
        <f>IF('Données projet'!$A$62&gt;35,AI100+AH101-AQ100,IF(A101&lt;'Données projet'!$A$62,$AF$205^A101,IF(A101='Données projet'!$A$62,'Données projet'!$B$62,AI100+AH101-AQ100)))</f>
        <v>299.08500000000038</v>
      </c>
      <c r="AJ101" s="13">
        <f>AI101*VLOOKUP('Données projet'!$B$10,Paramètres!$A$1:$I$89,3,0)*VLOOKUP('Données projet'!$B$10,Paramètres!$A$1:$I$89,5,0)</f>
        <v>303.27219000000042</v>
      </c>
      <c r="AK101" s="13">
        <f t="shared" si="89"/>
        <v>71.862006481936177</v>
      </c>
      <c r="AL101" s="20">
        <f t="shared" si="58"/>
        <v>653.35872553937293</v>
      </c>
      <c r="AM101" s="59">
        <f t="shared" si="59"/>
        <v>946.69205887270618</v>
      </c>
      <c r="AN101" s="59">
        <f ca="1">AVERAGE(OFFSET($AM$3,0,0,'Données projet'!$E$10+1,1))-AVERAGE(OFFSET($H$3,0,0,'Données projet'!$E$10+1,1))</f>
        <v>543.88440431478944</v>
      </c>
      <c r="AO101" s="59">
        <f t="shared" si="90"/>
        <v>342.63929463709457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25.681748197101346</v>
      </c>
      <c r="AV101" s="21">
        <f>EXP(-LN(2)/25)*AV100+(1-EXP(-LN(2)/25))/(LN(2)/25)*Calculateur!AQ101*Calculateur!AS101*VLOOKUP('Données projet'!$B$10,Paramètres!$A$1:$I$89,3,0)*0.475*44/12</f>
        <v>24.211618727874168</v>
      </c>
      <c r="AW101" s="21">
        <f>EXP(-LN(2)/2)*AW100+(1-EXP(-LN(2)/2))/(LN(2)/2)*AQ101*AT101*VLOOKUP('Données projet'!$B$10,Paramètres!$A$1:$I$89,3,0)*0.475*44/12</f>
        <v>0.76438590842941212</v>
      </c>
      <c r="AX101" s="21">
        <f t="shared" si="60"/>
        <v>50.657752833404921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6.7777777777777777</v>
      </c>
      <c r="BD101" s="12">
        <f>IF('Données projet'!$A$88&gt;35,BD100+BC101-BL100,IF(A101&lt;'Données projet'!$A$88,$BA$205^A101,IF(A101='Données projet'!$A$88,'Données projet'!$B$88,BD100+BC101-BL100)))</f>
        <v>230.70333333333321</v>
      </c>
      <c r="BE101" s="13">
        <f>BD101*VLOOKUP('Données projet'!$B$11,Paramètres!$A$1:$I$89,3,0)*VLOOKUP('Données projet'!$B$11,Paramètres!$A$1:$I$89,5,0)</f>
        <v>262.72495599999985</v>
      </c>
      <c r="BF101" s="13">
        <f t="shared" si="91"/>
        <v>63.302875529710846</v>
      </c>
      <c r="BG101" s="20">
        <f t="shared" si="61"/>
        <v>567.83180658091271</v>
      </c>
      <c r="BH101" s="59">
        <f t="shared" si="62"/>
        <v>861.16513991424608</v>
      </c>
      <c r="BI101" s="59">
        <f ca="1">AVERAGE(OFFSET($BH$3,0,0,'Données projet'!$E$11+1,1))-AVERAGE(OFFSET($H$3,0,0,'Données projet'!$E$11+1,1))</f>
        <v>593.28343396240075</v>
      </c>
      <c r="BJ101" s="59">
        <f t="shared" si="92"/>
        <v>289.66477662068695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13.142357003180759</v>
      </c>
      <c r="BQ101" s="21">
        <f>EXP(-LN(2)/25)*BQ100+(1-EXP(-LN(2)/25))/(LN(2)/25)*Calculateur!BL101*Calculateur!BN101*VLOOKUP('Données projet'!$B$11,Paramètres!$A$1:$I$89,3,0)*0.475*44/12</f>
        <v>34.38174118910554</v>
      </c>
      <c r="BR101" s="21">
        <f>EXP(-LN(2)/2)*BR100+(1-EXP(-LN(2)/2))/(LN(2)/2)*BL101*BO101*VLOOKUP('Données projet'!$B$11,Paramètres!$A$1:$I$89,3,0)*0.475*44/12</f>
        <v>1.6716166148348366</v>
      </c>
      <c r="BS101" s="22">
        <f t="shared" si="63"/>
        <v>49.195714807121142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8.9989999999999952</v>
      </c>
      <c r="BY101" s="12">
        <f>IF('Données projet'!$A$114&gt;35,BY100+BX101-CG100,IF(A101&lt;'Données projet'!$A$114,$BV$205^A101,IF(A101='Données projet'!$A$114,'Données projet'!$B$114,BY100+BX101-CG100)))</f>
        <v>326.40499999999997</v>
      </c>
      <c r="BZ101" s="13">
        <f>BY101*VLOOKUP('Données projet'!$B$12,Paramètres!$A$1:$I$89,3,0)*VLOOKUP('Données projet'!$B$12,Paramètres!$A$1:$I$89,5,0)</f>
        <v>351.34234199999997</v>
      </c>
      <c r="CA101" s="13">
        <f t="shared" si="93"/>
        <v>81.838851788282241</v>
      </c>
      <c r="CB101" s="20">
        <f t="shared" si="64"/>
        <v>754.45724584792481</v>
      </c>
      <c r="CC101" s="59">
        <f t="shared" si="65"/>
        <v>1047.7905791812582</v>
      </c>
      <c r="CD101" s="59">
        <f ca="1">AVERAGE(OFFSET($CC$3,0,0,'Données projet'!$E$12+1,1))-AVERAGE(OFFSET($H$3,0,0,'Données projet'!$E$12+1,1))</f>
        <v>502.65044103360322</v>
      </c>
      <c r="CE101" s="59">
        <f t="shared" si="94"/>
        <v>321.65762891855167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38.004253993335141</v>
      </c>
      <c r="CL101" s="21">
        <f>EXP(-LN(2)/25)*CL100+(1-EXP(-LN(2)/25))/(LN(2)/25)*Calculateur!CG101*Calculateur!CI101*VLOOKUP('Données projet'!$B$12,Paramètres!$A$1:$I$89,3,0)*0.475*44/12</f>
        <v>25.67653812552993</v>
      </c>
      <c r="CM101" s="21">
        <f>EXP(-LN(2)/2)*CM100+(1-EXP(-LN(2)/2))/(LN(2)/2)*CG101*CJ101*VLOOKUP('Données projet'!$B$12,Paramètres!$A$1:$I$89,3,0)*0.475*44/12</f>
        <v>2.9667053810207726E-2</v>
      </c>
      <c r="CN101" s="22">
        <f t="shared" si="66"/>
        <v>63.710459172675279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1.9230769230769227</v>
      </c>
      <c r="N102" s="13">
        <f>IF('Données projet'!$A$36&gt;35,N101+M102-V101,IF(A102&lt;'Données projet'!$A$36,$K$205^A102,IF(A102='Données projet'!$A$36,'Données projet'!$B$36,N101+M102-V101)))</f>
        <v>141.02564102564102</v>
      </c>
      <c r="O102" s="13">
        <f>N102*VLOOKUP('Données projet'!$B$9,Paramètres!$A$1:$I$89,3,0)*VLOOKUP('Données projet'!$B$9,Paramètres!$A$1:$I$89,5,0)</f>
        <v>147.4</v>
      </c>
      <c r="P102" s="13">
        <f t="shared" si="87"/>
        <v>37.987126351804257</v>
      </c>
      <c r="Q102" s="20">
        <f t="shared" si="107"/>
        <v>322.88257839605905</v>
      </c>
      <c r="R102" s="59">
        <f t="shared" si="55"/>
        <v>616.21591172939236</v>
      </c>
      <c r="S102" s="59">
        <f ca="1">AVERAGE(OFFSET($R$3,0,0,'Données projet'!$E$9+1,1))-AVERAGE(OFFSET($H$3,0,0,'Données projet'!$E$9+1,1))</f>
        <v>239.26156489359892</v>
      </c>
      <c r="T102" s="59">
        <f t="shared" si="88"/>
        <v>213.97034450798111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1.8042985465807702</v>
      </c>
      <c r="AA102" s="21">
        <f>EXP(-LN(2)/25)*AA101+(1-EXP(-LN(2)/25))/(LN(2)/25)*Calculateur!V102*Calculateur!X102*VLOOKUP('Données projet'!$B$9,Paramètres!$A$1:$I$89,3,0)*0.475*44/12</f>
        <v>13.393942494706547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15.198241041287318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7.7249999999999996</v>
      </c>
      <c r="AI102" s="13">
        <f>IF('Données projet'!$A$62&gt;35,AI101+AH102-AQ101,IF(A102&lt;'Données projet'!$A$62,$AF$205^A102,IF(A102='Données projet'!$A$62,'Données projet'!$B$62,AI101+AH102-AQ101)))</f>
        <v>306.8100000000004</v>
      </c>
      <c r="AJ102" s="13">
        <f>AI102*VLOOKUP('Données projet'!$B$10,Paramètres!$A$1:$I$89,3,0)*VLOOKUP('Données projet'!$B$10,Paramètres!$A$1:$I$89,5,0)</f>
        <v>311.10534000000041</v>
      </c>
      <c r="AK102" s="13">
        <f t="shared" si="89"/>
        <v>73.499621317567488</v>
      </c>
      <c r="AL102" s="20">
        <f t="shared" si="58"/>
        <v>669.85364096143076</v>
      </c>
      <c r="AM102" s="59">
        <f t="shared" si="59"/>
        <v>963.18697429476401</v>
      </c>
      <c r="AN102" s="59">
        <f ca="1">AVERAGE(OFFSET($AM$3,0,0,'Données projet'!$E$10+1,1))-AVERAGE(OFFSET($H$3,0,0,'Données projet'!$E$10+1,1))</f>
        <v>543.88440431478944</v>
      </c>
      <c r="AO102" s="59">
        <f t="shared" si="90"/>
        <v>342.63929463709457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25.178144779275865</v>
      </c>
      <c r="AV102" s="21">
        <f>EXP(-LN(2)/25)*AV101+(1-EXP(-LN(2)/25))/(LN(2)/25)*Calculateur!AQ102*Calculateur!AS102*VLOOKUP('Données projet'!$B$10,Paramètres!$A$1:$I$89,3,0)*0.475*44/12</f>
        <v>23.549550740526755</v>
      </c>
      <c r="AW102" s="21">
        <f>EXP(-LN(2)/2)*AW101+(1-EXP(-LN(2)/2))/(LN(2)/2)*AQ102*AT102*VLOOKUP('Données projet'!$B$10,Paramètres!$A$1:$I$89,3,0)*0.475*44/12</f>
        <v>0.54050245929387675</v>
      </c>
      <c r="AX102" s="21">
        <f t="shared" si="60"/>
        <v>49.268197979096499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6.7777777777777777</v>
      </c>
      <c r="BD102" s="12">
        <f>IF('Données projet'!$A$88&gt;35,BD101+BC102-BL101,IF(A102&lt;'Données projet'!$A$88,$BA$205^A102,IF(A102='Données projet'!$A$88,'Données projet'!$B$88,BD101+BC102-BL101)))</f>
        <v>237.48111111111098</v>
      </c>
      <c r="BE102" s="13">
        <f>BD102*VLOOKUP('Données projet'!$B$11,Paramètres!$A$1:$I$89,3,0)*VLOOKUP('Données projet'!$B$11,Paramètres!$A$1:$I$89,5,0)</f>
        <v>270.44348933333316</v>
      </c>
      <c r="BF102" s="13">
        <f t="shared" si="91"/>
        <v>64.943379925271046</v>
      </c>
      <c r="BG102" s="20">
        <f t="shared" si="61"/>
        <v>584.13213062540228</v>
      </c>
      <c r="BH102" s="59">
        <f t="shared" si="62"/>
        <v>877.46546395873565</v>
      </c>
      <c r="BI102" s="59">
        <f ca="1">AVERAGE(OFFSET($BH$3,0,0,'Données projet'!$E$11+1,1))-AVERAGE(OFFSET($H$3,0,0,'Données projet'!$E$11+1,1))</f>
        <v>593.28343396240075</v>
      </c>
      <c r="BJ102" s="59">
        <f t="shared" si="92"/>
        <v>289.66477662068695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12.884643398394637</v>
      </c>
      <c r="BQ102" s="21">
        <f>EXP(-LN(2)/25)*BQ101+(1-EXP(-LN(2)/25))/(LN(2)/25)*Calculateur!BL102*Calculateur!BN102*VLOOKUP('Données projet'!$B$11,Paramètres!$A$1:$I$89,3,0)*0.475*44/12</f>
        <v>33.441570668232259</v>
      </c>
      <c r="BR102" s="21">
        <f>EXP(-LN(2)/2)*BR101+(1-EXP(-LN(2)/2))/(LN(2)/2)*BL102*BO102*VLOOKUP('Données projet'!$B$11,Paramètres!$A$1:$I$89,3,0)*0.475*44/12</f>
        <v>1.1820114438938141</v>
      </c>
      <c r="BS102" s="22">
        <f t="shared" si="63"/>
        <v>47.50822551052071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8.9989999999999952</v>
      </c>
      <c r="BY102" s="12">
        <f>IF('Données projet'!$A$114&gt;35,BY101+BX102-CG101,IF(A102&lt;'Données projet'!$A$114,$BV$205^A102,IF(A102='Données projet'!$A$114,'Données projet'!$B$114,BY101+BX102-CG101)))</f>
        <v>335.404</v>
      </c>
      <c r="BZ102" s="13">
        <f>BY102*VLOOKUP('Données projet'!$B$12,Paramètres!$A$1:$I$89,3,0)*VLOOKUP('Données projet'!$B$12,Paramètres!$A$1:$I$89,5,0)</f>
        <v>361.02886559999996</v>
      </c>
      <c r="CA102" s="13">
        <f t="shared" si="93"/>
        <v>83.829352437758416</v>
      </c>
      <c r="CB102" s="20">
        <f t="shared" si="64"/>
        <v>774.79472974909584</v>
      </c>
      <c r="CC102" s="59">
        <f t="shared" si="65"/>
        <v>1068.1280630824292</v>
      </c>
      <c r="CD102" s="59">
        <f ca="1">AVERAGE(OFFSET($CC$3,0,0,'Données projet'!$E$12+1,1))-AVERAGE(OFFSET($H$3,0,0,'Données projet'!$E$12+1,1))</f>
        <v>502.65044103360322</v>
      </c>
      <c r="CE102" s="59">
        <f t="shared" si="94"/>
        <v>321.65762891855167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37.259013752831912</v>
      </c>
      <c r="CL102" s="21">
        <f>EXP(-LN(2)/25)*CL101+(1-EXP(-LN(2)/25))/(LN(2)/25)*Calculateur!CG102*Calculateur!CI102*VLOOKUP('Données projet'!$B$12,Paramètres!$A$1:$I$89,3,0)*0.475*44/12</f>
        <v>24.97441184021686</v>
      </c>
      <c r="CM102" s="21">
        <f>EXP(-LN(2)/2)*CM101+(1-EXP(-LN(2)/2))/(LN(2)/2)*CG102*CJ102*VLOOKUP('Données projet'!$B$12,Paramètres!$A$1:$I$89,3,0)*0.475*44/12</f>
        <v>2.0977774927024087E-2</v>
      </c>
      <c r="CN102" s="22">
        <f t="shared" si="66"/>
        <v>62.254403367975797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142.94871794871796</v>
      </c>
      <c r="L103" s="12">
        <f>VLOOKUP(A103,'Données projet'!$A$35:$I$55,9,0)</f>
        <v>1.9230769230769227</v>
      </c>
      <c r="M103" s="12">
        <f t="array" ref="M103">INDEX(L:L,MIN(IF(ISNUMBER(L103:L299),ROW(L103:L299),"")))</f>
        <v>1.9230769230769227</v>
      </c>
      <c r="N103" s="13">
        <f>IF('Données projet'!$A$36&gt;35,N102+M103-V102,IF(A103&lt;'Données projet'!$A$36,$K$205^A103,IF(A103='Données projet'!$A$36,'Données projet'!$B$36,N102+M103-V102)))</f>
        <v>142.94871794871796</v>
      </c>
      <c r="O103" s="13">
        <f>N103*VLOOKUP('Données projet'!$B$9,Paramètres!$A$1:$I$89,3,0)*VLOOKUP('Données projet'!$B$9,Paramètres!$A$1:$I$89,5,0)</f>
        <v>149.41000000000003</v>
      </c>
      <c r="P103" s="13">
        <f t="shared" si="87"/>
        <v>38.444475265192452</v>
      </c>
      <c r="Q103" s="20">
        <f t="shared" si="107"/>
        <v>327.17987775354362</v>
      </c>
      <c r="R103" s="59">
        <f t="shared" si="55"/>
        <v>620.51321108687694</v>
      </c>
      <c r="S103" s="59">
        <f ca="1">AVERAGE(OFFSET($R$3,0,0,'Données projet'!$E$9+1,1))-AVERAGE(OFFSET($H$3,0,0,'Données projet'!$E$9+1,1))</f>
        <v>239.26156489359892</v>
      </c>
      <c r="T103" s="59">
        <f t="shared" si="88"/>
        <v>213.97034450798111</v>
      </c>
      <c r="U103" s="15">
        <f>IF(ISNA(VLOOKUP(A103,'Données projet'!$A$35:$I$55,3,0)),0,VLOOKUP(A103,'Données projet'!$A$35:$I$55,3,0))</f>
        <v>17</v>
      </c>
      <c r="V103" s="15">
        <f>IF(ISNA(VLOOKUP(A103,'Données projet'!$A$35:$I$55,4,0)),0,VLOOKUP(A103,'Données projet'!$A$35:$I$55,4,0))</f>
        <v>142.94871794871796</v>
      </c>
      <c r="W103" s="16">
        <f>IF(ISNA(VLOOKUP(A103,'Données projet'!$A$35:$I$55,5,0)),0%,VLOOKUP(A103,'Données projet'!$A$35:$I$55,5,0)*VLOOKUP('Données projet'!$B$9,Paramètres!$A$1:$I$89,7,0))</f>
        <v>4.3000000000000003E-2</v>
      </c>
      <c r="X103" s="16">
        <f>IF(ISNA(VLOOKUP(A103,'Données projet'!$A$35:$I$55,6,0)),0%,VLOOKUP(A103,'Données projet'!$A$35:$I$55,6,0)*VLOOKUP('Données projet'!$B$9,Paramètres!$A$1:$I$89,7,0))</f>
        <v>0.215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8.8711555170545484</v>
      </c>
      <c r="AA103" s="21">
        <f>EXP(-LN(2)/25)*AA102+(1-EXP(-LN(2)/25))/(LN(2)/25)*Calculateur!V103*Calculateur!X103*VLOOKUP('Données projet'!$B$9,Paramètres!$A$1:$I$89,3,0)*0.475*44/12</f>
        <v>48.399054166033999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57.270209683088545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7.7249999999999996</v>
      </c>
      <c r="AI103" s="13">
        <f>IF('Données projet'!$A$62&gt;35,AI102+AH103-AQ102,IF(A103&lt;'Données projet'!$A$62,$AF$205^A103,IF(A103='Données projet'!$A$62,'Données projet'!$B$62,AI102+AH103-AQ102)))</f>
        <v>314.53500000000042</v>
      </c>
      <c r="AJ103" s="13">
        <f>AI103*VLOOKUP('Données projet'!$B$10,Paramètres!$A$1:$I$89,3,0)*VLOOKUP('Données projet'!$B$10,Paramètres!$A$1:$I$89,5,0)</f>
        <v>318.93849000000046</v>
      </c>
      <c r="AK103" s="13">
        <f t="shared" si="89"/>
        <v>75.132443169354445</v>
      </c>
      <c r="AL103" s="20">
        <f t="shared" si="58"/>
        <v>686.34020860329326</v>
      </c>
      <c r="AM103" s="59">
        <f t="shared" si="59"/>
        <v>979.67354193662663</v>
      </c>
      <c r="AN103" s="59">
        <f ca="1">AVERAGE(OFFSET($AM$3,0,0,'Données projet'!$E$10+1,1))-AVERAGE(OFFSET($H$3,0,0,'Données projet'!$E$10+1,1))</f>
        <v>543.88440431478944</v>
      </c>
      <c r="AO103" s="59">
        <f t="shared" si="90"/>
        <v>342.63929463709457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24.684416717306188</v>
      </c>
      <c r="AV103" s="21">
        <f>EXP(-LN(2)/25)*AV102+(1-EXP(-LN(2)/25))/(LN(2)/25)*Calculateur!AQ103*Calculateur!AS103*VLOOKUP('Données projet'!$B$10,Paramètres!$A$1:$I$89,3,0)*0.475*44/12</f>
        <v>22.905587037109999</v>
      </c>
      <c r="AW103" s="21">
        <f>EXP(-LN(2)/2)*AW102+(1-EXP(-LN(2)/2))/(LN(2)/2)*AQ103*AT103*VLOOKUP('Données projet'!$B$10,Paramètres!$A$1:$I$89,3,0)*0.475*44/12</f>
        <v>0.38219295421470612</v>
      </c>
      <c r="AX103" s="21">
        <f t="shared" si="60"/>
        <v>47.972196708630896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6.7777777777777777</v>
      </c>
      <c r="BD103" s="12">
        <f>IF('Données projet'!$A$88&gt;35,BD102+BC103-BL102,IF(A103&lt;'Données projet'!$A$88,$BA$205^A103,IF(A103='Données projet'!$A$88,'Données projet'!$B$88,BD102+BC103-BL102)))</f>
        <v>244.25888888888875</v>
      </c>
      <c r="BE103" s="13">
        <f>BD103*VLOOKUP('Données projet'!$B$11,Paramètres!$A$1:$I$89,3,0)*VLOOKUP('Données projet'!$B$11,Paramètres!$A$1:$I$89,5,0)</f>
        <v>278.16202266666653</v>
      </c>
      <c r="BF103" s="13">
        <f t="shared" si="91"/>
        <v>66.578442681509159</v>
      </c>
      <c r="BG103" s="20">
        <f t="shared" si="61"/>
        <v>600.42297714807262</v>
      </c>
      <c r="BH103" s="59">
        <f t="shared" si="62"/>
        <v>893.75631048140599</v>
      </c>
      <c r="BI103" s="59">
        <f ca="1">AVERAGE(OFFSET($BH$3,0,0,'Données projet'!$E$11+1,1))-AVERAGE(OFFSET($H$3,0,0,'Données projet'!$E$11+1,1))</f>
        <v>593.28343396240075</v>
      </c>
      <c r="BJ103" s="59">
        <f t="shared" si="92"/>
        <v>289.66477662068695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12.631983400208593</v>
      </c>
      <c r="BQ103" s="21">
        <f>EXP(-LN(2)/25)*BQ102+(1-EXP(-LN(2)/25))/(LN(2)/25)*Calculateur!BL103*Calculateur!BN103*VLOOKUP('Données projet'!$B$11,Paramètres!$A$1:$I$89,3,0)*0.475*44/12</f>
        <v>32.52710915969368</v>
      </c>
      <c r="BR103" s="21">
        <f>EXP(-LN(2)/2)*BR102+(1-EXP(-LN(2)/2))/(LN(2)/2)*BL103*BO103*VLOOKUP('Données projet'!$B$11,Paramètres!$A$1:$I$89,3,0)*0.475*44/12</f>
        <v>0.83580830741741829</v>
      </c>
      <c r="BS103" s="22">
        <f t="shared" si="63"/>
        <v>45.994900867319693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8.9989999999999952</v>
      </c>
      <c r="BY103" s="12">
        <f>IF('Données projet'!$A$114&gt;35,BY102+BX103-CG102,IF(A103&lt;'Données projet'!$A$114,$BV$205^A103,IF(A103='Données projet'!$A$114,'Données projet'!$B$114,BY102+BX103-CG102)))</f>
        <v>344.40300000000002</v>
      </c>
      <c r="BZ103" s="13">
        <f>BY103*VLOOKUP('Données projet'!$B$12,Paramètres!$A$1:$I$89,3,0)*VLOOKUP('Données projet'!$B$12,Paramètres!$A$1:$I$89,5,0)</f>
        <v>370.7153892</v>
      </c>
      <c r="CA103" s="13">
        <f t="shared" si="93"/>
        <v>85.81364556336672</v>
      </c>
      <c r="CB103" s="20">
        <f t="shared" si="64"/>
        <v>795.1214022128637</v>
      </c>
      <c r="CC103" s="59">
        <f t="shared" si="65"/>
        <v>1088.4547355461971</v>
      </c>
      <c r="CD103" s="59">
        <f ca="1">AVERAGE(OFFSET($CC$3,0,0,'Données projet'!$E$12+1,1))-AVERAGE(OFFSET($H$3,0,0,'Données projet'!$E$12+1,1))</f>
        <v>502.65044103360322</v>
      </c>
      <c r="CE103" s="59">
        <f t="shared" si="94"/>
        <v>321.65762891855167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36.528387218893286</v>
      </c>
      <c r="CL103" s="21">
        <f>EXP(-LN(2)/25)*CL102+(1-EXP(-LN(2)/25))/(LN(2)/25)*Calculateur!CG103*Calculateur!CI103*VLOOKUP('Données projet'!$B$12,Paramètres!$A$1:$I$89,3,0)*0.475*44/12</f>
        <v>24.291485235098889</v>
      </c>
      <c r="CM103" s="21">
        <f>EXP(-LN(2)/2)*CM102+(1-EXP(-LN(2)/2))/(LN(2)/2)*CG103*CJ103*VLOOKUP('Données projet'!$B$12,Paramètres!$A$1:$I$89,3,0)*0.475*44/12</f>
        <v>1.4833526905103865E-2</v>
      </c>
      <c r="CN103" s="22">
        <f t="shared" si="66"/>
        <v>60.834705980897283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239.26156489359892</v>
      </c>
      <c r="T104" s="59">
        <f t="shared" si="88"/>
        <v>213.97034450798111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8.6971975682356959</v>
      </c>
      <c r="AA104" s="21">
        <f>EXP(-LN(2)/25)*AA103+(1-EXP(-LN(2)/25))/(LN(2)/25)*Calculateur!V104*Calculateur!X104*VLOOKUP('Données projet'!$B$9,Paramètres!$A$1:$I$89,3,0)*0.475*44/12</f>
        <v>47.075579484668161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55.772777052903855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7.7249999999999996</v>
      </c>
      <c r="AI104" s="13">
        <f>IF('Données projet'!$A$62&gt;35,AI103+AH104-AQ103,IF(A104&lt;'Données projet'!$A$62,$AF$205^A104,IF(A104='Données projet'!$A$62,'Données projet'!$B$62,AI103+AH104-AQ103)))</f>
        <v>322.26000000000045</v>
      </c>
      <c r="AJ104" s="13">
        <f>AI104*VLOOKUP('Données projet'!$B$10,Paramètres!$A$1:$I$89,3,0)*VLOOKUP('Données projet'!$B$10,Paramètres!$A$1:$I$89,5,0)</f>
        <v>326.7716400000005</v>
      </c>
      <c r="AK104" s="13">
        <f t="shared" si="89"/>
        <v>76.76060329445275</v>
      </c>
      <c r="AL104" s="20">
        <f t="shared" si="58"/>
        <v>702.81865707117277</v>
      </c>
      <c r="AM104" s="59">
        <f t="shared" si="59"/>
        <v>996.15199040450602</v>
      </c>
      <c r="AN104" s="59">
        <f ca="1">AVERAGE(OFFSET($AM$3,0,0,'Données projet'!$E$10+1,1))-AVERAGE(OFFSET($H$3,0,0,'Données projet'!$E$10+1,1))</f>
        <v>543.88440431478944</v>
      </c>
      <c r="AO104" s="59">
        <f t="shared" si="90"/>
        <v>342.63929463709457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24.200370361487355</v>
      </c>
      <c r="AV104" s="21">
        <f>EXP(-LN(2)/25)*AV103+(1-EXP(-LN(2)/25))/(LN(2)/25)*Calculateur!AQ104*Calculateur!AS104*VLOOKUP('Données projet'!$B$10,Paramètres!$A$1:$I$89,3,0)*0.475*44/12</f>
        <v>22.279232555027754</v>
      </c>
      <c r="AW104" s="21">
        <f>EXP(-LN(2)/2)*AW103+(1-EXP(-LN(2)/2))/(LN(2)/2)*AQ104*AT104*VLOOKUP('Données projet'!$B$10,Paramètres!$A$1:$I$89,3,0)*0.475*44/12</f>
        <v>0.27025122964693837</v>
      </c>
      <c r="AX104" s="21">
        <f t="shared" si="60"/>
        <v>46.749854146162043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6.7777777777777777</v>
      </c>
      <c r="BD104" s="12">
        <f>IF('Données projet'!$A$88&gt;35,BD103+BC104-BL103,IF(A104&lt;'Données projet'!$A$88,$BA$205^A104,IF(A104='Données projet'!$A$88,'Données projet'!$B$88,BD103+BC104-BL103)))</f>
        <v>251.03666666666652</v>
      </c>
      <c r="BE104" s="13">
        <f>BD104*VLOOKUP('Données projet'!$B$11,Paramètres!$A$1:$I$89,3,0)*VLOOKUP('Données projet'!$B$11,Paramètres!$A$1:$I$89,5,0)</f>
        <v>285.88055599999984</v>
      </c>
      <c r="BF104" s="13">
        <f t="shared" si="91"/>
        <v>68.208232142665835</v>
      </c>
      <c r="BG104" s="20">
        <f t="shared" si="61"/>
        <v>616.70463934847601</v>
      </c>
      <c r="BH104" s="59">
        <f t="shared" si="62"/>
        <v>910.03797268180938</v>
      </c>
      <c r="BI104" s="59">
        <f ca="1">AVERAGE(OFFSET($BH$3,0,0,'Données projet'!$E$11+1,1))-AVERAGE(OFFSET($H$3,0,0,'Données projet'!$E$11+1,1))</f>
        <v>593.28343396240075</v>
      </c>
      <c r="BJ104" s="59">
        <f t="shared" si="92"/>
        <v>289.66477662068695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12.384277910479597</v>
      </c>
      <c r="BQ104" s="21">
        <f>EXP(-LN(2)/25)*BQ103+(1-EXP(-LN(2)/25))/(LN(2)/25)*Calculateur!BL104*Calculateur!BN104*VLOOKUP('Données projet'!$B$11,Paramètres!$A$1:$I$89,3,0)*0.475*44/12</f>
        <v>31.637653649195528</v>
      </c>
      <c r="BR104" s="21">
        <f>EXP(-LN(2)/2)*BR103+(1-EXP(-LN(2)/2))/(LN(2)/2)*BL104*BO104*VLOOKUP('Données projet'!$B$11,Paramètres!$A$1:$I$89,3,0)*0.475*44/12</f>
        <v>0.59100572194690704</v>
      </c>
      <c r="BS104" s="22">
        <f t="shared" si="63"/>
        <v>44.612937281622031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8.9989999999999952</v>
      </c>
      <c r="BY104" s="12">
        <f>IF('Données projet'!$A$114&gt;35,BY103+BX104-CG103,IF(A104&lt;'Données projet'!$A$114,$BV$205^A104,IF(A104='Données projet'!$A$114,'Données projet'!$B$114,BY103+BX104-CG103)))</f>
        <v>353.40200000000004</v>
      </c>
      <c r="BZ104" s="13">
        <f>BY104*VLOOKUP('Données projet'!$B$12,Paramètres!$A$1:$I$89,3,0)*VLOOKUP('Données projet'!$B$12,Paramètres!$A$1:$I$89,5,0)</f>
        <v>380.40191280000005</v>
      </c>
      <c r="CA104" s="13">
        <f t="shared" si="93"/>
        <v>87.791912009612105</v>
      </c>
      <c r="CB104" s="20">
        <f t="shared" si="64"/>
        <v>815.43757821007432</v>
      </c>
      <c r="CC104" s="59">
        <f t="shared" si="65"/>
        <v>1108.7709115434077</v>
      </c>
      <c r="CD104" s="59">
        <f ca="1">AVERAGE(OFFSET($CC$3,0,0,'Données projet'!$E$12+1,1))-AVERAGE(OFFSET($H$3,0,0,'Données projet'!$E$12+1,1))</f>
        <v>502.65044103360322</v>
      </c>
      <c r="CE104" s="59">
        <f t="shared" si="94"/>
        <v>321.65762891855167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35.812087825647012</v>
      </c>
      <c r="CL104" s="21">
        <f>EXP(-LN(2)/25)*CL103+(1-EXP(-LN(2)/25))/(LN(2)/25)*Calculateur!CG104*Calculateur!CI104*VLOOKUP('Données projet'!$B$12,Paramètres!$A$1:$I$89,3,0)*0.475*44/12</f>
        <v>23.62723329391142</v>
      </c>
      <c r="CM104" s="21">
        <f>EXP(-LN(2)/2)*CM103+(1-EXP(-LN(2)/2))/(LN(2)/2)*CG104*CJ104*VLOOKUP('Données projet'!$B$12,Paramètres!$A$1:$I$89,3,0)*0.475*44/12</f>
        <v>1.0488887463512045E-2</v>
      </c>
      <c r="CN104" s="22">
        <f t="shared" si="66"/>
        <v>59.449810007021938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239.26156489359892</v>
      </c>
      <c r="T105" s="59">
        <f t="shared" si="88"/>
        <v>213.97034450798111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8.5266508286893075</v>
      </c>
      <c r="AA105" s="21">
        <f>EXP(-LN(2)/25)*AA104+(1-EXP(-LN(2)/25))/(LN(2)/25)*Calculateur!V105*Calculateur!X105*VLOOKUP('Données projet'!$B$9,Paramètres!$A$1:$I$89,3,0)*0.475*44/12</f>
        <v>45.788295288062777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54.314946116752083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7.7249999999999996</v>
      </c>
      <c r="AI105" s="13">
        <f>IF('Données projet'!$A$62&gt;35,AI104+AH105-AQ104,IF(A105&lt;'Données projet'!$A$62,$AF$205^A105,IF(A105='Données projet'!$A$62,'Données projet'!$B$62,AI104+AH105-AQ104)))</f>
        <v>329.98500000000047</v>
      </c>
      <c r="AJ105" s="13">
        <f>AI105*VLOOKUP('Données projet'!$B$10,Paramètres!$A$1:$I$89,3,0)*VLOOKUP('Données projet'!$B$10,Paramètres!$A$1:$I$89,5,0)</f>
        <v>334.60479000000049</v>
      </c>
      <c r="AK105" s="13">
        <f t="shared" si="89"/>
        <v>78.384226298322602</v>
      </c>
      <c r="AL105" s="20">
        <f t="shared" si="58"/>
        <v>719.28920338624596</v>
      </c>
      <c r="AM105" s="59">
        <f t="shared" si="59"/>
        <v>1012.6225367195793</v>
      </c>
      <c r="AN105" s="59">
        <f ca="1">AVERAGE(OFFSET($AM$3,0,0,'Données projet'!$E$10+1,1))-AVERAGE(OFFSET($H$3,0,0,'Données projet'!$E$10+1,1))</f>
        <v>543.88440431478944</v>
      </c>
      <c r="AO105" s="59">
        <f t="shared" si="90"/>
        <v>342.63929463709457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23.725815859467005</v>
      </c>
      <c r="AV105" s="21">
        <f>EXP(-LN(2)/25)*AV104+(1-EXP(-LN(2)/25))/(LN(2)/25)*Calculateur!AQ105*Calculateur!AS105*VLOOKUP('Données projet'!$B$10,Paramètres!$A$1:$I$89,3,0)*0.475*44/12</f>
        <v>21.670005769196599</v>
      </c>
      <c r="AW105" s="21">
        <f>EXP(-LN(2)/2)*AW104+(1-EXP(-LN(2)/2))/(LN(2)/2)*AQ105*AT105*VLOOKUP('Données projet'!$B$10,Paramètres!$A$1:$I$89,3,0)*0.475*44/12</f>
        <v>0.19109647710735306</v>
      </c>
      <c r="AX105" s="21">
        <f t="shared" si="60"/>
        <v>45.586918105770955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6.7777777777777777</v>
      </c>
      <c r="BD105" s="12">
        <f>IF('Données projet'!$A$88&gt;35,BD104+BC105-BL104,IF(A105&lt;'Données projet'!$A$88,$BA$205^A105,IF(A105='Données projet'!$A$88,'Données projet'!$B$88,BD104+BC105-BL104)))</f>
        <v>257.81444444444429</v>
      </c>
      <c r="BE105" s="13">
        <f>BD105*VLOOKUP('Données projet'!$B$11,Paramètres!$A$1:$I$89,3,0)*VLOOKUP('Données projet'!$B$11,Paramètres!$A$1:$I$89,5,0)</f>
        <v>293.59908933333315</v>
      </c>
      <c r="BF105" s="13">
        <f t="shared" si="91"/>
        <v>69.832907045194901</v>
      </c>
      <c r="BG105" s="20">
        <f t="shared" si="61"/>
        <v>632.97739369260296</v>
      </c>
      <c r="BH105" s="59">
        <f t="shared" si="62"/>
        <v>926.31072702593633</v>
      </c>
      <c r="BI105" s="59">
        <f ca="1">AVERAGE(OFFSET($BH$3,0,0,'Données projet'!$E$11+1,1))-AVERAGE(OFFSET($H$3,0,0,'Données projet'!$E$11+1,1))</f>
        <v>593.28343396240075</v>
      </c>
      <c r="BJ105" s="59">
        <f t="shared" si="92"/>
        <v>289.66477662068695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12.141429774318755</v>
      </c>
      <c r="BQ105" s="21">
        <f>EXP(-LN(2)/25)*BQ104+(1-EXP(-LN(2)/25))/(LN(2)/25)*Calculateur!BL105*Calculateur!BN105*VLOOKUP('Données projet'!$B$11,Paramètres!$A$1:$I$89,3,0)*0.475*44/12</f>
        <v>30.772520346406381</v>
      </c>
      <c r="BR105" s="21">
        <f>EXP(-LN(2)/2)*BR104+(1-EXP(-LN(2)/2))/(LN(2)/2)*BL105*BO105*VLOOKUP('Données projet'!$B$11,Paramètres!$A$1:$I$89,3,0)*0.475*44/12</f>
        <v>0.41790415370870915</v>
      </c>
      <c r="BS105" s="22">
        <f t="shared" si="63"/>
        <v>43.331854274433844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8.9989999999999952</v>
      </c>
      <c r="BY105" s="12">
        <f>IF('Données projet'!$A$114&gt;35,BY104+BX105-CG104,IF(A105&lt;'Données projet'!$A$114,$BV$205^A105,IF(A105='Données projet'!$A$114,'Données projet'!$B$114,BY104+BX105-CG104)))</f>
        <v>362.40100000000007</v>
      </c>
      <c r="BZ105" s="13">
        <f>BY105*VLOOKUP('Données projet'!$B$12,Paramètres!$A$1:$I$89,3,0)*VLOOKUP('Données projet'!$B$12,Paramètres!$A$1:$I$89,5,0)</f>
        <v>390.08843640000003</v>
      </c>
      <c r="CA105" s="13">
        <f t="shared" si="93"/>
        <v>89.764322886212696</v>
      </c>
      <c r="CB105" s="20">
        <f t="shared" si="64"/>
        <v>835.74355575682057</v>
      </c>
      <c r="CC105" s="59">
        <f t="shared" si="65"/>
        <v>1129.0768890901538</v>
      </c>
      <c r="CD105" s="59">
        <f ca="1">AVERAGE(OFFSET($CC$3,0,0,'Données projet'!$E$12+1,1))-AVERAGE(OFFSET($H$3,0,0,'Données projet'!$E$12+1,1))</f>
        <v>502.65044103360322</v>
      </c>
      <c r="CE105" s="59">
        <f t="shared" si="94"/>
        <v>321.65762891855167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35.109834626602812</v>
      </c>
      <c r="CL105" s="21">
        <f>EXP(-LN(2)/25)*CL104+(1-EXP(-LN(2)/25))/(LN(2)/25)*Calculateur!CG105*Calculateur!CI105*VLOOKUP('Données projet'!$B$12,Paramètres!$A$1:$I$89,3,0)*0.475*44/12</f>
        <v>22.981145356987213</v>
      </c>
      <c r="CM105" s="21">
        <f>EXP(-LN(2)/2)*CM104+(1-EXP(-LN(2)/2))/(LN(2)/2)*CG105*CJ105*VLOOKUP('Données projet'!$B$12,Paramètres!$A$1:$I$89,3,0)*0.475*44/12</f>
        <v>7.4167634525519341E-3</v>
      </c>
      <c r="CN105" s="22">
        <f t="shared" si="66"/>
        <v>58.098396747042578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239.26156489359892</v>
      </c>
      <c r="T106" s="59">
        <f t="shared" si="88"/>
        <v>213.97034450798111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8.3594484066821853</v>
      </c>
      <c r="AA106" s="21">
        <f>EXP(-LN(2)/25)*AA105+(1-EXP(-LN(2)/25))/(LN(2)/25)*Calculateur!V106*Calculateur!X106*VLOOKUP('Données projet'!$B$9,Paramètres!$A$1:$I$89,3,0)*0.475*44/12</f>
        <v>44.536211945508903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52.895660352191086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>
        <f>VLOOKUP(A106,'Données projet'!$A$61:$I$81,2,0)</f>
        <v>337.71</v>
      </c>
      <c r="AG106" s="12">
        <f>VLOOKUP(A106,'Données projet'!$A$61:$I$81,9,0)</f>
        <v>7.7249999999999996</v>
      </c>
      <c r="AH106" s="12">
        <f t="array" ref="AH106">INDEX(AG:AG,MIN(IF(ISNUMBER(AG106:AG302),ROW(AG106:AG302),"")))</f>
        <v>7.7249999999999996</v>
      </c>
      <c r="AI106" s="13">
        <f>IF('Données projet'!$A$62&gt;35,AI105+AH106-AQ105,IF(A106&lt;'Données projet'!$A$62,$AF$205^A106,IF(A106='Données projet'!$A$62,'Données projet'!$B$62,AI105+AH106-AQ105)))</f>
        <v>337.71000000000049</v>
      </c>
      <c r="AJ106" s="13">
        <f>AI106*VLOOKUP('Données projet'!$B$10,Paramètres!$A$1:$I$89,3,0)*VLOOKUP('Données projet'!$B$10,Paramètres!$A$1:$I$89,5,0)</f>
        <v>342.43794000000054</v>
      </c>
      <c r="AK106" s="13">
        <f t="shared" si="89"/>
        <v>80.003430619523883</v>
      </c>
      <c r="AL106" s="20">
        <f t="shared" si="58"/>
        <v>735.75205382900504</v>
      </c>
      <c r="AM106" s="59">
        <f t="shared" si="59"/>
        <v>1029.0853871623383</v>
      </c>
      <c r="AN106" s="59">
        <f ca="1">AVERAGE(OFFSET($AM$3,0,0,'Données projet'!$E$10+1,1))-AVERAGE(OFFSET($H$3,0,0,'Données projet'!$E$10+1,1))</f>
        <v>543.88440431478944</v>
      </c>
      <c r="AO106" s="59">
        <f t="shared" si="90"/>
        <v>342.63929463709457</v>
      </c>
      <c r="AP106" s="15">
        <f>IF(ISNA(VLOOKUP(A106,'Données projet'!$A$61:$I$81,3,0)),0,VLOOKUP(A106,'Données projet'!$A$61:$I$81,3,0))</f>
        <v>8</v>
      </c>
      <c r="AQ106" s="15">
        <f>IF(ISNA(VLOOKUP(A106,'Données projet'!$A$61:$I$81,4,0)),0,VLOOKUP(A106,'Données projet'!$A$61:$I$81,4,0))</f>
        <v>56.789999999999964</v>
      </c>
      <c r="AR106" s="16">
        <f>IF(ISNA(VLOOKUP(A106,'Données projet'!$A$61:$I$81,5,0)),0%,VLOOKUP(A106,'Données projet'!$A$61:$I$81,5,0)*VLOOKUP('Données projet'!$B$10,Paramètres!$A$1:$I$89,7,0))</f>
        <v>0.15049999999999999</v>
      </c>
      <c r="AS106" s="16">
        <f>IF(ISNA(VLOOKUP(A106,'Données projet'!$A$61:$I$81,6,0)),0%,VLOOKUP(A106,'Données projet'!$A$61:$I$81,6,0)*VLOOKUP('Données projet'!$B$10,Paramètres!$A$1:$I$89,7,0))</f>
        <v>8.6000000000000007E-2</v>
      </c>
      <c r="AT106" s="16">
        <f>IF(ISNA(VLOOKUP(A106,'Données projet'!$A$61:$I$81,7,0)),0%,VLOOKUP(A106,'Données projet'!$A$61:$I$81,7,0))</f>
        <v>0.1</v>
      </c>
      <c r="AU106" s="21">
        <f>EXP(-LN(2)/35)*AU105+(1-EXP(-LN(2)/35))/(LN(2)/35)*AQ106*AR106*VLOOKUP('Données projet'!$B$10,Paramètres!$A$1:$I$89,3,0)*0.475*44/12</f>
        <v>32.841183090892571</v>
      </c>
      <c r="AV106" s="21">
        <f>EXP(-LN(2)/25)*AV105+(1-EXP(-LN(2)/25))/(LN(2)/25)*Calculateur!AQ106*Calculateur!AS106*VLOOKUP('Données projet'!$B$10,Paramètres!$A$1:$I$89,3,0)*0.475*44/12</f>
        <v>26.53052030665167</v>
      </c>
      <c r="AW106" s="21">
        <f>EXP(-LN(2)/2)*AW105+(1-EXP(-LN(2)/2))/(LN(2)/2)*AQ106*AT106*VLOOKUP('Données projet'!$B$10,Paramètres!$A$1:$I$89,3,0)*0.475*44/12</f>
        <v>5.5684310137400814</v>
      </c>
      <c r="AX106" s="21">
        <f t="shared" si="60"/>
        <v>64.940134411284319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6.7777777777777777</v>
      </c>
      <c r="BD106" s="12">
        <f>IF('Données projet'!$A$88&gt;35,BD105+BC106-BL105,IF(A106&lt;'Données projet'!$A$88,$BA$205^A106,IF(A106='Données projet'!$A$88,'Données projet'!$B$88,BD105+BC106-BL105)))</f>
        <v>264.59222222222206</v>
      </c>
      <c r="BE106" s="13">
        <f>BD106*VLOOKUP('Données projet'!$B$11,Paramètres!$A$1:$I$89,3,0)*VLOOKUP('Données projet'!$B$11,Paramètres!$A$1:$I$89,5,0)</f>
        <v>301.31762266666647</v>
      </c>
      <c r="BF106" s="13">
        <f t="shared" si="91"/>
        <v>71.452617304074849</v>
      </c>
      <c r="BG106" s="20">
        <f t="shared" si="61"/>
        <v>649.24150128237454</v>
      </c>
      <c r="BH106" s="59">
        <f t="shared" si="62"/>
        <v>942.57483461570791</v>
      </c>
      <c r="BI106" s="59">
        <f ca="1">AVERAGE(OFFSET($BH$3,0,0,'Données projet'!$E$11+1,1))-AVERAGE(OFFSET($H$3,0,0,'Données projet'!$E$11+1,1))</f>
        <v>593.28343396240075</v>
      </c>
      <c r="BJ106" s="59">
        <f t="shared" si="92"/>
        <v>289.66477662068695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11.903343741985291</v>
      </c>
      <c r="BQ106" s="21">
        <f>EXP(-LN(2)/25)*BQ105+(1-EXP(-LN(2)/25))/(LN(2)/25)*Calculateur!BL106*Calculateur!BN106*VLOOKUP('Données projet'!$B$11,Paramètres!$A$1:$I$89,3,0)*0.475*44/12</f>
        <v>29.931044159277384</v>
      </c>
      <c r="BR106" s="21">
        <f>EXP(-LN(2)/2)*BR105+(1-EXP(-LN(2)/2))/(LN(2)/2)*BL106*BO106*VLOOKUP('Données projet'!$B$11,Paramètres!$A$1:$I$89,3,0)*0.475*44/12</f>
        <v>0.29550286097345352</v>
      </c>
      <c r="BS106" s="22">
        <f t="shared" si="63"/>
        <v>42.12989076223613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>
        <f>VLOOKUP(A106,'Données projet'!$A$113:$I$133,2,0)</f>
        <v>371.4</v>
      </c>
      <c r="BW106" s="12">
        <f>VLOOKUP(A106,'Données projet'!$A$113:$I$133,9,0)</f>
        <v>8.9989999999999952</v>
      </c>
      <c r="BX106" s="12">
        <f t="array" ref="BX106">INDEX(BW:BW,MIN(IF(ISNUMBER(BW106:BW302),ROW(BW106:BW302),"")))</f>
        <v>8.9989999999999952</v>
      </c>
      <c r="BY106" s="12">
        <f>IF('Données projet'!$A$114&gt;35,BY105+BX106-CG105,IF(A106&lt;'Données projet'!$A$114,$BV$205^A106,IF(A106='Données projet'!$A$114,'Données projet'!$B$114,BY105+BX106-CG105)))</f>
        <v>371.40000000000009</v>
      </c>
      <c r="BZ106" s="13">
        <f>BY106*VLOOKUP('Données projet'!$B$12,Paramètres!$A$1:$I$89,3,0)*VLOOKUP('Données projet'!$B$12,Paramètres!$A$1:$I$89,5,0)</f>
        <v>399.77496000000002</v>
      </c>
      <c r="CA106" s="13">
        <f t="shared" si="93"/>
        <v>91.731040320653179</v>
      </c>
      <c r="CB106" s="20">
        <f t="shared" si="64"/>
        <v>856.03961722513759</v>
      </c>
      <c r="CC106" s="59">
        <f t="shared" si="65"/>
        <v>1149.3729505584708</v>
      </c>
      <c r="CD106" s="59">
        <f ca="1">AVERAGE(OFFSET($CC$3,0,0,'Données projet'!$E$12+1,1))-AVERAGE(OFFSET($H$3,0,0,'Données projet'!$E$12+1,1))</f>
        <v>502.65044103360322</v>
      </c>
      <c r="CE106" s="59">
        <f t="shared" si="94"/>
        <v>321.65762891855167</v>
      </c>
      <c r="CF106" s="15">
        <f>IF(ISNA(VLOOKUP(A106,'Données projet'!$A$113:$I$133,3,0)),0,VLOOKUP(A106,'Données projet'!$A$113:$I$133,3,0))</f>
        <v>9</v>
      </c>
      <c r="CG106" s="15">
        <f>IF(ISNA(VLOOKUP(A106,'Données projet'!$A$113:$I$133,4,0)),0,VLOOKUP(A106,'Données projet'!$A$113:$I$133,4,0))</f>
        <v>67.759999999999991</v>
      </c>
      <c r="CH106" s="16">
        <f>IF(ISNA(VLOOKUP(A106,'Données projet'!$A$113:$I$133,5,0)),0%,VLOOKUP(A106,'Données projet'!$A$113:$I$133,5,0)*VLOOKUP('Données projet'!$B$12,Paramètres!$A$1:$I$89,7,0))</f>
        <v>0.215</v>
      </c>
      <c r="CI106" s="16">
        <f>IF(ISNA(VLOOKUP(A106,'Données projet'!$A$113:$I$133,6,0)),0%,VLOOKUP(A106,'Données projet'!$A$113:$I$133,6,0)*VLOOKUP('Données projet'!$B$12,Paramètres!$A$1:$I$89,7,0))</f>
        <v>8.6000000000000007E-2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51.75670387098468</v>
      </c>
      <c r="CL106" s="21">
        <f>EXP(-LN(2)/25)*CL105+(1-EXP(-LN(2)/25))/(LN(2)/25)*Calculateur!CG106*Calculateur!CI106*VLOOKUP('Données projet'!$B$12,Paramètres!$A$1:$I$89,3,0)*0.475*44/12</f>
        <v>29.259563049333803</v>
      </c>
      <c r="CM106" s="21">
        <f>EXP(-LN(2)/2)*CM105+(1-EXP(-LN(2)/2))/(LN(2)/2)*CG106*CJ106*VLOOKUP('Données projet'!$B$12,Paramètres!$A$1:$I$89,3,0)*0.475*44/12</f>
        <v>5.2444437317560235E-3</v>
      </c>
      <c r="CN106" s="22">
        <f t="shared" si="66"/>
        <v>81.021511364050241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239.26156489359892</v>
      </c>
      <c r="T107" s="59">
        <f t="shared" si="88"/>
        <v>213.97034450798111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8.1955247221872156</v>
      </c>
      <c r="AA107" s="21">
        <f>EXP(-LN(2)/25)*AA106+(1-EXP(-LN(2)/25))/(LN(2)/25)*Calculateur!V107*Calculateur!X107*VLOOKUP('Données projet'!$B$9,Paramètres!$A$1:$I$89,3,0)*0.475*44/12</f>
        <v>43.318366887801368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51.513891609988583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7.5129999999999999</v>
      </c>
      <c r="AI107" s="13">
        <f>IF('Données projet'!$A$62&gt;35,AI106+AH107-AQ106,IF(A107&lt;'Données projet'!$A$62,$AF$205^A107,IF(A107='Données projet'!$A$62,'Données projet'!$B$62,AI106+AH107-AQ106)))</f>
        <v>288.4330000000005</v>
      </c>
      <c r="AJ107" s="13">
        <f>AI107*VLOOKUP('Données projet'!$B$10,Paramètres!$A$1:$I$89,3,0)*VLOOKUP('Données projet'!$B$10,Paramètres!$A$1:$I$89,5,0)</f>
        <v>292.47106200000053</v>
      </c>
      <c r="AK107" s="13">
        <f t="shared" si="89"/>
        <v>69.595781693625227</v>
      </c>
      <c r="AL107" s="20">
        <f t="shared" si="58"/>
        <v>630.59975276639818</v>
      </c>
      <c r="AM107" s="59">
        <f t="shared" si="59"/>
        <v>923.93308609973155</v>
      </c>
      <c r="AN107" s="59">
        <f ca="1">AVERAGE(OFFSET($AM$3,0,0,'Données projet'!$E$10+1,1))-AVERAGE(OFFSET($H$3,0,0,'Données projet'!$E$10+1,1))</f>
        <v>543.88440431478944</v>
      </c>
      <c r="AO107" s="59">
        <f t="shared" si="90"/>
        <v>342.63929463709457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32.197187521623938</v>
      </c>
      <c r="AV107" s="21">
        <f>EXP(-LN(2)/25)*AV106+(1-EXP(-LN(2)/25))/(LN(2)/25)*Calculateur!AQ107*Calculateur!AS107*VLOOKUP('Données projet'!$B$10,Paramètres!$A$1:$I$89,3,0)*0.475*44/12</f>
        <v>25.805041833686854</v>
      </c>
      <c r="AW107" s="21">
        <f>EXP(-LN(2)/2)*AW106+(1-EXP(-LN(2)/2))/(LN(2)/2)*AQ107*AT107*VLOOKUP('Données projet'!$B$10,Paramètres!$A$1:$I$89,3,0)*0.475*44/12</f>
        <v>3.9374753303850931</v>
      </c>
      <c r="AX107" s="21">
        <f t="shared" si="60"/>
        <v>61.93970468569588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>
        <f>VLOOKUP(A107,'Données projet'!$A$87:$I$107,2,0)</f>
        <v>271.37</v>
      </c>
      <c r="BB107" s="12">
        <f>VLOOKUP(A107,'Données projet'!$A$87:$I$107,9,0)</f>
        <v>6.7777777777777777</v>
      </c>
      <c r="BC107" s="12">
        <f t="array" ref="BC107">INDEX(BB:BB,MIN(IF(ISNUMBER(BB107:BB303),ROW(BB107:BB303),"")))</f>
        <v>6.7777777777777777</v>
      </c>
      <c r="BD107" s="12">
        <f>IF('Données projet'!$A$88&gt;35,BD106+BC107-BL106,IF(A107&lt;'Données projet'!$A$88,$BA$205^A107,IF(A107='Données projet'!$A$88,'Données projet'!$B$88,BD106+BC107-BL106)))</f>
        <v>271.36999999999983</v>
      </c>
      <c r="BE107" s="13">
        <f>BD107*VLOOKUP('Données projet'!$B$11,Paramètres!$A$1:$I$89,3,0)*VLOOKUP('Données projet'!$B$11,Paramètres!$A$1:$I$89,5,0)</f>
        <v>309.03615599999983</v>
      </c>
      <c r="BF107" s="13">
        <f t="shared" si="91"/>
        <v>73.067504716284731</v>
      </c>
      <c r="BG107" s="20">
        <f t="shared" si="61"/>
        <v>665.49720908086226</v>
      </c>
      <c r="BH107" s="59">
        <f t="shared" si="62"/>
        <v>958.83054241419563</v>
      </c>
      <c r="BI107" s="59">
        <f ca="1">AVERAGE(OFFSET($BH$3,0,0,'Données projet'!$E$11+1,1))-AVERAGE(OFFSET($H$3,0,0,'Données projet'!$E$11+1,1))</f>
        <v>593.28343396240075</v>
      </c>
      <c r="BJ107" s="59">
        <f t="shared" si="92"/>
        <v>289.66477662068695</v>
      </c>
      <c r="BK107" s="15">
        <f>IF(ISNA(VLOOKUP(A107,'Données projet'!$A$87:$I$107,3,0)),0,VLOOKUP(A107,'Données projet'!$A$87:$I$107,3,0))</f>
        <v>6</v>
      </c>
      <c r="BL107" s="15">
        <f>IF(ISNA(VLOOKUP(A107,'Données projet'!$A$87:$I$107,4,0)),0,VLOOKUP(A107,'Données projet'!$A$87:$I$107,4,0))</f>
        <v>39.400000000000006</v>
      </c>
      <c r="BM107" s="16">
        <f>IF(ISNA(VLOOKUP(A107,'Données projet'!$A$87:$I$107,5,0)),0%,VLOOKUP(A107,'Données projet'!$A$87:$I$107,5,0)*VLOOKUP('Données projet'!$B$11,Paramètres!$A$1:$I$89,7,0))</f>
        <v>0.15049999999999999</v>
      </c>
      <c r="BN107" s="16">
        <f>IF(ISNA(VLOOKUP(A107,'Données projet'!$A$87:$I$107,6,0)),0%,VLOOKUP(A107,'Données projet'!$A$87:$I$107,6,0)*VLOOKUP('Données projet'!$B$11,Paramètres!$A$1:$I$89,7,0))</f>
        <v>8.6000000000000007E-2</v>
      </c>
      <c r="BO107" s="16">
        <f>IF(ISNA(VLOOKUP(A107,'Données projet'!$A$87:$I$107,7,0)),0%,VLOOKUP(A107,'Données projet'!$A$87:$I$107,7,0))</f>
        <v>0.1</v>
      </c>
      <c r="BP107" s="21">
        <f>EXP(-LN(2)/35)*BP106+(1-EXP(-LN(2)/35))/(LN(2)/35)*BL107*BM107*VLOOKUP('Données projet'!$B$11,Paramètres!$A$1:$I$89,3,0)*0.475*44/12</f>
        <v>19.134883091125175</v>
      </c>
      <c r="BQ107" s="21">
        <f>EXP(-LN(2)/25)*BQ106+(1-EXP(-LN(2)/25))/(LN(2)/25)*Calculateur!BL107*Calculateur!BN107*VLOOKUP('Données projet'!$B$11,Paramètres!$A$1:$I$89,3,0)*0.475*44/12</f>
        <v>33.361472057512231</v>
      </c>
      <c r="BR107" s="21">
        <f>EXP(-LN(2)/2)*BR106+(1-EXP(-LN(2)/2))/(LN(2)/2)*BL107*BO107*VLOOKUP('Données projet'!$B$11,Paramètres!$A$1:$I$89,3,0)*0.475*44/12</f>
        <v>4.4424365712436629</v>
      </c>
      <c r="BS107" s="22">
        <f t="shared" si="63"/>
        <v>56.938791719881067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8.7540000000000013</v>
      </c>
      <c r="BY107" s="12">
        <f>IF('Données projet'!$A$114&gt;35,BY106+BX107-CG106,IF(A107&lt;'Données projet'!$A$114,$BV$205^A107,IF(A107='Données projet'!$A$114,'Données projet'!$B$114,BY106+BX107-CG106)))</f>
        <v>312.39400000000012</v>
      </c>
      <c r="BZ107" s="13">
        <f>BY107*VLOOKUP('Données projet'!$B$12,Paramètres!$A$1:$I$89,3,0)*VLOOKUP('Données projet'!$B$12,Paramètres!$A$1:$I$89,5,0)</f>
        <v>336.26090160000012</v>
      </c>
      <c r="CA107" s="13">
        <f t="shared" si="93"/>
        <v>78.726928534467632</v>
      </c>
      <c r="CB107" s="20">
        <f t="shared" si="64"/>
        <v>722.77047081753142</v>
      </c>
      <c r="CC107" s="59">
        <f t="shared" si="65"/>
        <v>1016.1038041508648</v>
      </c>
      <c r="CD107" s="59">
        <f ca="1">AVERAGE(OFFSET($CC$3,0,0,'Données projet'!$E$12+1,1))-AVERAGE(OFFSET($H$3,0,0,'Données projet'!$E$12+1,1))</f>
        <v>502.65044103360322</v>
      </c>
      <c r="CE107" s="59">
        <f t="shared" si="94"/>
        <v>321.65762891855167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50.741786476546906</v>
      </c>
      <c r="CL107" s="21">
        <f>EXP(-LN(2)/25)*CL106+(1-EXP(-LN(2)/25))/(LN(2)/25)*Calculateur!CG107*Calculateur!CI107*VLOOKUP('Données projet'!$B$12,Paramètres!$A$1:$I$89,3,0)*0.475*44/12</f>
        <v>28.459458759056222</v>
      </c>
      <c r="CM107" s="21">
        <f>EXP(-LN(2)/2)*CM106+(1-EXP(-LN(2)/2))/(LN(2)/2)*CG107*CJ107*VLOOKUP('Données projet'!$B$12,Paramètres!$A$1:$I$89,3,0)*0.475*44/12</f>
        <v>3.7083817262759675E-3</v>
      </c>
      <c r="CN107" s="22">
        <f t="shared" si="66"/>
        <v>79.204953617329394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239.26156489359892</v>
      </c>
      <c r="T108" s="59">
        <f t="shared" si="88"/>
        <v>213.97034450798111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8.0348154811616173</v>
      </c>
      <c r="AA108" s="21">
        <f>EXP(-LN(2)/25)*AA107+(1-EXP(-LN(2)/25))/(LN(2)/25)*Calculateur!V108*Calculateur!X108*VLOOKUP('Données projet'!$B$9,Paramètres!$A$1:$I$89,3,0)*0.475*44/12</f>
        <v>42.13382386724053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50.168639348402145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7.5129999999999999</v>
      </c>
      <c r="AI108" s="13">
        <f>IF('Données projet'!$A$62&gt;35,AI107+AH108-AQ107,IF(A108&lt;'Données projet'!$A$62,$AF$205^A108,IF(A108='Données projet'!$A$62,'Données projet'!$B$62,AI107+AH108-AQ107)))</f>
        <v>295.94600000000048</v>
      </c>
      <c r="AJ108" s="13">
        <f>AI108*VLOOKUP('Données projet'!$B$10,Paramètres!$A$1:$I$89,3,0)*VLOOKUP('Données projet'!$B$10,Paramètres!$A$1:$I$89,5,0)</f>
        <v>300.08924400000052</v>
      </c>
      <c r="AK108" s="13">
        <f t="shared" si="89"/>
        <v>71.195172122109398</v>
      </c>
      <c r="AL108" s="20">
        <f t="shared" si="58"/>
        <v>646.65369141267468</v>
      </c>
      <c r="AM108" s="59">
        <f t="shared" si="59"/>
        <v>939.98702474600805</v>
      </c>
      <c r="AN108" s="59">
        <f ca="1">AVERAGE(OFFSET($AM$3,0,0,'Données projet'!$E$10+1,1))-AVERAGE(OFFSET($H$3,0,0,'Données projet'!$E$10+1,1))</f>
        <v>543.88440431478944</v>
      </c>
      <c r="AO108" s="59">
        <f t="shared" si="90"/>
        <v>342.63929463709457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31.565820312670155</v>
      </c>
      <c r="AV108" s="21">
        <f>EXP(-LN(2)/25)*AV107+(1-EXP(-LN(2)/25))/(LN(2)/25)*Calculateur!AQ108*Calculateur!AS108*VLOOKUP('Données projet'!$B$10,Paramètres!$A$1:$I$89,3,0)*0.475*44/12</f>
        <v>25.099401607716516</v>
      </c>
      <c r="AW108" s="21">
        <f>EXP(-LN(2)/2)*AW107+(1-EXP(-LN(2)/2))/(LN(2)/2)*AQ108*AT108*VLOOKUP('Données projet'!$B$10,Paramètres!$A$1:$I$89,3,0)*0.475*44/12</f>
        <v>2.7842155068700412</v>
      </c>
      <c r="AX108" s="21">
        <f t="shared" si="60"/>
        <v>59.449437427256711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6.8811111111111085</v>
      </c>
      <c r="BD108" s="12">
        <f>IF('Données projet'!$A$88&gt;35,BD107+BC108-BL107,IF(A108&lt;'Données projet'!$A$88,$BA$205^A108,IF(A108='Données projet'!$A$88,'Données projet'!$B$88,BD107+BC108-BL107)))</f>
        <v>238.85111111111095</v>
      </c>
      <c r="BE108" s="13">
        <f>BD108*VLOOKUP('Données projet'!$B$11,Paramètres!$A$1:$I$89,3,0)*VLOOKUP('Données projet'!$B$11,Paramètres!$A$1:$I$89,5,0)</f>
        <v>272.00364533333311</v>
      </c>
      <c r="BF108" s="13">
        <f t="shared" si="91"/>
        <v>65.274310248407801</v>
      </c>
      <c r="BG108" s="20">
        <f t="shared" si="61"/>
        <v>587.42577263819874</v>
      </c>
      <c r="BH108" s="59">
        <f t="shared" si="62"/>
        <v>880.75910597153211</v>
      </c>
      <c r="BI108" s="59">
        <f ca="1">AVERAGE(OFFSET($BH$3,0,0,'Données projet'!$E$11+1,1))-AVERAGE(OFFSET($H$3,0,0,'Données projet'!$E$11+1,1))</f>
        <v>593.28343396240075</v>
      </c>
      <c r="BJ108" s="59">
        <f t="shared" si="92"/>
        <v>289.66477662068695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18.759659704834469</v>
      </c>
      <c r="BQ108" s="21">
        <f>EXP(-LN(2)/25)*BQ107+(1-EXP(-LN(2)/25))/(LN(2)/25)*Calculateur!BL108*Calculateur!BN108*VLOOKUP('Données projet'!$B$11,Paramètres!$A$1:$I$89,3,0)*0.475*44/12</f>
        <v>32.449200849695991</v>
      </c>
      <c r="BR108" s="21">
        <f>EXP(-LN(2)/2)*BR107+(1-EXP(-LN(2)/2))/(LN(2)/2)*BL108*BO108*VLOOKUP('Données projet'!$B$11,Paramètres!$A$1:$I$89,3,0)*0.475*44/12</f>
        <v>3.1412770245175095</v>
      </c>
      <c r="BS108" s="22">
        <f t="shared" si="63"/>
        <v>54.350137579047967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8.7540000000000013</v>
      </c>
      <c r="BY108" s="12">
        <f>IF('Données projet'!$A$114&gt;35,BY107+BX108-CG107,IF(A108&lt;'Données projet'!$A$114,$BV$205^A108,IF(A108='Données projet'!$A$114,'Données projet'!$B$114,BY107+BX108-CG107)))</f>
        <v>321.14800000000014</v>
      </c>
      <c r="BZ108" s="13">
        <f>BY108*VLOOKUP('Données projet'!$B$12,Paramètres!$A$1:$I$89,3,0)*VLOOKUP('Données projet'!$B$12,Paramètres!$A$1:$I$89,5,0)</f>
        <v>345.68370720000013</v>
      </c>
      <c r="CA108" s="13">
        <f t="shared" si="93"/>
        <v>80.673100873364589</v>
      </c>
      <c r="CB108" s="20">
        <f t="shared" si="64"/>
        <v>742.57144072777692</v>
      </c>
      <c r="CC108" s="59">
        <f t="shared" si="65"/>
        <v>1035.9047740611102</v>
      </c>
      <c r="CD108" s="59">
        <f ca="1">AVERAGE(OFFSET($CC$3,0,0,'Données projet'!$E$12+1,1))-AVERAGE(OFFSET($H$3,0,0,'Données projet'!$E$12+1,1))</f>
        <v>502.65044103360322</v>
      </c>
      <c r="CE108" s="59">
        <f t="shared" si="94"/>
        <v>321.65762891855167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49.746770993175566</v>
      </c>
      <c r="CL108" s="21">
        <f>EXP(-LN(2)/25)*CL107+(1-EXP(-LN(2)/25))/(LN(2)/25)*Calculateur!CG108*Calculateur!CI108*VLOOKUP('Données projet'!$B$12,Paramètres!$A$1:$I$89,3,0)*0.475*44/12</f>
        <v>27.681233362671939</v>
      </c>
      <c r="CM108" s="21">
        <f>EXP(-LN(2)/2)*CM107+(1-EXP(-LN(2)/2))/(LN(2)/2)*CG108*CJ108*VLOOKUP('Données projet'!$B$12,Paramètres!$A$1:$I$89,3,0)*0.475*44/12</f>
        <v>2.6222218658780122E-3</v>
      </c>
      <c r="CN108" s="22">
        <f t="shared" si="66"/>
        <v>77.430626577713383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239.26156489359892</v>
      </c>
      <c r="T109" s="59">
        <f t="shared" si="88"/>
        <v>213.97034450798111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7.8772576503295726</v>
      </c>
      <c r="AA109" s="21">
        <f>EXP(-LN(2)/25)*AA108+(1-EXP(-LN(2)/25))/(LN(2)/25)*Calculateur!V109*Calculateur!X109*VLOOKUP('Données projet'!$B$9,Paramètres!$A$1:$I$89,3,0)*0.475*44/12</f>
        <v>40.98167223786934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48.858929888198915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7.5129999999999999</v>
      </c>
      <c r="AI109" s="13">
        <f>IF('Données projet'!$A$62&gt;35,AI108+AH109-AQ108,IF(A109&lt;'Données projet'!$A$62,$AF$205^A109,IF(A109='Données projet'!$A$62,'Données projet'!$B$62,AI108+AH109-AQ108)))</f>
        <v>303.45900000000046</v>
      </c>
      <c r="AJ109" s="13">
        <f>AI109*VLOOKUP('Données projet'!$B$10,Paramètres!$A$1:$I$89,3,0)*VLOOKUP('Données projet'!$B$10,Paramètres!$A$1:$I$89,5,0)</f>
        <v>307.70742600000045</v>
      </c>
      <c r="AK109" s="13">
        <f t="shared" si="89"/>
        <v>72.789842831172891</v>
      </c>
      <c r="AL109" s="20">
        <f t="shared" si="58"/>
        <v>662.69940988096016</v>
      </c>
      <c r="AM109" s="59">
        <f t="shared" si="59"/>
        <v>956.03274321429353</v>
      </c>
      <c r="AN109" s="59">
        <f ca="1">AVERAGE(OFFSET($AM$3,0,0,'Données projet'!$E$10+1,1))-AVERAGE(OFFSET($H$3,0,0,'Données projet'!$E$10+1,1))</f>
        <v>543.88440431478944</v>
      </c>
      <c r="AO109" s="59">
        <f t="shared" si="90"/>
        <v>342.63929463709457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30.946833829587984</v>
      </c>
      <c r="AV109" s="21">
        <f>EXP(-LN(2)/25)*AV108+(1-EXP(-LN(2)/25))/(LN(2)/25)*Calculateur!AQ109*Calculateur!AS109*VLOOKUP('Données projet'!$B$10,Paramètres!$A$1:$I$89,3,0)*0.475*44/12</f>
        <v>24.413057150833342</v>
      </c>
      <c r="AW109" s="21">
        <f>EXP(-LN(2)/2)*AW108+(1-EXP(-LN(2)/2))/(LN(2)/2)*AQ109*AT109*VLOOKUP('Données projet'!$B$10,Paramètres!$A$1:$I$89,3,0)*0.475*44/12</f>
        <v>1.9687376651925468</v>
      </c>
      <c r="AX109" s="21">
        <f t="shared" si="60"/>
        <v>57.328628645613875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6.8811111111111085</v>
      </c>
      <c r="BD109" s="12">
        <f>IF('Données projet'!$A$88&gt;35,BD108+BC109-BL108,IF(A109&lt;'Données projet'!$A$88,$BA$205^A109,IF(A109='Données projet'!$A$88,'Données projet'!$B$88,BD108+BC109-BL108)))</f>
        <v>245.73222222222205</v>
      </c>
      <c r="BE109" s="13">
        <f>BD109*VLOOKUP('Données projet'!$B$11,Paramètres!$A$1:$I$89,3,0)*VLOOKUP('Données projet'!$B$11,Paramètres!$A$1:$I$89,5,0)</f>
        <v>279.8398546666665</v>
      </c>
      <c r="BF109" s="13">
        <f t="shared" si="91"/>
        <v>66.933164441747081</v>
      </c>
      <c r="BG109" s="20">
        <f t="shared" si="61"/>
        <v>603.96300828048697</v>
      </c>
      <c r="BH109" s="59">
        <f t="shared" si="62"/>
        <v>897.29634161382023</v>
      </c>
      <c r="BI109" s="59">
        <f ca="1">AVERAGE(OFFSET($BH$3,0,0,'Données projet'!$E$11+1,1))-AVERAGE(OFFSET($H$3,0,0,'Données projet'!$E$11+1,1))</f>
        <v>593.28343396240075</v>
      </c>
      <c r="BJ109" s="59">
        <f t="shared" si="92"/>
        <v>289.66477662068695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18.391794220285256</v>
      </c>
      <c r="BQ109" s="21">
        <f>EXP(-LN(2)/25)*BQ108+(1-EXP(-LN(2)/25))/(LN(2)/25)*Calculateur!BL109*Calculateur!BN109*VLOOKUP('Données projet'!$B$11,Paramètres!$A$1:$I$89,3,0)*0.475*44/12</f>
        <v>31.561875746031745</v>
      </c>
      <c r="BR109" s="21">
        <f>EXP(-LN(2)/2)*BR108+(1-EXP(-LN(2)/2))/(LN(2)/2)*BL109*BO109*VLOOKUP('Données projet'!$B$11,Paramètres!$A$1:$I$89,3,0)*0.475*44/12</f>
        <v>2.2212182856218319</v>
      </c>
      <c r="BS109" s="22">
        <f t="shared" si="63"/>
        <v>52.174888251938832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8.7540000000000013</v>
      </c>
      <c r="BY109" s="12">
        <f>IF('Données projet'!$A$114&gt;35,BY108+BX109-CG108,IF(A109&lt;'Données projet'!$A$114,$BV$205^A109,IF(A109='Données projet'!$A$114,'Données projet'!$B$114,BY108+BX109-CG108)))</f>
        <v>329.90200000000016</v>
      </c>
      <c r="BZ109" s="13">
        <f>BY109*VLOOKUP('Données projet'!$B$12,Paramètres!$A$1:$I$89,3,0)*VLOOKUP('Données projet'!$B$12,Paramètres!$A$1:$I$89,5,0)</f>
        <v>355.10651280000019</v>
      </c>
      <c r="CA109" s="13">
        <f t="shared" si="93"/>
        <v>82.613107210689279</v>
      </c>
      <c r="CB109" s="20">
        <f t="shared" si="64"/>
        <v>762.36167151861753</v>
      </c>
      <c r="CC109" s="59">
        <f t="shared" si="65"/>
        <v>1055.6950048519509</v>
      </c>
      <c r="CD109" s="59">
        <f ca="1">AVERAGE(OFFSET($CC$3,0,0,'Données projet'!$E$12+1,1))-AVERAGE(OFFSET($H$3,0,0,'Données projet'!$E$12+1,1))</f>
        <v>502.65044103360322</v>
      </c>
      <c r="CE109" s="59">
        <f t="shared" si="94"/>
        <v>321.65762891855167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48.771267156533625</v>
      </c>
      <c r="CL109" s="21">
        <f>EXP(-LN(2)/25)*CL108+(1-EXP(-LN(2)/25))/(LN(2)/25)*Calculateur!CG109*Calculateur!CI109*VLOOKUP('Données projet'!$B$12,Paramètres!$A$1:$I$89,3,0)*0.475*44/12</f>
        <v>26.92428858067688</v>
      </c>
      <c r="CM109" s="21">
        <f>EXP(-LN(2)/2)*CM108+(1-EXP(-LN(2)/2))/(LN(2)/2)*CG109*CJ109*VLOOKUP('Données projet'!$B$12,Paramètres!$A$1:$I$89,3,0)*0.475*44/12</f>
        <v>1.854190863137984E-3</v>
      </c>
      <c r="CN109" s="22">
        <f t="shared" si="66"/>
        <v>75.69740992807364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239.26156489359892</v>
      </c>
      <c r="T110" s="59">
        <f t="shared" si="88"/>
        <v>213.97034450798111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7.722789432459356</v>
      </c>
      <c r="AA110" s="21">
        <f>EXP(-LN(2)/25)*AA109+(1-EXP(-LN(2)/25))/(LN(2)/25)*Calculateur!V110*Calculateur!X110*VLOOKUP('Données projet'!$B$9,Paramètres!$A$1:$I$89,3,0)*0.475*44/12</f>
        <v>39.861026255392325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47.583815687851683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7.5129999999999999</v>
      </c>
      <c r="AI110" s="13">
        <f>IF('Données projet'!$A$62&gt;35,AI109+AH110-AQ109,IF(A110&lt;'Données projet'!$A$62,$AF$205^A110,IF(A110='Données projet'!$A$62,'Données projet'!$B$62,AI109+AH110-AQ109)))</f>
        <v>310.97200000000043</v>
      </c>
      <c r="AJ110" s="13">
        <f>AI110*VLOOKUP('Données projet'!$B$10,Paramètres!$A$1:$I$89,3,0)*VLOOKUP('Données projet'!$B$10,Paramètres!$A$1:$I$89,5,0)</f>
        <v>315.32560800000044</v>
      </c>
      <c r="AK110" s="13">
        <f t="shared" si="89"/>
        <v>74.379924111541044</v>
      </c>
      <c r="AL110" s="20">
        <f t="shared" si="58"/>
        <v>678.73713509426807</v>
      </c>
      <c r="AM110" s="59">
        <f t="shared" si="59"/>
        <v>972.07046842760133</v>
      </c>
      <c r="AN110" s="59">
        <f ca="1">AVERAGE(OFFSET($AM$3,0,0,'Données projet'!$E$10+1,1))-AVERAGE(OFFSET($H$3,0,0,'Données projet'!$E$10+1,1))</f>
        <v>543.88440431478944</v>
      </c>
      <c r="AO110" s="59">
        <f t="shared" si="90"/>
        <v>342.63929463709457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30.339985293894578</v>
      </c>
      <c r="AV110" s="21">
        <f>EXP(-LN(2)/25)*AV109+(1-EXP(-LN(2)/25))/(LN(2)/25)*Calculateur!AQ110*Calculateur!AS110*VLOOKUP('Données projet'!$B$10,Paramètres!$A$1:$I$89,3,0)*0.475*44/12</f>
        <v>23.745480819216926</v>
      </c>
      <c r="AW110" s="21">
        <f>EXP(-LN(2)/2)*AW109+(1-EXP(-LN(2)/2))/(LN(2)/2)*AQ110*AT110*VLOOKUP('Données projet'!$B$10,Paramètres!$A$1:$I$89,3,0)*0.475*44/12</f>
        <v>1.3921077534350208</v>
      </c>
      <c r="AX110" s="21">
        <f t="shared" si="60"/>
        <v>55.477573866546528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6.8811111111111085</v>
      </c>
      <c r="BD110" s="12">
        <f>IF('Données projet'!$A$88&gt;35,BD109+BC110-BL109,IF(A110&lt;'Données projet'!$A$88,$BA$205^A110,IF(A110='Données projet'!$A$88,'Données projet'!$B$88,BD109+BC110-BL109)))</f>
        <v>252.61333333333314</v>
      </c>
      <c r="BE110" s="13">
        <f>BD110*VLOOKUP('Données projet'!$B$11,Paramètres!$A$1:$I$89,3,0)*VLOOKUP('Données projet'!$B$11,Paramètres!$A$1:$I$89,5,0)</f>
        <v>287.67606399999983</v>
      </c>
      <c r="BF110" s="13">
        <f t="shared" si="91"/>
        <v>68.586619675955717</v>
      </c>
      <c r="BG110" s="20">
        <f t="shared" si="61"/>
        <v>620.49084073562256</v>
      </c>
      <c r="BH110" s="59">
        <f t="shared" si="62"/>
        <v>913.82417406895593</v>
      </c>
      <c r="BI110" s="59">
        <f ca="1">AVERAGE(OFFSET($BH$3,0,0,'Données projet'!$E$11+1,1))-AVERAGE(OFFSET($H$3,0,0,'Données projet'!$E$11+1,1))</f>
        <v>593.28343396240075</v>
      </c>
      <c r="BJ110" s="59">
        <f t="shared" si="92"/>
        <v>289.66477662068695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18.031142353512262</v>
      </c>
      <c r="BQ110" s="21">
        <f>EXP(-LN(2)/25)*BQ109+(1-EXP(-LN(2)/25))/(LN(2)/25)*Calculateur!BL110*Calculateur!BN110*VLOOKUP('Données projet'!$B$11,Paramètres!$A$1:$I$89,3,0)*0.475*44/12</f>
        <v>30.698814593989596</v>
      </c>
      <c r="BR110" s="21">
        <f>EXP(-LN(2)/2)*BR109+(1-EXP(-LN(2)/2))/(LN(2)/2)*BL110*BO110*VLOOKUP('Données projet'!$B$11,Paramètres!$A$1:$I$89,3,0)*0.475*44/12</f>
        <v>1.5706385122587549</v>
      </c>
      <c r="BS110" s="22">
        <f t="shared" si="63"/>
        <v>50.300595459760615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8.7540000000000013</v>
      </c>
      <c r="BY110" s="12">
        <f>IF('Données projet'!$A$114&gt;35,BY109+BX110-CG109,IF(A110&lt;'Données projet'!$A$114,$BV$205^A110,IF(A110='Données projet'!$A$114,'Données projet'!$B$114,BY109+BX110-CG109)))</f>
        <v>338.65600000000018</v>
      </c>
      <c r="BZ110" s="13">
        <f>BY110*VLOOKUP('Données projet'!$B$12,Paramètres!$A$1:$I$89,3,0)*VLOOKUP('Données projet'!$B$12,Paramètres!$A$1:$I$89,5,0)</f>
        <v>364.52931840000019</v>
      </c>
      <c r="CA110" s="13">
        <f t="shared" si="93"/>
        <v>84.54712996865311</v>
      </c>
      <c r="CB110" s="20">
        <f t="shared" si="64"/>
        <v>782.14148090873778</v>
      </c>
      <c r="CC110" s="59">
        <f t="shared" si="65"/>
        <v>1075.474814242071</v>
      </c>
      <c r="CD110" s="59">
        <f ca="1">AVERAGE(OFFSET($CC$3,0,0,'Données projet'!$E$12+1,1))-AVERAGE(OFFSET($H$3,0,0,'Données projet'!$E$12+1,1))</f>
        <v>502.65044103360322</v>
      </c>
      <c r="CE110" s="59">
        <f t="shared" si="94"/>
        <v>321.65762891855167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47.814892355129643</v>
      </c>
      <c r="CL110" s="21">
        <f>EXP(-LN(2)/25)*CL109+(1-EXP(-LN(2)/25))/(LN(2)/25)*Calculateur!CG110*Calculateur!CI110*VLOOKUP('Données projet'!$B$12,Paramètres!$A$1:$I$89,3,0)*0.475*44/12</f>
        <v>26.188042493551471</v>
      </c>
      <c r="CM110" s="21">
        <f>EXP(-LN(2)/2)*CM109+(1-EXP(-LN(2)/2))/(LN(2)/2)*CG110*CJ110*VLOOKUP('Données projet'!$B$12,Paramètres!$A$1:$I$89,3,0)*0.475*44/12</f>
        <v>1.3111109329390063E-3</v>
      </c>
      <c r="CN110" s="22">
        <f t="shared" si="66"/>
        <v>74.004245959614067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239.26156489359892</v>
      </c>
      <c r="T111" s="59">
        <f t="shared" si="88"/>
        <v>213.97034450798111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7.5713502421252645</v>
      </c>
      <c r="AA111" s="21">
        <f>EXP(-LN(2)/25)*AA110+(1-EXP(-LN(2)/25))/(LN(2)/25)*Calculateur!V111*Calculateur!X111*VLOOKUP('Données projet'!$B$9,Paramètres!$A$1:$I$89,3,0)*0.475*44/12</f>
        <v>38.771024396238353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46.342374638363616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7.5129999999999999</v>
      </c>
      <c r="AI111" s="13">
        <f>IF('Données projet'!$A$62&gt;35,AI110+AH111-AQ110,IF(A111&lt;'Données projet'!$A$62,$AF$205^A111,IF(A111='Données projet'!$A$62,'Données projet'!$B$62,AI110+AH111-AQ110)))</f>
        <v>318.48500000000041</v>
      </c>
      <c r="AJ111" s="13">
        <f>AI111*VLOOKUP('Données projet'!$B$10,Paramètres!$A$1:$I$89,3,0)*VLOOKUP('Données projet'!$B$10,Paramètres!$A$1:$I$89,5,0)</f>
        <v>322.94379000000043</v>
      </c>
      <c r="AK111" s="13">
        <f t="shared" si="89"/>
        <v>75.965539599367119</v>
      </c>
      <c r="AL111" s="20">
        <f t="shared" si="58"/>
        <v>694.76708238556512</v>
      </c>
      <c r="AM111" s="59">
        <f t="shared" si="59"/>
        <v>988.10041571889838</v>
      </c>
      <c r="AN111" s="59">
        <f ca="1">AVERAGE(OFFSET($AM$3,0,0,'Données projet'!$E$10+1,1))-AVERAGE(OFFSET($H$3,0,0,'Données projet'!$E$10+1,1))</f>
        <v>543.88440431478944</v>
      </c>
      <c r="AO111" s="59">
        <f t="shared" si="90"/>
        <v>342.63929463709457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29.745036687845062</v>
      </c>
      <c r="AV111" s="21">
        <f>EXP(-LN(2)/25)*AV110+(1-EXP(-LN(2)/25))/(LN(2)/25)*Calculateur!AQ111*Calculateur!AS111*VLOOKUP('Données projet'!$B$10,Paramètres!$A$1:$I$89,3,0)*0.475*44/12</f>
        <v>23.096159397494873</v>
      </c>
      <c r="AW111" s="21">
        <f>EXP(-LN(2)/2)*AW110+(1-EXP(-LN(2)/2))/(LN(2)/2)*AQ111*AT111*VLOOKUP('Données projet'!$B$10,Paramètres!$A$1:$I$89,3,0)*0.475*44/12</f>
        <v>0.98436883259627361</v>
      </c>
      <c r="AX111" s="21">
        <f t="shared" si="60"/>
        <v>53.825564917936205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6.8811111111111085</v>
      </c>
      <c r="BD111" s="12">
        <f>IF('Données projet'!$A$88&gt;35,BD110+BC111-BL110,IF(A111&lt;'Données projet'!$A$88,$BA$205^A111,IF(A111='Données projet'!$A$88,'Données projet'!$B$88,BD110+BC111-BL110)))</f>
        <v>259.49444444444424</v>
      </c>
      <c r="BE111" s="13">
        <f>BD111*VLOOKUP('Données projet'!$B$11,Paramètres!$A$1:$I$89,3,0)*VLOOKUP('Données projet'!$B$11,Paramètres!$A$1:$I$89,5,0)</f>
        <v>295.5122733333331</v>
      </c>
      <c r="BF111" s="13">
        <f t="shared" si="91"/>
        <v>70.234839916588783</v>
      </c>
      <c r="BG111" s="20">
        <f t="shared" si="61"/>
        <v>637.00955557694726</v>
      </c>
      <c r="BH111" s="59">
        <f t="shared" si="62"/>
        <v>930.34288891028064</v>
      </c>
      <c r="BI111" s="59">
        <f ca="1">AVERAGE(OFFSET($BH$3,0,0,'Données projet'!$E$11+1,1))-AVERAGE(OFFSET($H$3,0,0,'Données projet'!$E$11+1,1))</f>
        <v>593.28343396240075</v>
      </c>
      <c r="BJ111" s="59">
        <f t="shared" si="92"/>
        <v>289.66477662068695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17.677562649870769</v>
      </c>
      <c r="BQ111" s="21">
        <f>EXP(-LN(2)/25)*BQ110+(1-EXP(-LN(2)/25))/(LN(2)/25)*Calculateur!BL111*Calculateur!BN111*VLOOKUP('Données projet'!$B$11,Paramètres!$A$1:$I$89,3,0)*0.475*44/12</f>
        <v>29.859353894536454</v>
      </c>
      <c r="BR111" s="21">
        <f>EXP(-LN(2)/2)*BR110+(1-EXP(-LN(2)/2))/(LN(2)/2)*BL111*BO111*VLOOKUP('Données projet'!$B$11,Paramètres!$A$1:$I$89,3,0)*0.475*44/12</f>
        <v>1.1106091428109162</v>
      </c>
      <c r="BS111" s="22">
        <f t="shared" si="63"/>
        <v>48.647525687218135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8.7540000000000013</v>
      </c>
      <c r="BY111" s="12">
        <f>IF('Données projet'!$A$114&gt;35,BY110+BX111-CG110,IF(A111&lt;'Données projet'!$A$114,$BV$205^A111,IF(A111='Données projet'!$A$114,'Données projet'!$B$114,BY110+BX111-CG110)))</f>
        <v>347.4100000000002</v>
      </c>
      <c r="BZ111" s="13">
        <f>BY111*VLOOKUP('Données projet'!$B$12,Paramètres!$A$1:$I$89,3,0)*VLOOKUP('Données projet'!$B$12,Paramètres!$A$1:$I$89,5,0)</f>
        <v>373.9521240000002</v>
      </c>
      <c r="CA111" s="13">
        <f t="shared" si="93"/>
        <v>86.475341601284939</v>
      </c>
      <c r="CB111" s="20">
        <f t="shared" si="64"/>
        <v>801.91116925557162</v>
      </c>
      <c r="CC111" s="59">
        <f t="shared" si="65"/>
        <v>1095.2445025889049</v>
      </c>
      <c r="CD111" s="59">
        <f ca="1">AVERAGE(OFFSET($CC$3,0,0,'Données projet'!$E$12+1,1))-AVERAGE(OFFSET($H$3,0,0,'Données projet'!$E$12+1,1))</f>
        <v>502.65044103360322</v>
      </c>
      <c r="CE111" s="59">
        <f t="shared" si="94"/>
        <v>321.65762891855167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46.877271480250158</v>
      </c>
      <c r="CL111" s="21">
        <f>EXP(-LN(2)/25)*CL110+(1-EXP(-LN(2)/25))/(LN(2)/25)*Calculateur!CG111*Calculateur!CI111*VLOOKUP('Données projet'!$B$12,Paramètres!$A$1:$I$89,3,0)*0.475*44/12</f>
        <v>25.471929094396003</v>
      </c>
      <c r="CM111" s="21">
        <f>EXP(-LN(2)/2)*CM110+(1-EXP(-LN(2)/2))/(LN(2)/2)*CG111*CJ111*VLOOKUP('Données projet'!$B$12,Paramètres!$A$1:$I$89,3,0)*0.475*44/12</f>
        <v>9.270954315689922E-4</v>
      </c>
      <c r="CN111" s="22">
        <f t="shared" si="66"/>
        <v>72.350127670077725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239.26156489359892</v>
      </c>
      <c r="T112" s="59">
        <f t="shared" si="88"/>
        <v>213.97034450798111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7.4228806819448394</v>
      </c>
      <c r="AA112" s="21">
        <f>EXP(-LN(2)/25)*AA111+(1-EXP(-LN(2)/25))/(LN(2)/25)*Calculateur!V112*Calculateur!X112*VLOOKUP('Données projet'!$B$9,Paramètres!$A$1:$I$89,3,0)*0.475*44/12</f>
        <v>37.710828695243656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45.133709377188495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7.5129999999999999</v>
      </c>
      <c r="AI112" s="13">
        <f>IF('Données projet'!$A$62&gt;35,AI111+AH112-AQ111,IF(A112&lt;'Données projet'!$A$62,$AF$205^A112,IF(A112='Données projet'!$A$62,'Données projet'!$B$62,AI111+AH112-AQ111)))</f>
        <v>325.99800000000039</v>
      </c>
      <c r="AJ112" s="13">
        <f>AI112*VLOOKUP('Données projet'!$B$10,Paramètres!$A$1:$I$89,3,0)*VLOOKUP('Données projet'!$B$10,Paramètres!$A$1:$I$89,5,0)</f>
        <v>330.56197200000042</v>
      </c>
      <c r="AK112" s="13">
        <f t="shared" si="89"/>
        <v>77.546806764956813</v>
      </c>
      <c r="AL112" s="20">
        <f t="shared" si="58"/>
        <v>710.78945634896718</v>
      </c>
      <c r="AM112" s="59">
        <f t="shared" si="59"/>
        <v>1004.1227896823004</v>
      </c>
      <c r="AN112" s="59">
        <f ca="1">AVERAGE(OFFSET($AM$3,0,0,'Données projet'!$E$10+1,1))-AVERAGE(OFFSET($H$3,0,0,'Données projet'!$E$10+1,1))</f>
        <v>543.88440431478944</v>
      </c>
      <c r="AO112" s="59">
        <f t="shared" si="90"/>
        <v>342.63929463709457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29.16175466107736</v>
      </c>
      <c r="AV112" s="21">
        <f>EXP(-LN(2)/25)*AV111+(1-EXP(-LN(2)/25))/(LN(2)/25)*Calculateur!AQ112*Calculateur!AS112*VLOOKUP('Données projet'!$B$10,Paramètres!$A$1:$I$89,3,0)*0.475*44/12</f>
        <v>22.46459370419614</v>
      </c>
      <c r="AW112" s="21">
        <f>EXP(-LN(2)/2)*AW111+(1-EXP(-LN(2)/2))/(LN(2)/2)*AQ112*AT112*VLOOKUP('Données projet'!$B$10,Paramètres!$A$1:$I$89,3,0)*0.475*44/12</f>
        <v>0.69605387671751051</v>
      </c>
      <c r="AX112" s="21">
        <f t="shared" si="60"/>
        <v>52.322402241991014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6.8811111111111085</v>
      </c>
      <c r="BD112" s="12">
        <f>IF('Données projet'!$A$88&gt;35,BD111+BC112-BL111,IF(A112&lt;'Données projet'!$A$88,$BA$205^A112,IF(A112='Données projet'!$A$88,'Données projet'!$B$88,BD111+BC112-BL111)))</f>
        <v>266.37555555555537</v>
      </c>
      <c r="BE112" s="13">
        <f>BD112*VLOOKUP('Données projet'!$B$11,Paramètres!$A$1:$I$89,3,0)*VLOOKUP('Données projet'!$B$11,Paramètres!$A$1:$I$89,5,0)</f>
        <v>303.34848266666648</v>
      </c>
      <c r="BF112" s="13">
        <f t="shared" si="91"/>
        <v>71.877979938164458</v>
      </c>
      <c r="BG112" s="20">
        <f t="shared" si="61"/>
        <v>653.51942237008052</v>
      </c>
      <c r="BH112" s="59">
        <f t="shared" si="62"/>
        <v>946.85275570341378</v>
      </c>
      <c r="BI112" s="59">
        <f ca="1">AVERAGE(OFFSET($BH$3,0,0,'Données projet'!$E$11+1,1))-AVERAGE(OFFSET($H$3,0,0,'Données projet'!$E$11+1,1))</f>
        <v>593.28343396240075</v>
      </c>
      <c r="BJ112" s="59">
        <f t="shared" si="92"/>
        <v>289.66477662068695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17.330916428555362</v>
      </c>
      <c r="BQ112" s="21">
        <f>EXP(-LN(2)/25)*BQ111+(1-EXP(-LN(2)/25))/(LN(2)/25)*Calculateur!BL112*Calculateur!BN112*VLOOKUP('Données projet'!$B$11,Paramètres!$A$1:$I$89,3,0)*0.475*44/12</f>
        <v>29.042848292055179</v>
      </c>
      <c r="BR112" s="21">
        <f>EXP(-LN(2)/2)*BR111+(1-EXP(-LN(2)/2))/(LN(2)/2)*BL112*BO112*VLOOKUP('Données projet'!$B$11,Paramètres!$A$1:$I$89,3,0)*0.475*44/12</f>
        <v>0.7853192561293777</v>
      </c>
      <c r="BS112" s="22">
        <f t="shared" si="63"/>
        <v>47.159083976739915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8.7540000000000013</v>
      </c>
      <c r="BY112" s="12">
        <f>IF('Données projet'!$A$114&gt;35,BY111+BX112-CG111,IF(A112&lt;'Données projet'!$A$114,$BV$205^A112,IF(A112='Données projet'!$A$114,'Données projet'!$B$114,BY111+BX112-CG111)))</f>
        <v>356.16400000000021</v>
      </c>
      <c r="BZ112" s="13">
        <f>BY112*VLOOKUP('Données projet'!$B$12,Paramètres!$A$1:$I$89,3,0)*VLOOKUP('Données projet'!$B$12,Paramètres!$A$1:$I$89,5,0)</f>
        <v>383.3749296000002</v>
      </c>
      <c r="CA112" s="13">
        <f t="shared" si="93"/>
        <v>88.397905376386277</v>
      </c>
      <c r="CB112" s="20">
        <f t="shared" si="64"/>
        <v>821.67102091720653</v>
      </c>
      <c r="CC112" s="59">
        <f t="shared" si="65"/>
        <v>1115.0043542505398</v>
      </c>
      <c r="CD112" s="59">
        <f ca="1">AVERAGE(OFFSET($CC$3,0,0,'Données projet'!$E$12+1,1))-AVERAGE(OFFSET($H$3,0,0,'Données projet'!$E$12+1,1))</f>
        <v>502.65044103360322</v>
      </c>
      <c r="CE112" s="59">
        <f t="shared" si="94"/>
        <v>321.65762891855167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45.958036778834803</v>
      </c>
      <c r="CL112" s="21">
        <f>EXP(-LN(2)/25)*CL111+(1-EXP(-LN(2)/25))/(LN(2)/25)*Calculateur!CG112*Calculateur!CI112*VLOOKUP('Données projet'!$B$12,Paramètres!$A$1:$I$89,3,0)*0.475*44/12</f>
        <v>24.775397853799209</v>
      </c>
      <c r="CM112" s="21">
        <f>EXP(-LN(2)/2)*CM111+(1-EXP(-LN(2)/2))/(LN(2)/2)*CG112*CJ112*VLOOKUP('Données projet'!$B$12,Paramètres!$A$1:$I$89,3,0)*0.475*44/12</f>
        <v>6.5555546646950326E-4</v>
      </c>
      <c r="CN112" s="22">
        <f t="shared" si="66"/>
        <v>70.734090188100481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239.26156489359892</v>
      </c>
      <c r="T113" s="59">
        <f t="shared" si="88"/>
        <v>213.97034450798111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7.2773225192820625</v>
      </c>
      <c r="AA113" s="21">
        <f>EXP(-LN(2)/25)*AA112+(1-EXP(-LN(2)/25))/(LN(2)/25)*Calculateur!V113*Calculateur!X113*VLOOKUP('Données projet'!$B$9,Paramètres!$A$1:$I$89,3,0)*0.475*44/12</f>
        <v>36.679624101445924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43.95694662072799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7.5129999999999999</v>
      </c>
      <c r="AI113" s="13">
        <f>IF('Données projet'!$A$62&gt;35,AI112+AH113-AQ112,IF(A113&lt;'Données projet'!$A$62,$AF$205^A113,IF(A113='Données projet'!$A$62,'Données projet'!$B$62,AI112+AH113-AQ112)))</f>
        <v>333.51100000000037</v>
      </c>
      <c r="AJ113" s="13">
        <f>AI113*VLOOKUP('Données projet'!$B$10,Paramètres!$A$1:$I$89,3,0)*VLOOKUP('Données projet'!$B$10,Paramètres!$A$1:$I$89,5,0)</f>
        <v>338.18015400000041</v>
      </c>
      <c r="AK113" s="13">
        <f t="shared" si="89"/>
        <v>79.123837355169499</v>
      </c>
      <c r="AL113" s="20">
        <f t="shared" si="58"/>
        <v>726.8044516102542</v>
      </c>
      <c r="AM113" s="59">
        <f t="shared" si="59"/>
        <v>1020.1377849435876</v>
      </c>
      <c r="AN113" s="59">
        <f ca="1">AVERAGE(OFFSET($AM$3,0,0,'Données projet'!$E$10+1,1))-AVERAGE(OFFSET($H$3,0,0,'Données projet'!$E$10+1,1))</f>
        <v>543.88440431478944</v>
      </c>
      <c r="AO113" s="59">
        <f t="shared" si="90"/>
        <v>342.63929463709457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28.589910439087664</v>
      </c>
      <c r="AV113" s="21">
        <f>EXP(-LN(2)/25)*AV112+(1-EXP(-LN(2)/25))/(LN(2)/25)*Calculateur!AQ113*Calculateur!AS113*VLOOKUP('Données projet'!$B$10,Paramètres!$A$1:$I$89,3,0)*0.475*44/12</f>
        <v>21.850298207993259</v>
      </c>
      <c r="AW113" s="21">
        <f>EXP(-LN(2)/2)*AW112+(1-EXP(-LN(2)/2))/(LN(2)/2)*AQ113*AT113*VLOOKUP('Données projet'!$B$10,Paramètres!$A$1:$I$89,3,0)*0.475*44/12</f>
        <v>0.49218441629813686</v>
      </c>
      <c r="AX113" s="21">
        <f t="shared" si="60"/>
        <v>50.93239306337906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6.8811111111111085</v>
      </c>
      <c r="BD113" s="12">
        <f>IF('Données projet'!$A$88&gt;35,BD112+BC113-BL112,IF(A113&lt;'Données projet'!$A$88,$BA$205^A113,IF(A113='Données projet'!$A$88,'Données projet'!$B$88,BD112+BC113-BL112)))</f>
        <v>273.25666666666649</v>
      </c>
      <c r="BE113" s="13">
        <f>BD113*VLOOKUP('Données projet'!$B$11,Paramètres!$A$1:$I$89,3,0)*VLOOKUP('Données projet'!$B$11,Paramètres!$A$1:$I$89,5,0)</f>
        <v>311.18469199999981</v>
      </c>
      <c r="BF113" s="13">
        <f t="shared" si="91"/>
        <v>73.51618606329977</v>
      </c>
      <c r="BG113" s="20">
        <f t="shared" si="61"/>
        <v>670.02069596024683</v>
      </c>
      <c r="BH113" s="59">
        <f t="shared" si="62"/>
        <v>963.3540292935802</v>
      </c>
      <c r="BI113" s="59">
        <f ca="1">AVERAGE(OFFSET($BH$3,0,0,'Données projet'!$E$11+1,1))-AVERAGE(OFFSET($H$3,0,0,'Données projet'!$E$11+1,1))</f>
        <v>593.28343396240075</v>
      </c>
      <c r="BJ113" s="59">
        <f t="shared" si="92"/>
        <v>289.66477662068695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16.99106772820663</v>
      </c>
      <c r="BQ113" s="21">
        <f>EXP(-LN(2)/25)*BQ112+(1-EXP(-LN(2)/25))/(LN(2)/25)*Calculateur!BL113*Calculateur!BN113*VLOOKUP('Données projet'!$B$11,Paramètres!$A$1:$I$89,3,0)*0.475*44/12</f>
        <v>28.248670078211916</v>
      </c>
      <c r="BR113" s="21">
        <f>EXP(-LN(2)/2)*BR112+(1-EXP(-LN(2)/2))/(LN(2)/2)*BL113*BO113*VLOOKUP('Données projet'!$B$11,Paramètres!$A$1:$I$89,3,0)*0.475*44/12</f>
        <v>0.55530457140545819</v>
      </c>
      <c r="BS113" s="22">
        <f t="shared" si="63"/>
        <v>45.795042377824004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8.7540000000000013</v>
      </c>
      <c r="BY113" s="12">
        <f>IF('Données projet'!$A$114&gt;35,BY112+BX113-CG112,IF(A113&lt;'Données projet'!$A$114,$BV$205^A113,IF(A113='Données projet'!$A$114,'Données projet'!$B$114,BY112+BX113-CG112)))</f>
        <v>364.91800000000023</v>
      </c>
      <c r="BZ113" s="13">
        <f>BY113*VLOOKUP('Données projet'!$B$12,Paramètres!$A$1:$I$89,3,0)*VLOOKUP('Données projet'!$B$12,Paramètres!$A$1:$I$89,5,0)</f>
        <v>392.7977352000002</v>
      </c>
      <c r="CA113" s="13">
        <f t="shared" si="93"/>
        <v>90.314976078445369</v>
      </c>
      <c r="CB113" s="20">
        <f t="shared" si="64"/>
        <v>841.42130547662589</v>
      </c>
      <c r="CC113" s="59">
        <f t="shared" si="65"/>
        <v>1134.7546388099593</v>
      </c>
      <c r="CD113" s="59">
        <f ca="1">AVERAGE(OFFSET($CC$3,0,0,'Données projet'!$E$12+1,1))-AVERAGE(OFFSET($H$3,0,0,'Données projet'!$E$12+1,1))</f>
        <v>502.65044103360322</v>
      </c>
      <c r="CE113" s="59">
        <f t="shared" si="94"/>
        <v>321.65762891855167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45.056827709236394</v>
      </c>
      <c r="CL113" s="21">
        <f>EXP(-LN(2)/25)*CL112+(1-EXP(-LN(2)/25))/(LN(2)/25)*Calculateur!CG113*Calculateur!CI113*VLOOKUP('Données projet'!$B$12,Paramètres!$A$1:$I$89,3,0)*0.475*44/12</f>
        <v>24.097913296605523</v>
      </c>
      <c r="CM113" s="21">
        <f>EXP(-LN(2)/2)*CM112+(1-EXP(-LN(2)/2))/(LN(2)/2)*CG113*CJ113*VLOOKUP('Données projet'!$B$12,Paramètres!$A$1:$I$89,3,0)*0.475*44/12</f>
        <v>4.6354771578449615E-4</v>
      </c>
      <c r="CN113" s="22">
        <f t="shared" si="66"/>
        <v>69.155204553557695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239.26156489359892</v>
      </c>
      <c r="T114" s="59">
        <f t="shared" si="88"/>
        <v>213.97034450798111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7.13461866340739</v>
      </c>
      <c r="AA114" s="21">
        <f>EXP(-LN(2)/25)*AA113+(1-EXP(-LN(2)/25))/(LN(2)/25)*Calculateur!V114*Calculateur!X114*VLOOKUP('Données projet'!$B$9,Paramètres!$A$1:$I$89,3,0)*0.475*44/12</f>
        <v>35.676617851494285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42.811236514901672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7.5129999999999999</v>
      </c>
      <c r="AI114" s="13">
        <f>IF('Données projet'!$A$62&gt;35,AI113+AH114-AQ113,IF(A114&lt;'Données projet'!$A$62,$AF$205^A114,IF(A114='Données projet'!$A$62,'Données projet'!$B$62,AI113+AH114-AQ113)))</f>
        <v>341.02400000000034</v>
      </c>
      <c r="AJ114" s="13">
        <f>AI114*VLOOKUP('Données projet'!$B$10,Paramètres!$A$1:$I$89,3,0)*VLOOKUP('Données projet'!$B$10,Paramètres!$A$1:$I$89,5,0)</f>
        <v>345.7983360000004</v>
      </c>
      <c r="AK114" s="13">
        <f t="shared" si="89"/>
        <v>80.69673779483243</v>
      </c>
      <c r="AL114" s="20">
        <f t="shared" si="58"/>
        <v>742.8122535260004</v>
      </c>
      <c r="AM114" s="59">
        <f t="shared" si="59"/>
        <v>1036.1455868593337</v>
      </c>
      <c r="AN114" s="59">
        <f ca="1">AVERAGE(OFFSET($AM$3,0,0,'Données projet'!$E$10+1,1))-AVERAGE(OFFSET($H$3,0,0,'Données projet'!$E$10+1,1))</f>
        <v>543.88440431478944</v>
      </c>
      <c r="AO114" s="59">
        <f t="shared" si="90"/>
        <v>342.63929463709457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28.029279733500651</v>
      </c>
      <c r="AV114" s="21">
        <f>EXP(-LN(2)/25)*AV113+(1-EXP(-LN(2)/25))/(LN(2)/25)*Calculateur!AQ114*Calculateur!AS114*VLOOKUP('Données projet'!$B$10,Paramètres!$A$1:$I$89,3,0)*0.475*44/12</f>
        <v>21.252800654438438</v>
      </c>
      <c r="AW114" s="21">
        <f>EXP(-LN(2)/2)*AW113+(1-EXP(-LN(2)/2))/(LN(2)/2)*AQ114*AT114*VLOOKUP('Données projet'!$B$10,Paramètres!$A$1:$I$89,3,0)*0.475*44/12</f>
        <v>0.34802693835875531</v>
      </c>
      <c r="AX114" s="21">
        <f t="shared" si="60"/>
        <v>49.630107326297846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6.8811111111111085</v>
      </c>
      <c r="BD114" s="12">
        <f>IF('Données projet'!$A$88&gt;35,BD113+BC114-BL113,IF(A114&lt;'Données projet'!$A$88,$BA$205^A114,IF(A114='Données projet'!$A$88,'Données projet'!$B$88,BD113+BC114-BL113)))</f>
        <v>280.13777777777761</v>
      </c>
      <c r="BE114" s="13">
        <f>BD114*VLOOKUP('Données projet'!$B$11,Paramètres!$A$1:$I$89,3,0)*VLOOKUP('Données projet'!$B$11,Paramètres!$A$1:$I$89,5,0)</f>
        <v>319.02090133333314</v>
      </c>
      <c r="BF114" s="13">
        <f t="shared" si="91"/>
        <v>75.149596825299852</v>
      </c>
      <c r="BG114" s="20">
        <f t="shared" si="61"/>
        <v>686.51361762628574</v>
      </c>
      <c r="BH114" s="59">
        <f t="shared" si="62"/>
        <v>979.84695095961911</v>
      </c>
      <c r="BI114" s="59">
        <f ca="1">AVERAGE(OFFSET($BH$3,0,0,'Données projet'!$E$11+1,1))-AVERAGE(OFFSET($H$3,0,0,'Données projet'!$E$11+1,1))</f>
        <v>593.28343396240075</v>
      </c>
      <c r="BJ114" s="59">
        <f t="shared" si="92"/>
        <v>289.66477662068695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16.657883253584497</v>
      </c>
      <c r="BQ114" s="21">
        <f>EXP(-LN(2)/25)*BQ113+(1-EXP(-LN(2)/25))/(LN(2)/25)*Calculateur!BL114*Calculateur!BN114*VLOOKUP('Données projet'!$B$11,Paramètres!$A$1:$I$89,3,0)*0.475*44/12</f>
        <v>27.476208709390214</v>
      </c>
      <c r="BR114" s="21">
        <f>EXP(-LN(2)/2)*BR113+(1-EXP(-LN(2)/2))/(LN(2)/2)*BL114*BO114*VLOOKUP('Données projet'!$B$11,Paramètres!$A$1:$I$89,3,0)*0.475*44/12</f>
        <v>0.3926596280646889</v>
      </c>
      <c r="BS114" s="22">
        <f t="shared" si="63"/>
        <v>44.5267515910394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8.7540000000000013</v>
      </c>
      <c r="BY114" s="12">
        <f>IF('Données projet'!$A$114&gt;35,BY113+BX114-CG113,IF(A114&lt;'Données projet'!$A$114,$BV$205^A114,IF(A114='Données projet'!$A$114,'Données projet'!$B$114,BY113+BX114-CG113)))</f>
        <v>373.67200000000025</v>
      </c>
      <c r="BZ114" s="13">
        <f>BY114*VLOOKUP('Données projet'!$B$12,Paramètres!$A$1:$I$89,3,0)*VLOOKUP('Données projet'!$B$12,Paramètres!$A$1:$I$89,5,0)</f>
        <v>402.22054080000021</v>
      </c>
      <c r="CA114" s="13">
        <f t="shared" si="93"/>
        <v>92.2267006422028</v>
      </c>
      <c r="CB114" s="20">
        <f t="shared" si="64"/>
        <v>861.16227884517014</v>
      </c>
      <c r="CC114" s="59">
        <f t="shared" si="65"/>
        <v>1154.4956121785035</v>
      </c>
      <c r="CD114" s="59">
        <f ca="1">AVERAGE(OFFSET($CC$3,0,0,'Données projet'!$E$12+1,1))-AVERAGE(OFFSET($H$3,0,0,'Données projet'!$E$12+1,1))</f>
        <v>502.65044103360322</v>
      </c>
      <c r="CE114" s="59">
        <f t="shared" si="94"/>
        <v>321.65762891855167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44.173290799809557</v>
      </c>
      <c r="CL114" s="21">
        <f>EXP(-LN(2)/25)*CL113+(1-EXP(-LN(2)/25))/(LN(2)/25)*Calculateur!CG114*Calculateur!CI114*VLOOKUP('Données projet'!$B$12,Paramètres!$A$1:$I$89,3,0)*0.475*44/12</f>
        <v>23.438954590255662</v>
      </c>
      <c r="CM114" s="21">
        <f>EXP(-LN(2)/2)*CM113+(1-EXP(-LN(2)/2))/(LN(2)/2)*CG114*CJ114*VLOOKUP('Données projet'!$B$12,Paramètres!$A$1:$I$89,3,0)*0.475*44/12</f>
        <v>3.2777773323475169E-4</v>
      </c>
      <c r="CN114" s="22">
        <f t="shared" si="66"/>
        <v>67.612573167798459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239.26156489359892</v>
      </c>
      <c r="T115" s="59">
        <f t="shared" si="88"/>
        <v>213.97034450798111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6.9947131431056624</v>
      </c>
      <c r="AA115" s="21">
        <f>EXP(-LN(2)/25)*AA114+(1-EXP(-LN(2)/25))/(LN(2)/25)*Calculateur!V115*Calculateur!X115*VLOOKUP('Données projet'!$B$9,Paramètres!$A$1:$I$89,3,0)*0.475*44/12</f>
        <v>34.701038860193378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41.695752003299042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7.5129999999999999</v>
      </c>
      <c r="AI115" s="13">
        <f>IF('Données projet'!$A$62&gt;35,AI114+AH115-AQ114,IF(A115&lt;'Données projet'!$A$62,$AF$205^A115,IF(A115='Données projet'!$A$62,'Données projet'!$B$62,AI114+AH115-AQ114)))</f>
        <v>348.53700000000032</v>
      </c>
      <c r="AJ115" s="13">
        <f>AI115*VLOOKUP('Données projet'!$B$10,Paramètres!$A$1:$I$89,3,0)*VLOOKUP('Données projet'!$B$10,Paramètres!$A$1:$I$89,5,0)</f>
        <v>353.41651800000034</v>
      </c>
      <c r="AK115" s="13">
        <f t="shared" si="89"/>
        <v>82.265609551782731</v>
      </c>
      <c r="AL115" s="20">
        <f t="shared" si="58"/>
        <v>758.81303881935548</v>
      </c>
      <c r="AM115" s="59">
        <f t="shared" si="59"/>
        <v>1052.1463721526889</v>
      </c>
      <c r="AN115" s="59">
        <f ca="1">AVERAGE(OFFSET($AM$3,0,0,'Données projet'!$E$10+1,1))-AVERAGE(OFFSET($H$3,0,0,'Données projet'!$E$10+1,1))</f>
        <v>543.88440431478944</v>
      </c>
      <c r="AO115" s="59">
        <f t="shared" si="90"/>
        <v>342.63929463709457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27.479642654099234</v>
      </c>
      <c r="AV115" s="21">
        <f>EXP(-LN(2)/25)*AV114+(1-EXP(-LN(2)/25))/(LN(2)/25)*Calculateur!AQ115*Calculateur!AS115*VLOOKUP('Données projet'!$B$10,Paramètres!$A$1:$I$89,3,0)*0.475*44/12</f>
        <v>20.671641702906605</v>
      </c>
      <c r="AW115" s="21">
        <f>EXP(-LN(2)/2)*AW114+(1-EXP(-LN(2)/2))/(LN(2)/2)*AQ115*AT115*VLOOKUP('Données projet'!$B$10,Paramètres!$A$1:$I$89,3,0)*0.475*44/12</f>
        <v>0.24609220814906846</v>
      </c>
      <c r="AX115" s="21">
        <f t="shared" si="60"/>
        <v>48.3973765651549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6.8811111111111085</v>
      </c>
      <c r="BD115" s="12">
        <f>IF('Données projet'!$A$88&gt;35,BD114+BC115-BL114,IF(A115&lt;'Données projet'!$A$88,$BA$205^A115,IF(A115='Données projet'!$A$88,'Données projet'!$B$88,BD114+BC115-BL114)))</f>
        <v>287.01888888888874</v>
      </c>
      <c r="BE115" s="13">
        <f>BD115*VLOOKUP('Données projet'!$B$11,Paramètres!$A$1:$I$89,3,0)*VLOOKUP('Données projet'!$B$11,Paramètres!$A$1:$I$89,5,0)</f>
        <v>326.85711066666653</v>
      </c>
      <c r="BF115" s="13">
        <f t="shared" si="91"/>
        <v>76.778343563812527</v>
      </c>
      <c r="BG115" s="20">
        <f t="shared" si="61"/>
        <v>702.99841611808426</v>
      </c>
      <c r="BH115" s="59">
        <f t="shared" si="62"/>
        <v>996.33174945141764</v>
      </c>
      <c r="BI115" s="59">
        <f ca="1">AVERAGE(OFFSET($BH$3,0,0,'Données projet'!$E$11+1,1))-AVERAGE(OFFSET($H$3,0,0,'Données projet'!$E$11+1,1))</f>
        <v>593.28343396240075</v>
      </c>
      <c r="BJ115" s="59">
        <f t="shared" si="92"/>
        <v>289.66477662068695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16.331232323287242</v>
      </c>
      <c r="BQ115" s="21">
        <f>EXP(-LN(2)/25)*BQ114+(1-EXP(-LN(2)/25))/(LN(2)/25)*Calculateur!BL115*Calculateur!BN115*VLOOKUP('Données projet'!$B$11,Paramètres!$A$1:$I$89,3,0)*0.475*44/12</f>
        <v>26.724870337320919</v>
      </c>
      <c r="BR115" s="21">
        <f>EXP(-LN(2)/2)*BR114+(1-EXP(-LN(2)/2))/(LN(2)/2)*BL115*BO115*VLOOKUP('Données projet'!$B$11,Paramètres!$A$1:$I$89,3,0)*0.475*44/12</f>
        <v>0.27765228570272915</v>
      </c>
      <c r="BS115" s="22">
        <f t="shared" si="63"/>
        <v>43.33375494631089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8.7540000000000013</v>
      </c>
      <c r="BY115" s="12">
        <f>IF('Données projet'!$A$114&gt;35,BY114+BX115-CG114,IF(A115&lt;'Données projet'!$A$114,$BV$205^A115,IF(A115='Données projet'!$A$114,'Données projet'!$B$114,BY114+BX115-CG114)))</f>
        <v>382.42600000000027</v>
      </c>
      <c r="BZ115" s="13">
        <f>BY115*VLOOKUP('Données projet'!$B$12,Paramètres!$A$1:$I$89,3,0)*VLOOKUP('Données projet'!$B$12,Paramètres!$A$1:$I$89,5,0)</f>
        <v>411.64334640000027</v>
      </c>
      <c r="CA115" s="13">
        <f t="shared" si="93"/>
        <v>94.133218725173833</v>
      </c>
      <c r="CB115" s="20">
        <f t="shared" si="64"/>
        <v>880.89418425967813</v>
      </c>
      <c r="CC115" s="59">
        <f t="shared" si="65"/>
        <v>1174.2275175930115</v>
      </c>
      <c r="CD115" s="59">
        <f ca="1">AVERAGE(OFFSET($CC$3,0,0,'Données projet'!$E$12+1,1))-AVERAGE(OFFSET($H$3,0,0,'Données projet'!$E$12+1,1))</f>
        <v>502.65044103360322</v>
      </c>
      <c r="CE115" s="59">
        <f t="shared" si="94"/>
        <v>321.65762891855167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43.307079510272274</v>
      </c>
      <c r="CL115" s="21">
        <f>EXP(-LN(2)/25)*CL114+(1-EXP(-LN(2)/25))/(LN(2)/25)*Calculateur!CG115*Calculateur!CI115*VLOOKUP('Données projet'!$B$12,Paramètres!$A$1:$I$89,3,0)*0.475*44/12</f>
        <v>22.79801514438407</v>
      </c>
      <c r="CM115" s="21">
        <f>EXP(-LN(2)/2)*CM114+(1-EXP(-LN(2)/2))/(LN(2)/2)*CG115*CJ115*VLOOKUP('Données projet'!$B$12,Paramètres!$A$1:$I$89,3,0)*0.475*44/12</f>
        <v>2.3177385789224813E-4</v>
      </c>
      <c r="CN115" s="22">
        <f t="shared" si="66"/>
        <v>66.105326428514232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239.26156489359892</v>
      </c>
      <c r="T116" s="59">
        <f t="shared" si="88"/>
        <v>213.97034450798111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6.8575510847231103</v>
      </c>
      <c r="AA116" s="21">
        <f>EXP(-LN(2)/25)*AA115+(1-EXP(-LN(2)/25))/(LN(2)/25)*Calculateur!V116*Calculateur!X116*VLOOKUP('Données projet'!$B$9,Paramètres!$A$1:$I$89,3,0)*0.475*44/12</f>
        <v>33.75213712771307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40.609688212436183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>
        <f>VLOOKUP(A116,'Données projet'!$A$61:$I$81,2,0)</f>
        <v>356.05</v>
      </c>
      <c r="AG116" s="12">
        <f>VLOOKUP(A116,'Données projet'!$A$61:$I$81,9,0)</f>
        <v>7.5129999999999999</v>
      </c>
      <c r="AH116" s="12">
        <f t="array" ref="AH116">INDEX(AG:AG,MIN(IF(ISNUMBER(AG116:AG312),ROW(AG116:AG312),"")))</f>
        <v>7.5129999999999999</v>
      </c>
      <c r="AI116" s="13">
        <f>IF('Données projet'!$A$62&gt;35,AI115+AH116-AQ115,IF(A116&lt;'Données projet'!$A$62,$AF$205^A116,IF(A116='Données projet'!$A$62,'Données projet'!$B$62,AI115+AH116-AQ115)))</f>
        <v>356.0500000000003</v>
      </c>
      <c r="AJ116" s="13">
        <f>AI116*VLOOKUP('Données projet'!$B$10,Paramètres!$A$1:$I$89,3,0)*VLOOKUP('Données projet'!$B$10,Paramètres!$A$1:$I$89,5,0)</f>
        <v>361.03470000000033</v>
      </c>
      <c r="AK116" s="13">
        <f t="shared" si="89"/>
        <v>83.830549469547435</v>
      </c>
      <c r="AL116" s="20">
        <f t="shared" si="58"/>
        <v>774.80697615946235</v>
      </c>
      <c r="AM116" s="59">
        <f t="shared" si="59"/>
        <v>1068.1403094927957</v>
      </c>
      <c r="AN116" s="59">
        <f ca="1">AVERAGE(OFFSET($AM$3,0,0,'Données projet'!$E$10+1,1))-AVERAGE(OFFSET($H$3,0,0,'Données projet'!$E$10+1,1))</f>
        <v>543.88440431478944</v>
      </c>
      <c r="AO116" s="59">
        <f t="shared" si="90"/>
        <v>342.63929463709457</v>
      </c>
      <c r="AP116" s="15">
        <f>IF(ISNA(VLOOKUP(A116,'Données projet'!$A$61:$I$81,3,0)),0,VLOOKUP(A116,'Données projet'!$A$61:$I$81,3,0))</f>
        <v>9</v>
      </c>
      <c r="AQ116" s="15">
        <f>IF(ISNA(VLOOKUP(A116,'Données projet'!$A$61:$I$81,4,0)),0,VLOOKUP(A116,'Données projet'!$A$61:$I$81,4,0))</f>
        <v>45.660000000000025</v>
      </c>
      <c r="AR116" s="16">
        <f>IF(ISNA(VLOOKUP(A116,'Données projet'!$A$61:$I$81,5,0)),0%,VLOOKUP(A116,'Données projet'!$A$61:$I$81,5,0)*VLOOKUP('Données projet'!$B$10,Paramètres!$A$1:$I$89,7,0))</f>
        <v>0.215</v>
      </c>
      <c r="AS116" s="16">
        <f>IF(ISNA(VLOOKUP(A116,'Données projet'!$A$61:$I$81,6,0)),0%,VLOOKUP(A116,'Données projet'!$A$61:$I$81,6,0)*VLOOKUP('Données projet'!$B$10,Paramètres!$A$1:$I$89,7,0))</f>
        <v>8.6000000000000007E-2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37.945007881780107</v>
      </c>
      <c r="AV116" s="21">
        <f>EXP(-LN(2)/25)*AV115+(1-EXP(-LN(2)/25))/(LN(2)/25)*Calculateur!AQ116*Calculateur!AS116*VLOOKUP('Données projet'!$B$10,Paramètres!$A$1:$I$89,3,0)*0.475*44/12</f>
        <v>24.490733147607877</v>
      </c>
      <c r="AW116" s="21">
        <f>EXP(-LN(2)/2)*AW115+(1-EXP(-LN(2)/2))/(LN(2)/2)*AQ116*AT116*VLOOKUP('Données projet'!$B$10,Paramètres!$A$1:$I$89,3,0)*0.475*44/12</f>
        <v>0.17401346917937768</v>
      </c>
      <c r="AX116" s="21">
        <f t="shared" si="60"/>
        <v>62.609754498567362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>
        <f>VLOOKUP(A116,'Données projet'!$A$87:$I$107,2,0)</f>
        <v>293.89999999999998</v>
      </c>
      <c r="BB116" s="12">
        <f>VLOOKUP(A116,'Données projet'!$A$87:$I$107,9,0)</f>
        <v>6.8811111111111085</v>
      </c>
      <c r="BC116" s="12">
        <f t="array" ref="BC116">INDEX(BB:BB,MIN(IF(ISNUMBER(BB116:BB312),ROW(BB116:BB312),"")))</f>
        <v>6.8811111111111085</v>
      </c>
      <c r="BD116" s="12">
        <f>IF('Données projet'!$A$88&gt;35,BD115+BC116-BL115,IF(A116&lt;'Données projet'!$A$88,$BA$205^A116,IF(A116='Données projet'!$A$88,'Données projet'!$B$88,BD115+BC116-BL115)))</f>
        <v>293.89999999999986</v>
      </c>
      <c r="BE116" s="13">
        <f>BD116*VLOOKUP('Données projet'!$B$11,Paramètres!$A$1:$I$89,3,0)*VLOOKUP('Données projet'!$B$11,Paramètres!$A$1:$I$89,5,0)</f>
        <v>334.69331999999986</v>
      </c>
      <c r="BF116" s="13">
        <f t="shared" si="91"/>
        <v>78.402550961752141</v>
      </c>
      <c r="BG116" s="20">
        <f t="shared" si="61"/>
        <v>719.47530859171786</v>
      </c>
      <c r="BH116" s="59">
        <f t="shared" si="62"/>
        <v>1012.8086419250512</v>
      </c>
      <c r="BI116" s="59">
        <f ca="1">AVERAGE(OFFSET($BH$3,0,0,'Données projet'!$E$11+1,1))-AVERAGE(OFFSET($H$3,0,0,'Données projet'!$E$11+1,1))</f>
        <v>593.28343396240075</v>
      </c>
      <c r="BJ116" s="59">
        <f t="shared" si="92"/>
        <v>289.66477662068695</v>
      </c>
      <c r="BK116" s="15">
        <f>IF(ISNA(VLOOKUP(A116,'Données projet'!$A$87:$I$107,3,0)),0,VLOOKUP(A116,'Données projet'!$A$87:$I$107,3,0))</f>
        <v>7</v>
      </c>
      <c r="BL116" s="15">
        <f>IF(ISNA(VLOOKUP(A116,'Données projet'!$A$87:$I$107,4,0)),0,VLOOKUP(A116,'Données projet'!$A$87:$I$107,4,0))</f>
        <v>41.639999999999986</v>
      </c>
      <c r="BM116" s="16">
        <f>IF(ISNA(VLOOKUP(A116,'Données projet'!$A$87:$I$107,5,0)),0%,VLOOKUP(A116,'Données projet'!$A$87:$I$107,5,0)*VLOOKUP('Données projet'!$B$11,Paramètres!$A$1:$I$89,7,0))</f>
        <v>0.15049999999999999</v>
      </c>
      <c r="BN116" s="16">
        <f>IF(ISNA(VLOOKUP(A116,'Données projet'!$A$87:$I$107,6,0)),0%,VLOOKUP(A116,'Données projet'!$A$87:$I$107,6,0)*VLOOKUP('Données projet'!$B$11,Paramètres!$A$1:$I$89,7,0))</f>
        <v>8.6000000000000007E-2</v>
      </c>
      <c r="BO116" s="16">
        <f>IF(ISNA(VLOOKUP(A116,'Données projet'!$A$87:$I$107,7,0)),0%,VLOOKUP(A116,'Données projet'!$A$87:$I$107,7,0))</f>
        <v>0.1</v>
      </c>
      <c r="BP116" s="21">
        <f>EXP(-LN(2)/35)*BP115+(1-EXP(-LN(2)/35))/(LN(2)/35)*BL116*BM116*VLOOKUP('Données projet'!$B$11,Paramètres!$A$1:$I$89,3,0)*0.475*44/12</f>
        <v>23.900347105440822</v>
      </c>
      <c r="BQ116" s="21">
        <f>EXP(-LN(2)/25)*BQ115+(1-EXP(-LN(2)/25))/(LN(2)/25)*Calculateur!BL116*Calculateur!BN116*VLOOKUP('Données projet'!$B$11,Paramètres!$A$1:$I$89,3,0)*0.475*44/12</f>
        <v>30.484532706497571</v>
      </c>
      <c r="BR116" s="21">
        <f>EXP(-LN(2)/2)*BR115+(1-EXP(-LN(2)/2))/(LN(2)/2)*BL116*BO116*VLOOKUP('Données projet'!$B$11,Paramètres!$A$1:$I$89,3,0)*0.475*44/12</f>
        <v>4.6704997213006356</v>
      </c>
      <c r="BS116" s="22">
        <f t="shared" si="63"/>
        <v>59.055379533239027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>
        <f>VLOOKUP(A116,'Données projet'!$A$113:$I$133,2,0)</f>
        <v>391.18</v>
      </c>
      <c r="BW116" s="12">
        <f>VLOOKUP(A116,'Données projet'!$A$113:$I$133,9,0)</f>
        <v>8.7540000000000013</v>
      </c>
      <c r="BX116" s="12">
        <f t="array" ref="BX116">INDEX(BW:BW,MIN(IF(ISNUMBER(BW116:BW312),ROW(BW116:BW312),"")))</f>
        <v>8.7540000000000013</v>
      </c>
      <c r="BY116" s="12">
        <f>IF('Données projet'!$A$114&gt;35,BY115+BX116-CG115,IF(A116&lt;'Données projet'!$A$114,$BV$205^A116,IF(A116='Données projet'!$A$114,'Données projet'!$B$114,BY115+BX116-CG115)))</f>
        <v>391.18000000000029</v>
      </c>
      <c r="BZ116" s="13">
        <f>BY116*VLOOKUP('Données projet'!$B$12,Paramètres!$A$1:$I$89,3,0)*VLOOKUP('Données projet'!$B$12,Paramètres!$A$1:$I$89,5,0)</f>
        <v>421.06615200000027</v>
      </c>
      <c r="CA116" s="13">
        <f t="shared" si="93"/>
        <v>96.034663226272244</v>
      </c>
      <c r="CB116" s="20">
        <f t="shared" si="64"/>
        <v>900.61725318575793</v>
      </c>
      <c r="CC116" s="59">
        <f t="shared" si="65"/>
        <v>1193.9505865190913</v>
      </c>
      <c r="CD116" s="59">
        <f ca="1">AVERAGE(OFFSET($CC$3,0,0,'Données projet'!$E$12+1,1))-AVERAGE(OFFSET($H$3,0,0,'Données projet'!$E$12+1,1))</f>
        <v>502.65044103360322</v>
      </c>
      <c r="CE116" s="59">
        <f t="shared" si="94"/>
        <v>321.65762891855167</v>
      </c>
      <c r="CF116" s="15">
        <f>IF(ISNA(VLOOKUP(A116,'Données projet'!$A$113:$I$133,3,0)),0,VLOOKUP(A116,'Données projet'!$A$113:$I$133,3,0))</f>
        <v>10</v>
      </c>
      <c r="CG116" s="15">
        <f>IF(ISNA(VLOOKUP(A116,'Données projet'!$A$113:$I$133,4,0)),0,VLOOKUP(A116,'Données projet'!$A$113:$I$133,4,0))</f>
        <v>68.670000000000016</v>
      </c>
      <c r="CH116" s="16">
        <f>IF(ISNA(VLOOKUP(A116,'Données projet'!$A$113:$I$133,5,0)),0%,VLOOKUP(A116,'Données projet'!$A$113:$I$133,5,0)*VLOOKUP('Données projet'!$B$12,Paramètres!$A$1:$I$89,7,0))</f>
        <v>0.215</v>
      </c>
      <c r="CI116" s="16">
        <f>IF(ISNA(VLOOKUP(A116,'Données projet'!$A$113:$I$133,6,0)),0%,VLOOKUP(A116,'Données projet'!$A$113:$I$133,6,0)*VLOOKUP('Données projet'!$B$12,Paramètres!$A$1:$I$89,7,0))</f>
        <v>8.6000000000000007E-2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60.026015257440037</v>
      </c>
      <c r="CL116" s="21">
        <f>EXP(-LN(2)/25)*CL115+(1-EXP(-LN(2)/25))/(LN(2)/25)*Calculateur!CG116*Calculateur!CI116*VLOOKUP('Données projet'!$B$12,Paramètres!$A$1:$I$89,3,0)*0.475*44/12</f>
        <v>29.174197668231898</v>
      </c>
      <c r="CM116" s="21">
        <f>EXP(-LN(2)/2)*CM115+(1-EXP(-LN(2)/2))/(LN(2)/2)*CG116*CJ116*VLOOKUP('Données projet'!$B$12,Paramètres!$A$1:$I$89,3,0)*0.475*44/12</f>
        <v>1.6388886661737587E-4</v>
      </c>
      <c r="CN116" s="22">
        <f t="shared" si="66"/>
        <v>89.200376814538558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239.26156489359892</v>
      </c>
      <c r="T117" s="59">
        <f t="shared" si="88"/>
        <v>213.97034450798111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6.7230786906448454</v>
      </c>
      <c r="AA117" s="21">
        <f>EXP(-LN(2)/25)*AA116+(1-EXP(-LN(2)/25))/(LN(2)/25)*Calculateur!V117*Calculateur!X117*VLOOKUP('Données projet'!$B$9,Paramètres!$A$1:$I$89,3,0)*0.475*44/12</f>
        <v>32.829183163008004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39.552261853652851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7.8516666666666692</v>
      </c>
      <c r="AI117" s="13">
        <f>IF('Données projet'!$A$62&gt;35,AI116+AH117-AQ116,IF(A117&lt;'Données projet'!$A$62,$AF$205^A117,IF(A117='Données projet'!$A$62,'Données projet'!$B$62,AI116+AH117-AQ116)))</f>
        <v>318.24166666666696</v>
      </c>
      <c r="AJ117" s="13">
        <f>AI117*VLOOKUP('Données projet'!$B$10,Paramètres!$A$1:$I$89,3,0)*VLOOKUP('Données projet'!$B$10,Paramètres!$A$1:$I$89,5,0)</f>
        <v>322.69705000000027</v>
      </c>
      <c r="AK117" s="13">
        <f t="shared" si="89"/>
        <v>75.914252956287186</v>
      </c>
      <c r="AL117" s="20">
        <f t="shared" si="58"/>
        <v>694.24801931553395</v>
      </c>
      <c r="AM117" s="59">
        <f t="shared" si="59"/>
        <v>987.58135264886732</v>
      </c>
      <c r="AN117" s="59">
        <f ca="1">AVERAGE(OFFSET($AM$3,0,0,'Données projet'!$E$10+1,1))-AVERAGE(OFFSET($H$3,0,0,'Données projet'!$E$10+1,1))</f>
        <v>543.88440431478944</v>
      </c>
      <c r="AO117" s="59">
        <f t="shared" si="90"/>
        <v>342.63929463709457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37.200929421387912</v>
      </c>
      <c r="AV117" s="21">
        <f>EXP(-LN(2)/25)*AV116+(1-EXP(-LN(2)/25))/(LN(2)/25)*Calculateur!AQ117*Calculateur!AS117*VLOOKUP('Données projet'!$B$10,Paramètres!$A$1:$I$89,3,0)*0.475*44/12</f>
        <v>23.821032761774859</v>
      </c>
      <c r="AW117" s="21">
        <f>EXP(-LN(2)/2)*AW116+(1-EXP(-LN(2)/2))/(LN(2)/2)*AQ117*AT117*VLOOKUP('Données projet'!$B$10,Paramètres!$A$1:$I$89,3,0)*0.475*44/12</f>
        <v>0.12304610407453426</v>
      </c>
      <c r="AX117" s="21">
        <f t="shared" si="60"/>
        <v>61.145008287237303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7.0011111111111104</v>
      </c>
      <c r="BD117" s="12">
        <f>IF('Données projet'!$A$88&gt;35,BD116+BC117-BL116,IF(A117&lt;'Données projet'!$A$88,$BA$205^A117,IF(A117='Données projet'!$A$88,'Données projet'!$B$88,BD116+BC117-BL116)))</f>
        <v>259.26111111111101</v>
      </c>
      <c r="BE117" s="13">
        <f>BD117*VLOOKUP('Données projet'!$B$11,Paramètres!$A$1:$I$89,3,0)*VLOOKUP('Données projet'!$B$11,Paramètres!$A$1:$I$89,5,0)</f>
        <v>295.24655333333322</v>
      </c>
      <c r="BF117" s="13">
        <f t="shared" si="91"/>
        <v>70.179034062439342</v>
      </c>
      <c r="BG117" s="20">
        <f t="shared" si="61"/>
        <v>636.44956471430385</v>
      </c>
      <c r="BH117" s="59">
        <f t="shared" si="62"/>
        <v>929.78289804763722</v>
      </c>
      <c r="BI117" s="59">
        <f ca="1">AVERAGE(OFFSET($BH$3,0,0,'Données projet'!$E$11+1,1))-AVERAGE(OFFSET($H$3,0,0,'Données projet'!$E$11+1,1))</f>
        <v>593.28343396240075</v>
      </c>
      <c r="BJ117" s="59">
        <f t="shared" si="92"/>
        <v>289.66477662068695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23.431675876475428</v>
      </c>
      <c r="BQ117" s="21">
        <f>EXP(-LN(2)/25)*BQ116+(1-EXP(-LN(2)/25))/(LN(2)/25)*Calculateur!BL117*Calculateur!BN117*VLOOKUP('Données projet'!$B$11,Paramètres!$A$1:$I$89,3,0)*0.475*44/12</f>
        <v>29.650931556526494</v>
      </c>
      <c r="BR117" s="21">
        <f>EXP(-LN(2)/2)*BR116+(1-EXP(-LN(2)/2))/(LN(2)/2)*BL117*BO117*VLOOKUP('Données projet'!$B$11,Paramètres!$A$1:$I$89,3,0)*0.475*44/12</f>
        <v>3.3025420244615598</v>
      </c>
      <c r="BS117" s="22">
        <f t="shared" si="63"/>
        <v>56.385149457463484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8.7019999999999982</v>
      </c>
      <c r="BY117" s="12">
        <f>IF('Données projet'!$A$114&gt;35,BY116+BX117-CG116,IF(A117&lt;'Données projet'!$A$114,$BV$205^A117,IF(A117='Données projet'!$A$114,'Données projet'!$B$114,BY116+BX117-CG116)))</f>
        <v>331.21200000000027</v>
      </c>
      <c r="BZ117" s="13">
        <f>BY117*VLOOKUP('Données projet'!$B$12,Paramètres!$A$1:$I$89,3,0)*VLOOKUP('Données projet'!$B$12,Paramètres!$A$1:$I$89,5,0)</f>
        <v>356.51659680000029</v>
      </c>
      <c r="CA117" s="13">
        <f t="shared" si="93"/>
        <v>82.902902138726972</v>
      </c>
      <c r="CB117" s="20">
        <f t="shared" si="64"/>
        <v>765.32229398494985</v>
      </c>
      <c r="CC117" s="59">
        <f t="shared" si="65"/>
        <v>1058.6556273182832</v>
      </c>
      <c r="CD117" s="59">
        <f ca="1">AVERAGE(OFFSET($CC$3,0,0,'Données projet'!$E$12+1,1))-AVERAGE(OFFSET($H$3,0,0,'Données projet'!$E$12+1,1))</f>
        <v>502.65044103360322</v>
      </c>
      <c r="CE117" s="59">
        <f t="shared" si="94"/>
        <v>321.65762891855167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58.848941710495787</v>
      </c>
      <c r="CL117" s="21">
        <f>EXP(-LN(2)/25)*CL116+(1-EXP(-LN(2)/25))/(LN(2)/25)*Calculateur!CG117*Calculateur!CI117*VLOOKUP('Données projet'!$B$12,Paramètres!$A$1:$I$89,3,0)*0.475*44/12</f>
        <v>28.376427698789719</v>
      </c>
      <c r="CM117" s="21">
        <f>EXP(-LN(2)/2)*CM116+(1-EXP(-LN(2)/2))/(LN(2)/2)*CG117*CJ117*VLOOKUP('Données projet'!$B$12,Paramètres!$A$1:$I$89,3,0)*0.475*44/12</f>
        <v>1.1588692894612408E-4</v>
      </c>
      <c r="CN117" s="22">
        <f t="shared" si="66"/>
        <v>87.225485296214458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239.26156489359892</v>
      </c>
      <c r="T118" s="59">
        <f t="shared" si="88"/>
        <v>213.97034450798111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6.5912432181943936</v>
      </c>
      <c r="AA118" s="21">
        <f>EXP(-LN(2)/25)*AA117+(1-EXP(-LN(2)/25))/(LN(2)/25)*Calculateur!V118*Calculateur!X118*VLOOKUP('Données projet'!$B$9,Paramètres!$A$1:$I$89,3,0)*0.475*44/12</f>
        <v>31.931467423003841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38.522710641198238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7.8516666666666692</v>
      </c>
      <c r="AI118" s="13">
        <f>IF('Données projet'!$A$62&gt;35,AI117+AH118-AQ117,IF(A118&lt;'Données projet'!$A$62,$AF$205^A118,IF(A118='Données projet'!$A$62,'Données projet'!$B$62,AI117+AH118-AQ117)))</f>
        <v>326.09333333333365</v>
      </c>
      <c r="AJ118" s="13">
        <f>AI118*VLOOKUP('Données projet'!$B$10,Paramètres!$A$1:$I$89,3,0)*VLOOKUP('Données projet'!$B$10,Paramètres!$A$1:$I$89,5,0)</f>
        <v>330.65864000000033</v>
      </c>
      <c r="AK118" s="13">
        <f t="shared" si="89"/>
        <v>77.566844197724635</v>
      </c>
      <c r="AL118" s="20">
        <f t="shared" si="58"/>
        <v>710.99271831103772</v>
      </c>
      <c r="AM118" s="59">
        <f t="shared" si="59"/>
        <v>1004.3260516443711</v>
      </c>
      <c r="AN118" s="59">
        <f ca="1">AVERAGE(OFFSET($AM$3,0,0,'Données projet'!$E$10+1,1))-AVERAGE(OFFSET($H$3,0,0,'Données projet'!$E$10+1,1))</f>
        <v>543.88440431478944</v>
      </c>
      <c r="AO118" s="59">
        <f t="shared" si="90"/>
        <v>342.63929463709457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36.47144188576096</v>
      </c>
      <c r="AV118" s="21">
        <f>EXP(-LN(2)/25)*AV117+(1-EXP(-LN(2)/25))/(LN(2)/25)*Calculateur!AQ118*Calculateur!AS118*VLOOKUP('Données projet'!$B$10,Paramètres!$A$1:$I$89,3,0)*0.475*44/12</f>
        <v>23.169645368210457</v>
      </c>
      <c r="AW118" s="21">
        <f>EXP(-LN(2)/2)*AW117+(1-EXP(-LN(2)/2))/(LN(2)/2)*AQ118*AT118*VLOOKUP('Données projet'!$B$10,Paramètres!$A$1:$I$89,3,0)*0.475*44/12</f>
        <v>8.7006734589688856E-2</v>
      </c>
      <c r="AX118" s="21">
        <f t="shared" si="60"/>
        <v>59.728093988561106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7.0011111111111104</v>
      </c>
      <c r="BD118" s="12">
        <f>IF('Données projet'!$A$88&gt;35,BD117+BC118-BL117,IF(A118&lt;'Données projet'!$A$88,$BA$205^A118,IF(A118='Données projet'!$A$88,'Données projet'!$B$88,BD117+BC118-BL117)))</f>
        <v>266.26222222222214</v>
      </c>
      <c r="BE118" s="13">
        <f>BD118*VLOOKUP('Données projet'!$B$11,Paramètres!$A$1:$I$89,3,0)*VLOOKUP('Données projet'!$B$11,Paramètres!$A$1:$I$89,5,0)</f>
        <v>303.21941866666657</v>
      </c>
      <c r="BF118" s="13">
        <f t="shared" si="91"/>
        <v>71.850957432298372</v>
      </c>
      <c r="BG118" s="20">
        <f t="shared" si="61"/>
        <v>653.24757170569728</v>
      </c>
      <c r="BH118" s="59">
        <f t="shared" si="62"/>
        <v>946.58090503903054</v>
      </c>
      <c r="BI118" s="59">
        <f ca="1">AVERAGE(OFFSET($BH$3,0,0,'Données projet'!$E$11+1,1))-AVERAGE(OFFSET($H$3,0,0,'Données projet'!$E$11+1,1))</f>
        <v>593.28343396240075</v>
      </c>
      <c r="BJ118" s="59">
        <f t="shared" si="92"/>
        <v>289.66477662068695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22.972195004448821</v>
      </c>
      <c r="BQ118" s="21">
        <f>EXP(-LN(2)/25)*BQ117+(1-EXP(-LN(2)/25))/(LN(2)/25)*Calculateur!BL118*Calculateur!BN118*VLOOKUP('Données projet'!$B$11,Paramètres!$A$1:$I$89,3,0)*0.475*44/12</f>
        <v>28.840125273838556</v>
      </c>
      <c r="BR118" s="21">
        <f>EXP(-LN(2)/2)*BR117+(1-EXP(-LN(2)/2))/(LN(2)/2)*BL118*BO118*VLOOKUP('Données projet'!$B$11,Paramètres!$A$1:$I$89,3,0)*0.475*44/12</f>
        <v>2.3352498606503178</v>
      </c>
      <c r="BS118" s="22">
        <f t="shared" si="63"/>
        <v>54.147570138937688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8.7019999999999982</v>
      </c>
      <c r="BY118" s="12">
        <f>IF('Données projet'!$A$114&gt;35,BY117+BX118-CG117,IF(A118&lt;'Données projet'!$A$114,$BV$205^A118,IF(A118='Données projet'!$A$114,'Données projet'!$B$114,BY117+BX118-CG117)))</f>
        <v>339.91400000000027</v>
      </c>
      <c r="BZ118" s="13">
        <f>BY118*VLOOKUP('Données projet'!$B$12,Paramètres!$A$1:$I$89,3,0)*VLOOKUP('Données projet'!$B$12,Paramètres!$A$1:$I$89,5,0)</f>
        <v>365.88342960000028</v>
      </c>
      <c r="CA118" s="13">
        <f t="shared" si="93"/>
        <v>84.824578653678017</v>
      </c>
      <c r="CB118" s="20">
        <f t="shared" si="64"/>
        <v>784.98311437515633</v>
      </c>
      <c r="CC118" s="59">
        <f t="shared" si="65"/>
        <v>1078.3164477084897</v>
      </c>
      <c r="CD118" s="59">
        <f ca="1">AVERAGE(OFFSET($CC$3,0,0,'Données projet'!$E$12+1,1))-AVERAGE(OFFSET($H$3,0,0,'Données projet'!$E$12+1,1))</f>
        <v>502.65044103360322</v>
      </c>
      <c r="CE118" s="59">
        <f t="shared" si="94"/>
        <v>321.65762891855167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57.694949857863136</v>
      </c>
      <c r="CL118" s="21">
        <f>EXP(-LN(2)/25)*CL117+(1-EXP(-LN(2)/25))/(LN(2)/25)*Calculateur!CG118*Calculateur!CI118*VLOOKUP('Données projet'!$B$12,Paramètres!$A$1:$I$89,3,0)*0.475*44/12</f>
        <v>27.600472791114836</v>
      </c>
      <c r="CM118" s="21">
        <f>EXP(-LN(2)/2)*CM117+(1-EXP(-LN(2)/2))/(LN(2)/2)*CG118*CJ118*VLOOKUP('Données projet'!$B$12,Paramètres!$A$1:$I$89,3,0)*0.475*44/12</f>
        <v>8.1944433308687949E-5</v>
      </c>
      <c r="CN118" s="22">
        <f t="shared" si="66"/>
        <v>85.29550459341128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239.26156489359892</v>
      </c>
      <c r="T119" s="59">
        <f t="shared" si="88"/>
        <v>213.97034450798111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6.4619929589469969</v>
      </c>
      <c r="AA119" s="21">
        <f>EXP(-LN(2)/25)*AA118+(1-EXP(-LN(2)/25))/(LN(2)/25)*Calculateur!V119*Calculateur!X119*VLOOKUP('Données projet'!$B$9,Paramètres!$A$1:$I$89,3,0)*0.475*44/12</f>
        <v>31.05829976711891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37.520292726065904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7.8516666666666692</v>
      </c>
      <c r="AI119" s="13">
        <f>IF('Données projet'!$A$62&gt;35,AI118+AH119-AQ118,IF(A119&lt;'Données projet'!$A$62,$AF$205^A119,IF(A119='Données projet'!$A$62,'Données projet'!$B$62,AI118+AH119-AQ118)))</f>
        <v>333.94500000000033</v>
      </c>
      <c r="AJ119" s="13">
        <f>AI119*VLOOKUP('Données projet'!$B$10,Paramètres!$A$1:$I$89,3,0)*VLOOKUP('Données projet'!$B$10,Paramètres!$A$1:$I$89,5,0)</f>
        <v>338.62023000000033</v>
      </c>
      <c r="AK119" s="13">
        <f t="shared" si="89"/>
        <v>79.21480977326118</v>
      </c>
      <c r="AL119" s="20">
        <f t="shared" si="58"/>
        <v>727.72936093843055</v>
      </c>
      <c r="AM119" s="59">
        <f t="shared" si="59"/>
        <v>1021.0626942717638</v>
      </c>
      <c r="AN119" s="59">
        <f ca="1">AVERAGE(OFFSET($AM$3,0,0,'Données projet'!$E$10+1,1))-AVERAGE(OFFSET($H$3,0,0,'Données projet'!$E$10+1,1))</f>
        <v>543.88440431478944</v>
      </c>
      <c r="AO119" s="59">
        <f t="shared" si="90"/>
        <v>342.63929463709457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35.756259155764191</v>
      </c>
      <c r="AV119" s="21">
        <f>EXP(-LN(2)/25)*AV118+(1-EXP(-LN(2)/25))/(LN(2)/25)*Calculateur!AQ119*Calculateur!AS119*VLOOKUP('Données projet'!$B$10,Paramètres!$A$1:$I$89,3,0)*0.475*44/12</f>
        <v>22.536070197178049</v>
      </c>
      <c r="AW119" s="21">
        <f>EXP(-LN(2)/2)*AW118+(1-EXP(-LN(2)/2))/(LN(2)/2)*AQ119*AT119*VLOOKUP('Données projet'!$B$10,Paramètres!$A$1:$I$89,3,0)*0.475*44/12</f>
        <v>6.1523052037267136E-2</v>
      </c>
      <c r="AX119" s="21">
        <f t="shared" si="60"/>
        <v>58.353852404979506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7.0011111111111104</v>
      </c>
      <c r="BD119" s="12">
        <f>IF('Données projet'!$A$88&gt;35,BD118+BC119-BL118,IF(A119&lt;'Données projet'!$A$88,$BA$205^A119,IF(A119='Données projet'!$A$88,'Données projet'!$B$88,BD118+BC119-BL118)))</f>
        <v>273.26333333333326</v>
      </c>
      <c r="BE119" s="13">
        <f>BD119*VLOOKUP('Données projet'!$B$11,Paramètres!$A$1:$I$89,3,0)*VLOOKUP('Données projet'!$B$11,Paramètres!$A$1:$I$89,5,0)</f>
        <v>311.19228399999992</v>
      </c>
      <c r="BF119" s="13">
        <f t="shared" si="91"/>
        <v>73.517770869032404</v>
      </c>
      <c r="BG119" s="20">
        <f t="shared" si="61"/>
        <v>670.0366788968978</v>
      </c>
      <c r="BH119" s="59">
        <f t="shared" si="62"/>
        <v>963.37001223023117</v>
      </c>
      <c r="BI119" s="59">
        <f ca="1">AVERAGE(OFFSET($BH$3,0,0,'Données projet'!$E$11+1,1))-AVERAGE(OFFSET($H$3,0,0,'Données projet'!$E$11+1,1))</f>
        <v>593.28343396240075</v>
      </c>
      <c r="BJ119" s="59">
        <f t="shared" si="92"/>
        <v>289.66477662068695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22.521724272066997</v>
      </c>
      <c r="BQ119" s="21">
        <f>EXP(-LN(2)/25)*BQ118+(1-EXP(-LN(2)/25))/(LN(2)/25)*Calculateur!BL119*Calculateur!BN119*VLOOKUP('Données projet'!$B$11,Paramètres!$A$1:$I$89,3,0)*0.475*44/12</f>
        <v>28.051490531589167</v>
      </c>
      <c r="BR119" s="21">
        <f>EXP(-LN(2)/2)*BR118+(1-EXP(-LN(2)/2))/(LN(2)/2)*BL119*BO119*VLOOKUP('Données projet'!$B$11,Paramètres!$A$1:$I$89,3,0)*0.475*44/12</f>
        <v>1.6512710122307799</v>
      </c>
      <c r="BS119" s="22">
        <f t="shared" si="63"/>
        <v>52.224485815886943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8.7019999999999982</v>
      </c>
      <c r="BY119" s="12">
        <f>IF('Données projet'!$A$114&gt;35,BY118+BX119-CG118,IF(A119&lt;'Données projet'!$A$114,$BV$205^A119,IF(A119='Données projet'!$A$114,'Données projet'!$B$114,BY118+BX119-CG118)))</f>
        <v>348.61600000000027</v>
      </c>
      <c r="BZ119" s="13">
        <f>BY119*VLOOKUP('Données projet'!$B$12,Paramètres!$A$1:$I$89,3,0)*VLOOKUP('Données projet'!$B$12,Paramètres!$A$1:$I$89,5,0)</f>
        <v>375.25026240000028</v>
      </c>
      <c r="CA119" s="13">
        <f t="shared" si="93"/>
        <v>86.740536610933873</v>
      </c>
      <c r="CB119" s="20">
        <f t="shared" si="64"/>
        <v>804.63397494404364</v>
      </c>
      <c r="CC119" s="59">
        <f t="shared" si="65"/>
        <v>1097.967308277377</v>
      </c>
      <c r="CD119" s="59">
        <f ca="1">AVERAGE(OFFSET($CC$3,0,0,'Données projet'!$E$12+1,1))-AVERAGE(OFFSET($H$3,0,0,'Données projet'!$E$12+1,1))</f>
        <v>502.65044103360322</v>
      </c>
      <c r="CE119" s="59">
        <f t="shared" si="94"/>
        <v>321.65762891855167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56.563587081595088</v>
      </c>
      <c r="CL119" s="21">
        <f>EXP(-LN(2)/25)*CL118+(1-EXP(-LN(2)/25))/(LN(2)/25)*Calculateur!CG119*Calculateur!CI119*VLOOKUP('Données projet'!$B$12,Paramètres!$A$1:$I$89,3,0)*0.475*44/12</f>
        <v>26.845736411196018</v>
      </c>
      <c r="CM119" s="21">
        <f>EXP(-LN(2)/2)*CM118+(1-EXP(-LN(2)/2))/(LN(2)/2)*CG119*CJ119*VLOOKUP('Données projet'!$B$12,Paramètres!$A$1:$I$89,3,0)*0.475*44/12</f>
        <v>5.7943464473062053E-5</v>
      </c>
      <c r="CN119" s="22">
        <f t="shared" si="66"/>
        <v>83.409381436255572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239.26156489359892</v>
      </c>
      <c r="T120" s="59">
        <f t="shared" si="88"/>
        <v>213.97034450798111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6.3352772184485673</v>
      </c>
      <c r="AA120" s="21">
        <f>EXP(-LN(2)/25)*AA119+(1-EXP(-LN(2)/25))/(LN(2)/25)*Calculateur!V120*Calculateur!X120*VLOOKUP('Données projet'!$B$9,Paramètres!$A$1:$I$89,3,0)*0.475*44/12</f>
        <v>30.209008926702044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36.544286145150608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7.8516666666666692</v>
      </c>
      <c r="AI120" s="13">
        <f>IF('Données projet'!$A$62&gt;35,AI119+AH120-AQ119,IF(A120&lt;'Données projet'!$A$62,$AF$205^A120,IF(A120='Données projet'!$A$62,'Données projet'!$B$62,AI119+AH120-AQ119)))</f>
        <v>341.79666666666702</v>
      </c>
      <c r="AJ120" s="13">
        <f>AI120*VLOOKUP('Données projet'!$B$10,Paramètres!$A$1:$I$89,3,0)*VLOOKUP('Données projet'!$B$10,Paramètres!$A$1:$I$89,5,0)</f>
        <v>346.58182000000039</v>
      </c>
      <c r="AK120" s="13">
        <f t="shared" si="89"/>
        <v>80.858270956909621</v>
      </c>
      <c r="AL120" s="20">
        <f t="shared" si="58"/>
        <v>744.45815841661818</v>
      </c>
      <c r="AM120" s="59">
        <f t="shared" si="59"/>
        <v>1037.7914917499515</v>
      </c>
      <c r="AN120" s="59">
        <f ca="1">AVERAGE(OFFSET($AM$3,0,0,'Données projet'!$E$10+1,1))-AVERAGE(OFFSET($H$3,0,0,'Données projet'!$E$10+1,1))</f>
        <v>543.88440431478944</v>
      </c>
      <c r="AO120" s="59">
        <f t="shared" si="90"/>
        <v>342.63929463709457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35.055100722884262</v>
      </c>
      <c r="AV120" s="21">
        <f>EXP(-LN(2)/25)*AV119+(1-EXP(-LN(2)/25))/(LN(2)/25)*Calculateur!AQ120*Calculateur!AS120*VLOOKUP('Données projet'!$B$10,Paramètres!$A$1:$I$89,3,0)*0.475*44/12</f>
        <v>21.919820172515792</v>
      </c>
      <c r="AW120" s="21">
        <f>EXP(-LN(2)/2)*AW119+(1-EXP(-LN(2)/2))/(LN(2)/2)*AQ120*AT120*VLOOKUP('Données projet'!$B$10,Paramètres!$A$1:$I$89,3,0)*0.475*44/12</f>
        <v>4.3503367294844435E-2</v>
      </c>
      <c r="AX120" s="21">
        <f t="shared" si="60"/>
        <v>57.0184242626949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7.0011111111111104</v>
      </c>
      <c r="BD120" s="12">
        <f>IF('Données projet'!$A$88&gt;35,BD119+BC120-BL119,IF(A120&lt;'Données projet'!$A$88,$BA$205^A120,IF(A120='Données projet'!$A$88,'Données projet'!$B$88,BD119+BC120-BL119)))</f>
        <v>280.26444444444439</v>
      </c>
      <c r="BE120" s="13">
        <f>BD120*VLOOKUP('Données projet'!$B$11,Paramètres!$A$1:$I$89,3,0)*VLOOKUP('Données projet'!$B$11,Paramètres!$A$1:$I$89,5,0)</f>
        <v>319.16514933333332</v>
      </c>
      <c r="BF120" s="13">
        <f t="shared" si="91"/>
        <v>75.179620344585189</v>
      </c>
      <c r="BG120" s="20">
        <f t="shared" si="61"/>
        <v>686.81714052237476</v>
      </c>
      <c r="BH120" s="59">
        <f t="shared" si="62"/>
        <v>980.15047385570801</v>
      </c>
      <c r="BI120" s="59">
        <f ca="1">AVERAGE(OFFSET($BH$3,0,0,'Données projet'!$E$11+1,1))-AVERAGE(OFFSET($H$3,0,0,'Données projet'!$E$11+1,1))</f>
        <v>593.28343396240075</v>
      </c>
      <c r="BJ120" s="59">
        <f t="shared" si="92"/>
        <v>289.66477662068695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22.080086995987163</v>
      </c>
      <c r="BQ120" s="21">
        <f>EXP(-LN(2)/25)*BQ119+(1-EXP(-LN(2)/25))/(LN(2)/25)*Calculateur!BL120*Calculateur!BN120*VLOOKUP('Données projet'!$B$11,Paramètres!$A$1:$I$89,3,0)*0.475*44/12</f>
        <v>27.284421047839086</v>
      </c>
      <c r="BR120" s="21">
        <f>EXP(-LN(2)/2)*BR119+(1-EXP(-LN(2)/2))/(LN(2)/2)*BL120*BO120*VLOOKUP('Données projet'!$B$11,Paramètres!$A$1:$I$89,3,0)*0.475*44/12</f>
        <v>1.1676249303251589</v>
      </c>
      <c r="BS120" s="22">
        <f t="shared" si="63"/>
        <v>50.532132974151409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8.7019999999999982</v>
      </c>
      <c r="BY120" s="12">
        <f>IF('Données projet'!$A$114&gt;35,BY119+BX120-CG119,IF(A120&lt;'Données projet'!$A$114,$BV$205^A120,IF(A120='Données projet'!$A$114,'Données projet'!$B$114,BY119+BX120-CG119)))</f>
        <v>357.31800000000027</v>
      </c>
      <c r="BZ120" s="13">
        <f>BY120*VLOOKUP('Données projet'!$B$12,Paramètres!$A$1:$I$89,3,0)*VLOOKUP('Données projet'!$B$12,Paramètres!$A$1:$I$89,5,0)</f>
        <v>384.61709520000028</v>
      </c>
      <c r="CA120" s="13">
        <f t="shared" si="93"/>
        <v>88.650935172194906</v>
      </c>
      <c r="CB120" s="20">
        <f t="shared" si="64"/>
        <v>824.27515289823998</v>
      </c>
      <c r="CC120" s="59">
        <f t="shared" si="65"/>
        <v>1117.6084862315734</v>
      </c>
      <c r="CD120" s="59">
        <f ca="1">AVERAGE(OFFSET($CC$3,0,0,'Données projet'!$E$12+1,1))-AVERAGE(OFFSET($H$3,0,0,'Données projet'!$E$12+1,1))</f>
        <v>502.65044103360322</v>
      </c>
      <c r="CE120" s="59">
        <f t="shared" si="94"/>
        <v>321.65762891855167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55.454409639306498</v>
      </c>
      <c r="CL120" s="21">
        <f>EXP(-LN(2)/25)*CL119+(1-EXP(-LN(2)/25))/(LN(2)/25)*Calculateur!CG120*Calculateur!CI120*VLOOKUP('Données projet'!$B$12,Paramètres!$A$1:$I$89,3,0)*0.475*44/12</f>
        <v>26.111638337275942</v>
      </c>
      <c r="CM120" s="21">
        <f>EXP(-LN(2)/2)*CM119+(1-EXP(-LN(2)/2))/(LN(2)/2)*CG120*CJ120*VLOOKUP('Données projet'!$B$12,Paramètres!$A$1:$I$89,3,0)*0.475*44/12</f>
        <v>4.0972216654343981E-5</v>
      </c>
      <c r="CN120" s="22">
        <f t="shared" si="66"/>
        <v>81.566088948799091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239.26156489359892</v>
      </c>
      <c r="T121" s="59">
        <f t="shared" si="88"/>
        <v>213.97034450798111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6.2110462963323423</v>
      </c>
      <c r="AA121" s="21">
        <f>EXP(-LN(2)/25)*AA120+(1-EXP(-LN(2)/25))/(LN(2)/25)*Calculateur!V121*Calculateur!X121*VLOOKUP('Données projet'!$B$9,Paramètres!$A$1:$I$89,3,0)*0.475*44/12</f>
        <v>29.38294198897864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35.593988285310985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7.8516666666666692</v>
      </c>
      <c r="AI121" s="13">
        <f>IF('Données projet'!$A$62&gt;35,AI120+AH121-AQ120,IF(A121&lt;'Données projet'!$A$62,$AF$205^A121,IF(A121='Données projet'!$A$62,'Données projet'!$B$62,AI120+AH121-AQ120)))</f>
        <v>349.64833333333371</v>
      </c>
      <c r="AJ121" s="13">
        <f>AI121*VLOOKUP('Données projet'!$B$10,Paramètres!$A$1:$I$89,3,0)*VLOOKUP('Données projet'!$B$10,Paramètres!$A$1:$I$89,5,0)</f>
        <v>354.54341000000039</v>
      </c>
      <c r="AK121" s="13">
        <f t="shared" si="89"/>
        <v>82.497343132971892</v>
      </c>
      <c r="AL121" s="20">
        <f t="shared" si="58"/>
        <v>761.17931170659324</v>
      </c>
      <c r="AM121" s="59">
        <f t="shared" si="59"/>
        <v>1054.5126450399266</v>
      </c>
      <c r="AN121" s="59">
        <f ca="1">AVERAGE(OFFSET($AM$3,0,0,'Données projet'!$E$10+1,1))-AVERAGE(OFFSET($H$3,0,0,'Données projet'!$E$10+1,1))</f>
        <v>543.88440431478944</v>
      </c>
      <c r="AO121" s="59">
        <f t="shared" si="90"/>
        <v>342.63929463709457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34.367691579208696</v>
      </c>
      <c r="AV121" s="21">
        <f>EXP(-LN(2)/25)*AV120+(1-EXP(-LN(2)/25))/(LN(2)/25)*Calculateur!AQ121*Calculateur!AS121*VLOOKUP('Données projet'!$B$10,Paramètres!$A$1:$I$89,3,0)*0.475*44/12</f>
        <v>21.320421537185101</v>
      </c>
      <c r="AW121" s="21">
        <f>EXP(-LN(2)/2)*AW120+(1-EXP(-LN(2)/2))/(LN(2)/2)*AQ121*AT121*VLOOKUP('Données projet'!$B$10,Paramètres!$A$1:$I$89,3,0)*0.475*44/12</f>
        <v>3.0761526018633575E-2</v>
      </c>
      <c r="AX121" s="21">
        <f t="shared" si="60"/>
        <v>55.71887464241243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7.0011111111111104</v>
      </c>
      <c r="BD121" s="12">
        <f>IF('Données projet'!$A$88&gt;35,BD120+BC121-BL120,IF(A121&lt;'Données projet'!$A$88,$BA$205^A121,IF(A121='Données projet'!$A$88,'Données projet'!$B$88,BD120+BC121-BL120)))</f>
        <v>287.26555555555552</v>
      </c>
      <c r="BE121" s="13">
        <f>BD121*VLOOKUP('Données projet'!$B$11,Paramètres!$A$1:$I$89,3,0)*VLOOKUP('Données projet'!$B$11,Paramètres!$A$1:$I$89,5,0)</f>
        <v>327.13801466666661</v>
      </c>
      <c r="BF121" s="13">
        <f t="shared" si="91"/>
        <v>76.836644122379781</v>
      </c>
      <c r="BG121" s="20">
        <f t="shared" si="61"/>
        <v>703.58919739092244</v>
      </c>
      <c r="BH121" s="59">
        <f t="shared" si="62"/>
        <v>996.92253072425569</v>
      </c>
      <c r="BI121" s="59">
        <f ca="1">AVERAGE(OFFSET($BH$3,0,0,'Données projet'!$E$11+1,1))-AVERAGE(OFFSET($H$3,0,0,'Données projet'!$E$11+1,1))</f>
        <v>593.28343396240075</v>
      </c>
      <c r="BJ121" s="59">
        <f t="shared" si="92"/>
        <v>289.66477662068695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21.647109957519113</v>
      </c>
      <c r="BQ121" s="21">
        <f>EXP(-LN(2)/25)*BQ120+(1-EXP(-LN(2)/25))/(LN(2)/25)*Calculateur!BL121*Calculateur!BN121*VLOOKUP('Données projet'!$B$11,Paramètres!$A$1:$I$89,3,0)*0.475*44/12</f>
        <v>26.538327119460583</v>
      </c>
      <c r="BR121" s="21">
        <f>EXP(-LN(2)/2)*BR120+(1-EXP(-LN(2)/2))/(LN(2)/2)*BL121*BO121*VLOOKUP('Données projet'!$B$11,Paramètres!$A$1:$I$89,3,0)*0.475*44/12</f>
        <v>0.82563550611538994</v>
      </c>
      <c r="BS121" s="22">
        <f t="shared" si="63"/>
        <v>49.011072583095086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8.7019999999999982</v>
      </c>
      <c r="BY121" s="12">
        <f>IF('Données projet'!$A$114&gt;35,BY120+BX121-CG120,IF(A121&lt;'Données projet'!$A$114,$BV$205^A121,IF(A121='Données projet'!$A$114,'Données projet'!$B$114,BY120+BX121-CG120)))</f>
        <v>366.02000000000027</v>
      </c>
      <c r="BZ121" s="13">
        <f>BY121*VLOOKUP('Données projet'!$B$12,Paramètres!$A$1:$I$89,3,0)*VLOOKUP('Données projet'!$B$12,Paramètres!$A$1:$I$89,5,0)</f>
        <v>393.98392800000028</v>
      </c>
      <c r="CA121" s="13">
        <f t="shared" si="93"/>
        <v>90.555925304812519</v>
      </c>
      <c r="CB121" s="20">
        <f t="shared" si="64"/>
        <v>843.90691117254892</v>
      </c>
      <c r="CC121" s="59">
        <f t="shared" si="65"/>
        <v>1137.2402445058822</v>
      </c>
      <c r="CD121" s="59">
        <f ca="1">AVERAGE(OFFSET($CC$3,0,0,'Données projet'!$E$12+1,1))-AVERAGE(OFFSET($H$3,0,0,'Données projet'!$E$12+1,1))</f>
        <v>502.65044103360322</v>
      </c>
      <c r="CE121" s="59">
        <f t="shared" si="94"/>
        <v>321.65762891855167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54.36698249012975</v>
      </c>
      <c r="CL121" s="21">
        <f>EXP(-LN(2)/25)*CL120+(1-EXP(-LN(2)/25))/(LN(2)/25)*Calculateur!CG121*Calculateur!CI121*VLOOKUP('Données projet'!$B$12,Paramètres!$A$1:$I$89,3,0)*0.475*44/12</f>
        <v>25.397614213791751</v>
      </c>
      <c r="CM121" s="21">
        <f>EXP(-LN(2)/2)*CM120+(1-EXP(-LN(2)/2))/(LN(2)/2)*CG121*CJ121*VLOOKUP('Données projet'!$B$12,Paramètres!$A$1:$I$89,3,0)*0.475*44/12</f>
        <v>2.897173223653103E-5</v>
      </c>
      <c r="CN121" s="22">
        <f t="shared" si="66"/>
        <v>79.764625675653733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239.26156489359892</v>
      </c>
      <c r="T122" s="59">
        <f t="shared" si="88"/>
        <v>213.97034450798111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6.0892514668254361</v>
      </c>
      <c r="AA122" s="21">
        <f>EXP(-LN(2)/25)*AA121+(1-EXP(-LN(2)/25))/(LN(2)/25)*Calculateur!V122*Calculateur!X122*VLOOKUP('Données projet'!$B$9,Paramètres!$A$1:$I$89,3,0)*0.475*44/12</f>
        <v>28.579463895108255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34.668715361933693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7.8516666666666692</v>
      </c>
      <c r="AI122" s="13">
        <f>IF('Données projet'!$A$62&gt;35,AI121+AH122-AQ121,IF(A122&lt;'Données projet'!$A$62,$AF$205^A122,IF(A122='Données projet'!$A$62,'Données projet'!$B$62,AI121+AH122-AQ121)))</f>
        <v>357.5000000000004</v>
      </c>
      <c r="AJ122" s="13">
        <f>AI122*VLOOKUP('Données projet'!$B$10,Paramètres!$A$1:$I$89,3,0)*VLOOKUP('Données projet'!$B$10,Paramètres!$A$1:$I$89,5,0)</f>
        <v>362.50500000000039</v>
      </c>
      <c r="AK122" s="13">
        <f t="shared" si="89"/>
        <v>84.132136207811556</v>
      </c>
      <c r="AL122" s="20">
        <f t="shared" si="58"/>
        <v>777.89301222860593</v>
      </c>
      <c r="AM122" s="59">
        <f t="shared" si="59"/>
        <v>1071.2263455619393</v>
      </c>
      <c r="AN122" s="59">
        <f ca="1">AVERAGE(OFFSET($AM$3,0,0,'Données projet'!$E$10+1,1))-AVERAGE(OFFSET($H$3,0,0,'Données projet'!$E$10+1,1))</f>
        <v>543.88440431478944</v>
      </c>
      <c r="AO122" s="59">
        <f t="shared" si="90"/>
        <v>342.63929463709457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33.693762109562428</v>
      </c>
      <c r="AV122" s="21">
        <f>EXP(-LN(2)/25)*AV121+(1-EXP(-LN(2)/25))/(LN(2)/25)*Calculateur!AQ122*Calculateur!AS122*VLOOKUP('Données projet'!$B$10,Paramètres!$A$1:$I$89,3,0)*0.475*44/12</f>
        <v>20.737413489058536</v>
      </c>
      <c r="AW122" s="21">
        <f>EXP(-LN(2)/2)*AW121+(1-EXP(-LN(2)/2))/(LN(2)/2)*AQ122*AT122*VLOOKUP('Données projet'!$B$10,Paramètres!$A$1:$I$89,3,0)*0.475*44/12</f>
        <v>2.1751683647422221E-2</v>
      </c>
      <c r="AX122" s="21">
        <f t="shared" si="60"/>
        <v>54.452927282268391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7.0011111111111104</v>
      </c>
      <c r="BD122" s="12">
        <f>IF('Données projet'!$A$88&gt;35,BD121+BC122-BL121,IF(A122&lt;'Données projet'!$A$88,$BA$205^A122,IF(A122='Données projet'!$A$88,'Données projet'!$B$88,BD121+BC122-BL121)))</f>
        <v>294.26666666666665</v>
      </c>
      <c r="BE122" s="13">
        <f>BD122*VLOOKUP('Données projet'!$B$11,Paramètres!$A$1:$I$89,3,0)*VLOOKUP('Données projet'!$B$11,Paramètres!$A$1:$I$89,5,0)</f>
        <v>335.11088000000001</v>
      </c>
      <c r="BF122" s="13">
        <f t="shared" si="91"/>
        <v>78.48897334219626</v>
      </c>
      <c r="BG122" s="20">
        <f t="shared" si="61"/>
        <v>720.35307790432523</v>
      </c>
      <c r="BH122" s="59">
        <f t="shared" si="62"/>
        <v>1013.6864112376586</v>
      </c>
      <c r="BI122" s="59">
        <f ca="1">AVERAGE(OFFSET($BH$3,0,0,'Données projet'!$E$11+1,1))-AVERAGE(OFFSET($H$3,0,0,'Données projet'!$E$11+1,1))</f>
        <v>593.28343396240075</v>
      </c>
      <c r="BJ122" s="59">
        <f t="shared" si="92"/>
        <v>289.66477662068695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21.222623334685508</v>
      </c>
      <c r="BQ122" s="21">
        <f>EXP(-LN(2)/25)*BQ121+(1-EXP(-LN(2)/25))/(LN(2)/25)*Calculateur!BL122*Calculateur!BN122*VLOOKUP('Données projet'!$B$11,Paramètres!$A$1:$I$89,3,0)*0.475*44/12</f>
        <v>25.812635168788965</v>
      </c>
      <c r="BR122" s="21">
        <f>EXP(-LN(2)/2)*BR121+(1-EXP(-LN(2)/2))/(LN(2)/2)*BL122*BO122*VLOOKUP('Données projet'!$B$11,Paramètres!$A$1:$I$89,3,0)*0.475*44/12</f>
        <v>0.58381246516257945</v>
      </c>
      <c r="BS122" s="22">
        <f t="shared" si="63"/>
        <v>47.619070968637054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8.7019999999999982</v>
      </c>
      <c r="BY122" s="12">
        <f>IF('Données projet'!$A$114&gt;35,BY121+BX122-CG121,IF(A122&lt;'Données projet'!$A$114,$BV$205^A122,IF(A122='Données projet'!$A$114,'Données projet'!$B$114,BY121+BX122-CG121)))</f>
        <v>374.72200000000026</v>
      </c>
      <c r="BZ122" s="13">
        <f>BY122*VLOOKUP('Données projet'!$B$12,Paramètres!$A$1:$I$89,3,0)*VLOOKUP('Données projet'!$B$12,Paramètres!$A$1:$I$89,5,0)</f>
        <v>403.35076080000027</v>
      </c>
      <c r="CA122" s="13">
        <f t="shared" si="93"/>
        <v>92.455650388310644</v>
      </c>
      <c r="CB122" s="20">
        <f t="shared" si="64"/>
        <v>863.52949948630805</v>
      </c>
      <c r="CC122" s="59">
        <f t="shared" si="65"/>
        <v>1156.8628328196414</v>
      </c>
      <c r="CD122" s="59">
        <f ca="1">AVERAGE(OFFSET($CC$3,0,0,'Données projet'!$E$12+1,1))-AVERAGE(OFFSET($H$3,0,0,'Données projet'!$E$12+1,1))</f>
        <v>502.65044103360322</v>
      </c>
      <c r="CE122" s="59">
        <f t="shared" si="94"/>
        <v>321.65762891855167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53.300879124083288</v>
      </c>
      <c r="CL122" s="21">
        <f>EXP(-LN(2)/25)*CL121+(1-EXP(-LN(2)/25))/(LN(2)/25)*Calculateur!CG122*Calculateur!CI122*VLOOKUP('Données projet'!$B$12,Paramètres!$A$1:$I$89,3,0)*0.475*44/12</f>
        <v>24.703115117513132</v>
      </c>
      <c r="CM122" s="21">
        <f>EXP(-LN(2)/2)*CM121+(1-EXP(-LN(2)/2))/(LN(2)/2)*CG122*CJ122*VLOOKUP('Données projet'!$B$12,Paramètres!$A$1:$I$89,3,0)*0.475*44/12</f>
        <v>2.0486108327171994E-5</v>
      </c>
      <c r="CN122" s="22">
        <f t="shared" si="66"/>
        <v>78.004014727704742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239.26156489359892</v>
      </c>
      <c r="T123" s="59">
        <f t="shared" si="88"/>
        <v>213.97034450798111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5.9698449596376495</v>
      </c>
      <c r="AA123" s="21">
        <f>EXP(-LN(2)/25)*AA122+(1-EXP(-LN(2)/25))/(LN(2)/25)*Calculateur!V123*Calculateur!X123*VLOOKUP('Données projet'!$B$9,Paramètres!$A$1:$I$89,3,0)*0.475*44/12</f>
        <v>27.797956951967834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33.767801911605481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7.8516666666666692</v>
      </c>
      <c r="AI123" s="13">
        <f>IF('Données projet'!$A$62&gt;35,AI122+AH123-AQ122,IF(A123&lt;'Données projet'!$A$62,$AF$205^A123,IF(A123='Données projet'!$A$62,'Données projet'!$B$62,AI122+AH123-AQ122)))</f>
        <v>365.35166666666709</v>
      </c>
      <c r="AJ123" s="13">
        <f>AI123*VLOOKUP('Données projet'!$B$10,Paramètres!$A$1:$I$89,3,0)*VLOOKUP('Données projet'!$B$10,Paramètres!$A$1:$I$89,5,0)</f>
        <v>370.46659000000045</v>
      </c>
      <c r="AK123" s="13">
        <f t="shared" si="89"/>
        <v>85.762754984430487</v>
      </c>
      <c r="AL123" s="20">
        <f t="shared" si="58"/>
        <v>794.59944251455056</v>
      </c>
      <c r="AM123" s="59">
        <f t="shared" si="59"/>
        <v>1087.9327758478839</v>
      </c>
      <c r="AN123" s="59">
        <f ca="1">AVERAGE(OFFSET($AM$3,0,0,'Données projet'!$E$10+1,1))-AVERAGE(OFFSET($H$3,0,0,'Données projet'!$E$10+1,1))</f>
        <v>543.88440431478944</v>
      </c>
      <c r="AO123" s="59">
        <f t="shared" si="90"/>
        <v>342.63929463709457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33.033047985759538</v>
      </c>
      <c r="AV123" s="21">
        <f>EXP(-LN(2)/25)*AV122+(1-EXP(-LN(2)/25))/(LN(2)/25)*Calculateur!AQ123*Calculateur!AS123*VLOOKUP('Données projet'!$B$10,Paramètres!$A$1:$I$89,3,0)*0.475*44/12</f>
        <v>20.170347826667051</v>
      </c>
      <c r="AW123" s="21">
        <f>EXP(-LN(2)/2)*AW122+(1-EXP(-LN(2)/2))/(LN(2)/2)*AQ123*AT123*VLOOKUP('Données projet'!$B$10,Paramètres!$A$1:$I$89,3,0)*0.475*44/12</f>
        <v>1.5380763009316789E-2</v>
      </c>
      <c r="AX123" s="21">
        <f t="shared" si="60"/>
        <v>53.218776575435911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7.0011111111111104</v>
      </c>
      <c r="BD123" s="12">
        <f>IF('Données projet'!$A$88&gt;35,BD122+BC123-BL122,IF(A123&lt;'Données projet'!$A$88,$BA$205^A123,IF(A123='Données projet'!$A$88,'Données projet'!$B$88,BD122+BC123-BL122)))</f>
        <v>301.26777777777778</v>
      </c>
      <c r="BE123" s="13">
        <f>BD123*VLOOKUP('Données projet'!$B$11,Paramètres!$A$1:$I$89,3,0)*VLOOKUP('Données projet'!$B$11,Paramètres!$A$1:$I$89,5,0)</f>
        <v>343.08374533333335</v>
      </c>
      <c r="BF123" s="13">
        <f t="shared" si="91"/>
        <v>80.136732547820415</v>
      </c>
      <c r="BG123" s="20">
        <f t="shared" si="61"/>
        <v>737.10899897634272</v>
      </c>
      <c r="BH123" s="59">
        <f t="shared" si="62"/>
        <v>1030.442332309676</v>
      </c>
      <c r="BI123" s="59">
        <f ca="1">AVERAGE(OFFSET($BH$3,0,0,'Données projet'!$E$11+1,1))-AVERAGE(OFFSET($H$3,0,0,'Données projet'!$E$11+1,1))</f>
        <v>593.28343396240075</v>
      </c>
      <c r="BJ123" s="59">
        <f t="shared" si="92"/>
        <v>289.66477662068695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20.806460635614393</v>
      </c>
      <c r="BQ123" s="21">
        <f>EXP(-LN(2)/25)*BQ122+(1-EXP(-LN(2)/25))/(LN(2)/25)*Calculateur!BL123*Calculateur!BN123*VLOOKUP('Données projet'!$B$11,Paramètres!$A$1:$I$89,3,0)*0.475*44/12</f>
        <v>25.106787302670941</v>
      </c>
      <c r="BR123" s="21">
        <f>EXP(-LN(2)/2)*BR122+(1-EXP(-LN(2)/2))/(LN(2)/2)*BL123*BO123*VLOOKUP('Données projet'!$B$11,Paramètres!$A$1:$I$89,3,0)*0.475*44/12</f>
        <v>0.41281775305769497</v>
      </c>
      <c r="BS123" s="22">
        <f t="shared" si="63"/>
        <v>46.326065691343032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8.7019999999999982</v>
      </c>
      <c r="BY123" s="12">
        <f>IF('Données projet'!$A$114&gt;35,BY122+BX123-CG122,IF(A123&lt;'Données projet'!$A$114,$BV$205^A123,IF(A123='Données projet'!$A$114,'Données projet'!$B$114,BY122+BX123-CG122)))</f>
        <v>383.42400000000026</v>
      </c>
      <c r="BZ123" s="13">
        <f>BY123*VLOOKUP('Données projet'!$B$12,Paramètres!$A$1:$I$89,3,0)*VLOOKUP('Données projet'!$B$12,Paramètres!$A$1:$I$89,5,0)</f>
        <v>412.71759360000021</v>
      </c>
      <c r="CA123" s="13">
        <f t="shared" si="93"/>
        <v>94.350246762978841</v>
      </c>
      <c r="CB123" s="20">
        <f t="shared" si="64"/>
        <v>883.14315529885516</v>
      </c>
      <c r="CC123" s="59">
        <f t="shared" si="65"/>
        <v>1176.4764886321884</v>
      </c>
      <c r="CD123" s="59">
        <f ca="1">AVERAGE(OFFSET($CC$3,0,0,'Données projet'!$E$12+1,1))-AVERAGE(OFFSET($H$3,0,0,'Données projet'!$E$12+1,1))</f>
        <v>502.65044103360322</v>
      </c>
      <c r="CE123" s="59">
        <f t="shared" si="94"/>
        <v>321.65762891855167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52.255681394786151</v>
      </c>
      <c r="CL123" s="21">
        <f>EXP(-LN(2)/25)*CL122+(1-EXP(-LN(2)/25))/(LN(2)/25)*Calculateur!CG123*Calculateur!CI123*VLOOKUP('Données projet'!$B$12,Paramètres!$A$1:$I$89,3,0)*0.475*44/12</f>
        <v>24.027607135544372</v>
      </c>
      <c r="CM123" s="21">
        <f>EXP(-LN(2)/2)*CM122+(1-EXP(-LN(2)/2))/(LN(2)/2)*CG123*CJ123*VLOOKUP('Données projet'!$B$12,Paramètres!$A$1:$I$89,3,0)*0.475*44/12</f>
        <v>1.4485866118265517E-5</v>
      </c>
      <c r="CN123" s="22">
        <f t="shared" si="66"/>
        <v>76.283303016196641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239.26156489359892</v>
      </c>
      <c r="T124" s="59">
        <f t="shared" si="88"/>
        <v>213.97034450798111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5.8527799412250374</v>
      </c>
      <c r="AA124" s="21">
        <f>EXP(-LN(2)/25)*AA123+(1-EXP(-LN(2)/25))/(LN(2)/25)*Calculateur!V124*Calculateur!X124*VLOOKUP('Données projet'!$B$9,Paramètres!$A$1:$I$89,3,0)*0.475*44/12</f>
        <v>27.037820357285248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32.890600298510286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7.8516666666666692</v>
      </c>
      <c r="AI124" s="13">
        <f>IF('Données projet'!$A$62&gt;35,AI123+AH124-AQ123,IF(A124&lt;'Données projet'!$A$62,$AF$205^A124,IF(A124='Données projet'!$A$62,'Données projet'!$B$62,AI123+AH124-AQ123)))</f>
        <v>373.20333333333377</v>
      </c>
      <c r="AJ124" s="13">
        <f>AI124*VLOOKUP('Données projet'!$B$10,Paramètres!$A$1:$I$89,3,0)*VLOOKUP('Données projet'!$B$10,Paramètres!$A$1:$I$89,5,0)</f>
        <v>378.42818000000045</v>
      </c>
      <c r="AK124" s="13">
        <f t="shared" si="89"/>
        <v>87.389299503938062</v>
      </c>
      <c r="AL124" s="20">
        <f t="shared" si="58"/>
        <v>811.29877680269283</v>
      </c>
      <c r="AM124" s="59">
        <f t="shared" si="59"/>
        <v>1104.6321101360261</v>
      </c>
      <c r="AN124" s="59">
        <f ca="1">AVERAGE(OFFSET($AM$3,0,0,'Données projet'!$E$10+1,1))-AVERAGE(OFFSET($H$3,0,0,'Données projet'!$E$10+1,1))</f>
        <v>543.88440431478944</v>
      </c>
      <c r="AO124" s="59">
        <f t="shared" si="90"/>
        <v>342.63929463709457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32.385290062928597</v>
      </c>
      <c r="AV124" s="21">
        <f>EXP(-LN(2)/25)*AV123+(1-EXP(-LN(2)/25))/(LN(2)/25)*Calculateur!AQ124*Calculateur!AS124*VLOOKUP('Données projet'!$B$10,Paramètres!$A$1:$I$89,3,0)*0.475*44/12</f>
        <v>19.618788604634346</v>
      </c>
      <c r="AW124" s="21">
        <f>EXP(-LN(2)/2)*AW123+(1-EXP(-LN(2)/2))/(LN(2)/2)*AQ124*AT124*VLOOKUP('Données projet'!$B$10,Paramètres!$A$1:$I$89,3,0)*0.475*44/12</f>
        <v>1.0875841823711112E-2</v>
      </c>
      <c r="AX124" s="21">
        <f t="shared" si="60"/>
        <v>52.014954509386655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7.0011111111111104</v>
      </c>
      <c r="BD124" s="12">
        <f>IF('Données projet'!$A$88&gt;35,BD123+BC124-BL123,IF(A124&lt;'Données projet'!$A$88,$BA$205^A124,IF(A124='Données projet'!$A$88,'Données projet'!$B$88,BD123+BC124-BL123)))</f>
        <v>308.26888888888891</v>
      </c>
      <c r="BE124" s="13">
        <f>BD124*VLOOKUP('Données projet'!$B$11,Paramètres!$A$1:$I$89,3,0)*VLOOKUP('Données projet'!$B$11,Paramètres!$A$1:$I$89,5,0)</f>
        <v>351.0566106666667</v>
      </c>
      <c r="BF124" s="13">
        <f t="shared" si="91"/>
        <v>81.780040164262672</v>
      </c>
      <c r="BG124" s="20">
        <f t="shared" si="61"/>
        <v>753.85716686386866</v>
      </c>
      <c r="BH124" s="59">
        <f t="shared" si="62"/>
        <v>1047.190500197202</v>
      </c>
      <c r="BI124" s="59">
        <f ca="1">AVERAGE(OFFSET($BH$3,0,0,'Données projet'!$E$11+1,1))-AVERAGE(OFFSET($H$3,0,0,'Données projet'!$E$11+1,1))</f>
        <v>593.28343396240075</v>
      </c>
      <c r="BJ124" s="59">
        <f t="shared" si="92"/>
        <v>289.66477662068695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20.39845863323788</v>
      </c>
      <c r="BQ124" s="21">
        <f>EXP(-LN(2)/25)*BQ123+(1-EXP(-LN(2)/25))/(LN(2)/25)*Calculateur!BL124*Calculateur!BN124*VLOOKUP('Données projet'!$B$11,Paramètres!$A$1:$I$89,3,0)*0.475*44/12</f>
        <v>24.420240883570841</v>
      </c>
      <c r="BR124" s="21">
        <f>EXP(-LN(2)/2)*BR123+(1-EXP(-LN(2)/2))/(LN(2)/2)*BL124*BO124*VLOOKUP('Données projet'!$B$11,Paramètres!$A$1:$I$89,3,0)*0.475*44/12</f>
        <v>0.29190623258128973</v>
      </c>
      <c r="BS124" s="22">
        <f t="shared" si="63"/>
        <v>45.110605749390011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8.7019999999999982</v>
      </c>
      <c r="BY124" s="12">
        <f>IF('Données projet'!$A$114&gt;35,BY123+BX124-CG123,IF(A124&lt;'Données projet'!$A$114,$BV$205^A124,IF(A124='Données projet'!$A$114,'Données projet'!$B$114,BY123+BX124-CG123)))</f>
        <v>392.12600000000026</v>
      </c>
      <c r="BZ124" s="13">
        <f>BY124*VLOOKUP('Données projet'!$B$12,Paramètres!$A$1:$I$89,3,0)*VLOOKUP('Données projet'!$B$12,Paramètres!$A$1:$I$89,5,0)</f>
        <v>422.08442640000027</v>
      </c>
      <c r="CA124" s="13">
        <f t="shared" si="93"/>
        <v>96.239844227259752</v>
      </c>
      <c r="CB124" s="20">
        <f t="shared" si="64"/>
        <v>902.74810467581119</v>
      </c>
      <c r="CC124" s="59">
        <f t="shared" si="65"/>
        <v>1196.0814380091444</v>
      </c>
      <c r="CD124" s="59">
        <f ca="1">AVERAGE(OFFSET($CC$3,0,0,'Données projet'!$E$12+1,1))-AVERAGE(OFFSET($H$3,0,0,'Données projet'!$E$12+1,1))</f>
        <v>502.65044103360322</v>
      </c>
      <c r="CE124" s="59">
        <f t="shared" si="94"/>
        <v>321.65762891855167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51.230979355452867</v>
      </c>
      <c r="CL124" s="21">
        <f>EXP(-LN(2)/25)*CL123+(1-EXP(-LN(2)/25))/(LN(2)/25)*Calculateur!CG124*Calculateur!CI124*VLOOKUP('Données projet'!$B$12,Paramètres!$A$1:$I$89,3,0)*0.475*44/12</f>
        <v>23.370570954865968</v>
      </c>
      <c r="CM124" s="21">
        <f>EXP(-LN(2)/2)*CM123+(1-EXP(-LN(2)/2))/(LN(2)/2)*CG124*CJ124*VLOOKUP('Données projet'!$B$12,Paramètres!$A$1:$I$89,3,0)*0.475*44/12</f>
        <v>1.0243054163585999E-5</v>
      </c>
      <c r="CN124" s="22">
        <f t="shared" si="66"/>
        <v>74.601560553372991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239.26156489359892</v>
      </c>
      <c r="T125" s="59">
        <f t="shared" si="88"/>
        <v>213.97034450798111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5.7380104964208858</v>
      </c>
      <c r="AA125" s="21">
        <f>EXP(-LN(2)/25)*AA124+(1-EXP(-LN(2)/25))/(LN(2)/25)*Calculateur!V125*Calculateur!X125*VLOOKUP('Données projet'!$B$9,Paramètres!$A$1:$I$89,3,0)*0.475*44/12</f>
        <v>26.298469737758108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32.036480234178995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7.8516666666666692</v>
      </c>
      <c r="AI125" s="13">
        <f>IF('Données projet'!$A$62&gt;35,AI124+AH125-AQ124,IF(A125&lt;'Données projet'!$A$62,$AF$205^A125,IF(A125='Données projet'!$A$62,'Données projet'!$B$62,AI124+AH125-AQ124)))</f>
        <v>381.05500000000046</v>
      </c>
      <c r="AJ125" s="13">
        <f>AI125*VLOOKUP('Données projet'!$B$10,Paramètres!$A$1:$I$89,3,0)*VLOOKUP('Données projet'!$B$10,Paramètres!$A$1:$I$89,5,0)</f>
        <v>386.38977000000045</v>
      </c>
      <c r="AK125" s="13">
        <f t="shared" si="89"/>
        <v>89.011865357473127</v>
      </c>
      <c r="AL125" s="20">
        <f t="shared" si="58"/>
        <v>827.99118158093313</v>
      </c>
      <c r="AM125" s="59">
        <f t="shared" si="59"/>
        <v>1121.3245149142665</v>
      </c>
      <c r="AN125" s="59">
        <f ca="1">AVERAGE(OFFSET($AM$3,0,0,'Données projet'!$E$10+1,1))-AVERAGE(OFFSET($H$3,0,0,'Données projet'!$E$10+1,1))</f>
        <v>543.88440431478944</v>
      </c>
      <c r="AO125" s="59">
        <f t="shared" si="90"/>
        <v>342.63929463709457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31.750234277871051</v>
      </c>
      <c r="AV125" s="21">
        <f>EXP(-LN(2)/25)*AV124+(1-EXP(-LN(2)/25))/(LN(2)/25)*Calculateur!AQ125*Calculateur!AS125*VLOOKUP('Données projet'!$B$10,Paramètres!$A$1:$I$89,3,0)*0.475*44/12</f>
        <v>19.082311798533368</v>
      </c>
      <c r="AW125" s="21">
        <f>EXP(-LN(2)/2)*AW124+(1-EXP(-LN(2)/2))/(LN(2)/2)*AQ125*AT125*VLOOKUP('Données projet'!$B$10,Paramètres!$A$1:$I$89,3,0)*0.475*44/12</f>
        <v>7.6903815046583963E-3</v>
      </c>
      <c r="AX125" s="21">
        <f t="shared" si="60"/>
        <v>50.840236457909079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>
        <f>VLOOKUP(A125,'Données projet'!$A$87:$I$107,2,0)</f>
        <v>315.27</v>
      </c>
      <c r="BB125" s="12">
        <f>VLOOKUP(A125,'Données projet'!$A$87:$I$107,9,0)</f>
        <v>7.0011111111111104</v>
      </c>
      <c r="BC125" s="12">
        <f t="array" ref="BC125">INDEX(BB:BB,MIN(IF(ISNUMBER(BB125:BB321),ROW(BB125:BB321),"")))</f>
        <v>7.0011111111111104</v>
      </c>
      <c r="BD125" s="12">
        <f>IF('Données projet'!$A$88&gt;35,BD124+BC125-BL124,IF(A125&lt;'Données projet'!$A$88,$BA$205^A125,IF(A125='Données projet'!$A$88,'Données projet'!$B$88,BD124+BC125-BL124)))</f>
        <v>315.27000000000004</v>
      </c>
      <c r="BE125" s="13">
        <f>BD125*VLOOKUP('Données projet'!$B$11,Paramètres!$A$1:$I$89,3,0)*VLOOKUP('Données projet'!$B$11,Paramètres!$A$1:$I$89,5,0)</f>
        <v>359.02947600000005</v>
      </c>
      <c r="BF125" s="13">
        <f t="shared" si="91"/>
        <v>83.419008930402995</v>
      </c>
      <c r="BG125" s="20">
        <f t="shared" si="61"/>
        <v>770.5977779204519</v>
      </c>
      <c r="BH125" s="59">
        <f t="shared" si="62"/>
        <v>1063.9311112537853</v>
      </c>
      <c r="BI125" s="59">
        <f ca="1">AVERAGE(OFFSET($BH$3,0,0,'Données projet'!$E$11+1,1))-AVERAGE(OFFSET($H$3,0,0,'Données projet'!$E$11+1,1))</f>
        <v>593.28343396240075</v>
      </c>
      <c r="BJ125" s="59">
        <f t="shared" si="92"/>
        <v>289.66477662068695</v>
      </c>
      <c r="BK125" s="15">
        <f>IF(ISNA(VLOOKUP(A125,'Données projet'!$A$87:$I$107,3,0)),0,VLOOKUP(A125,'Données projet'!$A$87:$I$107,3,0))</f>
        <v>8</v>
      </c>
      <c r="BL125" s="15">
        <f>IF(ISNA(VLOOKUP(A125,'Données projet'!$A$87:$I$107,4,0)),0,VLOOKUP(A125,'Données projet'!$A$87:$I$107,4,0))</f>
        <v>45.829999999999984</v>
      </c>
      <c r="BM125" s="16">
        <f>IF(ISNA(VLOOKUP(A125,'Données projet'!$A$87:$I$107,5,0)),0%,VLOOKUP(A125,'Données projet'!$A$87:$I$107,5,0)*VLOOKUP('Données projet'!$B$11,Paramètres!$A$1:$I$89,7,0))</f>
        <v>0.15049999999999999</v>
      </c>
      <c r="BN125" s="16">
        <f>IF(ISNA(VLOOKUP(A125,'Données projet'!$A$87:$I$107,6,0)),0%,VLOOKUP(A125,'Données projet'!$A$87:$I$107,6,0)*VLOOKUP('Données projet'!$B$11,Paramètres!$A$1:$I$89,7,0))</f>
        <v>8.6000000000000007E-2</v>
      </c>
      <c r="BO125" s="16">
        <f>IF(ISNA(VLOOKUP(A125,'Données projet'!$A$87:$I$107,7,0)),0%,VLOOKUP(A125,'Données projet'!$A$87:$I$107,7,0))</f>
        <v>0.1</v>
      </c>
      <c r="BP125" s="21">
        <f>EXP(-LN(2)/35)*BP124+(1-EXP(-LN(2)/35))/(LN(2)/35)*BL125*BM125*VLOOKUP('Données projet'!$B$11,Paramètres!$A$1:$I$89,3,0)*0.475*44/12</f>
        <v>28.681679730442646</v>
      </c>
      <c r="BQ125" s="21">
        <f>EXP(-LN(2)/25)*BQ124+(1-EXP(-LN(2)/25))/(LN(2)/25)*Calculateur!BL125*Calculateur!BN125*VLOOKUP('Données projet'!$B$11,Paramètres!$A$1:$I$89,3,0)*0.475*44/12</f>
        <v>28.694772840348108</v>
      </c>
      <c r="BR125" s="21">
        <f>EXP(-LN(2)/2)*BR124+(1-EXP(-LN(2)/2))/(LN(2)/2)*BL125*BO125*VLOOKUP('Données projet'!$B$11,Paramètres!$A$1:$I$89,3,0)*0.475*44/12</f>
        <v>5.1307894444948854</v>
      </c>
      <c r="BS125" s="22">
        <f t="shared" si="63"/>
        <v>62.507242015285641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8.7019999999999982</v>
      </c>
      <c r="BY125" s="12">
        <f>IF('Données projet'!$A$114&gt;35,BY124+BX125-CG124,IF(A125&lt;'Données projet'!$A$114,$BV$205^A125,IF(A125='Données projet'!$A$114,'Données projet'!$B$114,BY124+BX125-CG124)))</f>
        <v>400.82800000000026</v>
      </c>
      <c r="BZ125" s="13">
        <f>BY125*VLOOKUP('Données projet'!$B$12,Paramètres!$A$1:$I$89,3,0)*VLOOKUP('Données projet'!$B$12,Paramètres!$A$1:$I$89,5,0)</f>
        <v>431.45125920000032</v>
      </c>
      <c r="CA125" s="13">
        <f t="shared" si="93"/>
        <v>98.124566489739522</v>
      </c>
      <c r="CB125" s="20">
        <f t="shared" si="64"/>
        <v>922.34456307629682</v>
      </c>
      <c r="CC125" s="59">
        <f t="shared" si="65"/>
        <v>1215.6778964096302</v>
      </c>
      <c r="CD125" s="59">
        <f ca="1">AVERAGE(OFFSET($CC$3,0,0,'Données projet'!$E$12+1,1))-AVERAGE(OFFSET($H$3,0,0,'Données projet'!$E$12+1,1))</f>
        <v>502.65044103360322</v>
      </c>
      <c r="CE125" s="59">
        <f t="shared" si="94"/>
        <v>321.65762891855167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50.22637109810438</v>
      </c>
      <c r="CL125" s="21">
        <f>EXP(-LN(2)/25)*CL124+(1-EXP(-LN(2)/25))/(LN(2)/25)*Calculateur!CG125*Calculateur!CI125*VLOOKUP('Données projet'!$B$12,Paramètres!$A$1:$I$89,3,0)*0.475*44/12</f>
        <v>22.731501463100248</v>
      </c>
      <c r="CM125" s="21">
        <f>EXP(-LN(2)/2)*CM124+(1-EXP(-LN(2)/2))/(LN(2)/2)*CG125*CJ125*VLOOKUP('Données projet'!$B$12,Paramètres!$A$1:$I$89,3,0)*0.475*44/12</f>
        <v>7.24293305913276E-6</v>
      </c>
      <c r="CN125" s="22">
        <f t="shared" si="66"/>
        <v>72.95787980413769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239.26156489359892</v>
      </c>
      <c r="T126" s="59">
        <f t="shared" si="88"/>
        <v>213.97034450798111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5.6254916104268942</v>
      </c>
      <c r="AA126" s="21">
        <f>EXP(-LN(2)/25)*AA125+(1-EXP(-LN(2)/25))/(LN(2)/25)*Calculateur!V126*Calculateur!X126*VLOOKUP('Données projet'!$B$9,Paramètres!$A$1:$I$89,3,0)*0.475*44/12</f>
        <v>25.579336699802695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31.20482831022959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7.8516666666666692</v>
      </c>
      <c r="AI126" s="13">
        <f>IF('Données projet'!$A$62&gt;35,AI125+AH126-AQ125,IF(A126&lt;'Données projet'!$A$62,$AF$205^A126,IF(A126='Données projet'!$A$62,'Données projet'!$B$62,AI125+AH126-AQ125)))</f>
        <v>388.90666666666715</v>
      </c>
      <c r="AJ126" s="13">
        <f>AI126*VLOOKUP('Données projet'!$B$10,Paramètres!$A$1:$I$89,3,0)*VLOOKUP('Données projet'!$B$10,Paramètres!$A$1:$I$89,5,0)</f>
        <v>394.35136000000051</v>
      </c>
      <c r="AK126" s="13">
        <f t="shared" si="89"/>
        <v>90.630543971691282</v>
      </c>
      <c r="AL126" s="20">
        <f t="shared" si="58"/>
        <v>844.67681608402984</v>
      </c>
      <c r="AM126" s="59">
        <f t="shared" si="59"/>
        <v>1138.0101494173632</v>
      </c>
      <c r="AN126" s="59">
        <f ca="1">AVERAGE(OFFSET($AM$3,0,0,'Données projet'!$E$10+1,1))-AVERAGE(OFFSET($H$3,0,0,'Données projet'!$E$10+1,1))</f>
        <v>543.88440431478944</v>
      </c>
      <c r="AO126" s="59">
        <f t="shared" si="90"/>
        <v>342.63929463709457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31.127631549412701</v>
      </c>
      <c r="AV126" s="21">
        <f>EXP(-LN(2)/25)*AV125+(1-EXP(-LN(2)/25))/(LN(2)/25)*Calculateur!AQ126*Calculateur!AS126*VLOOKUP('Données projet'!$B$10,Paramètres!$A$1:$I$89,3,0)*0.475*44/12</f>
        <v>18.560504978907311</v>
      </c>
      <c r="AW126" s="21">
        <f>EXP(-LN(2)/2)*AW125+(1-EXP(-LN(2)/2))/(LN(2)/2)*AQ126*AT126*VLOOKUP('Données projet'!$B$10,Paramètres!$A$1:$I$89,3,0)*0.475*44/12</f>
        <v>5.4379209118555569E-3</v>
      </c>
      <c r="AX126" s="21">
        <f t="shared" si="60"/>
        <v>49.693574449231868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7.1129999999999995</v>
      </c>
      <c r="BD126" s="12">
        <f>IF('Données projet'!$A$88&gt;35,BD125+BC126-BL125,IF(A126&lt;'Données projet'!$A$88,$BA$205^A126,IF(A126='Données projet'!$A$88,'Données projet'!$B$88,BD125+BC126-BL125)))</f>
        <v>276.55300000000005</v>
      </c>
      <c r="BE126" s="13">
        <f>BD126*VLOOKUP('Données projet'!$B$11,Paramètres!$A$1:$I$89,3,0)*VLOOKUP('Données projet'!$B$11,Paramètres!$A$1:$I$89,5,0)</f>
        <v>314.93855640000004</v>
      </c>
      <c r="BF126" s="13">
        <f t="shared" si="91"/>
        <v>74.299246672874546</v>
      </c>
      <c r="BG126" s="20">
        <f t="shared" si="61"/>
        <v>677.92250701858995</v>
      </c>
      <c r="BH126" s="59">
        <f t="shared" si="62"/>
        <v>971.25584035192333</v>
      </c>
      <c r="BI126" s="59">
        <f ca="1">AVERAGE(OFFSET($BH$3,0,0,'Données projet'!$E$11+1,1))-AVERAGE(OFFSET($H$3,0,0,'Données projet'!$E$11+1,1))</f>
        <v>593.28343396240075</v>
      </c>
      <c r="BJ126" s="59">
        <f t="shared" si="92"/>
        <v>289.66477662068695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28.119249485025904</v>
      </c>
      <c r="BQ126" s="21">
        <f>EXP(-LN(2)/25)*BQ125+(1-EXP(-LN(2)/25))/(LN(2)/25)*Calculateur!BL126*Calculateur!BN126*VLOOKUP('Données projet'!$B$11,Paramètres!$A$1:$I$89,3,0)*0.475*44/12</f>
        <v>27.910112768036267</v>
      </c>
      <c r="BR126" s="21">
        <f>EXP(-LN(2)/2)*BR125+(1-EXP(-LN(2)/2))/(LN(2)/2)*BL126*BO126*VLOOKUP('Données projet'!$B$11,Paramètres!$A$1:$I$89,3,0)*0.475*44/12</f>
        <v>3.6280160090426929</v>
      </c>
      <c r="BS126" s="22">
        <f t="shared" si="63"/>
        <v>59.657378262104871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>
        <f>VLOOKUP(A126,'Données projet'!$A$113:$I$133,2,0)</f>
        <v>409.53</v>
      </c>
      <c r="BW126" s="12">
        <f>VLOOKUP(A126,'Données projet'!$A$113:$I$133,9,0)</f>
        <v>8.7019999999999982</v>
      </c>
      <c r="BX126" s="12">
        <f t="array" ref="BX126">INDEX(BW:BW,MIN(IF(ISNUMBER(BW126:BW322),ROW(BW126:BW322),"")))</f>
        <v>8.7019999999999982</v>
      </c>
      <c r="BY126" s="12">
        <f>IF('Données projet'!$A$114&gt;35,BY125+BX126-CG125,IF(A126&lt;'Données projet'!$A$114,$BV$205^A126,IF(A126='Données projet'!$A$114,'Données projet'!$B$114,BY125+BX126-CG125)))</f>
        <v>409.53000000000026</v>
      </c>
      <c r="BZ126" s="13">
        <f>BY126*VLOOKUP('Données projet'!$B$12,Paramètres!$A$1:$I$89,3,0)*VLOOKUP('Données projet'!$B$12,Paramètres!$A$1:$I$89,5,0)</f>
        <v>440.81809200000026</v>
      </c>
      <c r="CA126" s="13">
        <f t="shared" si="93"/>
        <v>100.00453158078092</v>
      </c>
      <c r="CB126" s="20">
        <f t="shared" si="64"/>
        <v>941.93273606986043</v>
      </c>
      <c r="CC126" s="59">
        <f t="shared" si="65"/>
        <v>1235.2660694031938</v>
      </c>
      <c r="CD126" s="59">
        <f ca="1">AVERAGE(OFFSET($CC$3,0,0,'Données projet'!$E$12+1,1))-AVERAGE(OFFSET($H$3,0,0,'Données projet'!$E$12+1,1))</f>
        <v>502.65044103360322</v>
      </c>
      <c r="CE126" s="59">
        <f t="shared" si="94"/>
        <v>321.65762891855167</v>
      </c>
      <c r="CF126" s="15">
        <f>IF(ISNA(VLOOKUP(A126,'Données projet'!$A$113:$I$133,3,0)),0,VLOOKUP(A126,'Données projet'!$A$113:$I$133,3,0))</f>
        <v>11</v>
      </c>
      <c r="CG126" s="15">
        <f>IF(ISNA(VLOOKUP(A126,'Données projet'!$A$113:$I$133,4,0)),0,VLOOKUP(A126,'Données projet'!$A$113:$I$133,4,0))</f>
        <v>203.78999999999996</v>
      </c>
      <c r="CH126" s="16">
        <f>IF(ISNA(VLOOKUP(A126,'Données projet'!$A$113:$I$133,5,0)),0%,VLOOKUP(A126,'Données projet'!$A$113:$I$133,5,0)*VLOOKUP('Données projet'!$B$12,Paramètres!$A$1:$I$89,7,0))</f>
        <v>0.19350000000000001</v>
      </c>
      <c r="CI126" s="16">
        <f>IF(ISNA(VLOOKUP(A126,'Données projet'!$A$113:$I$133,6,0)),0%,VLOOKUP(A126,'Données projet'!$A$113:$I$133,6,0)*VLOOKUP('Données projet'!$B$12,Paramètres!$A$1:$I$89,7,0))</f>
        <v>2.1500000000000002E-2</v>
      </c>
      <c r="CJ126" s="16">
        <f>IF(ISNA(VLOOKUP(A126,'Données projet'!$A$113:$I$133,7,0)),0%,VLOOKUP(A126,'Données projet'!$A$113:$I$133,7,0))</f>
        <v>0.05</v>
      </c>
      <c r="CK126" s="21">
        <f>EXP(-LN(2)/35)*CK125+(1-EXP(-LN(2)/35))/(LN(2)/35)*CG126*CH126*VLOOKUP('Données projet'!$B$12,Paramètres!$A$1:$I$89,3,0)*0.475*44/12</f>
        <v>96.164340225466105</v>
      </c>
      <c r="CL126" s="21">
        <f>EXP(-LN(2)/25)*CL125+(1-EXP(-LN(2)/25))/(LN(2)/25)*Calculateur!CG126*Calculateur!CI126*VLOOKUP('Données projet'!$B$12,Paramètres!$A$1:$I$89,3,0)*0.475*44/12</f>
        <v>27.303032291448353</v>
      </c>
      <c r="CM126" s="21">
        <f>EXP(-LN(2)/2)*CM125+(1-EXP(-LN(2)/2))/(LN(2)/2)*CG126*CJ126*VLOOKUP('Données projet'!$B$12,Paramètres!$A$1:$I$89,3,0)*0.475*44/12</f>
        <v>10.348587374621472</v>
      </c>
      <c r="CN126" s="22">
        <f t="shared" si="66"/>
        <v>133.81595989153593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239.26156489359892</v>
      </c>
      <c r="T127" s="59">
        <f t="shared" si="88"/>
        <v>213.97034450798111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5.5151791511575015</v>
      </c>
      <c r="AA127" s="21">
        <f>EXP(-LN(2)/25)*AA126+(1-EXP(-LN(2)/25))/(LN(2)/25)*Calculateur!V127*Calculateur!X127*VLOOKUP('Données projet'!$B$9,Paramètres!$A$1:$I$89,3,0)*0.475*44/12</f>
        <v>24.879868392587735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30.395047543745235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7.8516666666666692</v>
      </c>
      <c r="AI127" s="13">
        <f>IF('Données projet'!$A$62&gt;35,AI126+AH127-AQ126,IF(A127&lt;'Données projet'!$A$62,$AF$205^A127,IF(A127='Données projet'!$A$62,'Données projet'!$B$62,AI126+AH127-AQ126)))</f>
        <v>396.75833333333384</v>
      </c>
      <c r="AJ127" s="13">
        <f>AI127*VLOOKUP('Données projet'!$B$10,Paramètres!$A$1:$I$89,3,0)*VLOOKUP('Données projet'!$B$10,Paramètres!$A$1:$I$89,5,0)</f>
        <v>402.31295000000057</v>
      </c>
      <c r="AK127" s="13">
        <f t="shared" si="89"/>
        <v>92.245422870546406</v>
      </c>
      <c r="AL127" s="20">
        <f t="shared" si="58"/>
        <v>861.35583274953603</v>
      </c>
      <c r="AM127" s="59">
        <f t="shared" si="59"/>
        <v>1154.6891660828694</v>
      </c>
      <c r="AN127" s="59">
        <f ca="1">AVERAGE(OFFSET($AM$3,0,0,'Données projet'!$E$10+1,1))-AVERAGE(OFFSET($H$3,0,0,'Données projet'!$E$10+1,1))</f>
        <v>543.88440431478944</v>
      </c>
      <c r="AO127" s="59">
        <f t="shared" si="90"/>
        <v>342.63929463709457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30.517237680709254</v>
      </c>
      <c r="AV127" s="21">
        <f>EXP(-LN(2)/25)*AV126+(1-EXP(-LN(2)/25))/(LN(2)/25)*Calculateur!AQ127*Calculateur!AS127*VLOOKUP('Données projet'!$B$10,Paramètres!$A$1:$I$89,3,0)*0.475*44/12</f>
        <v>18.052966994204553</v>
      </c>
      <c r="AW127" s="21">
        <f>EXP(-LN(2)/2)*AW126+(1-EXP(-LN(2)/2))/(LN(2)/2)*AQ127*AT127*VLOOKUP('Données projet'!$B$10,Paramètres!$A$1:$I$89,3,0)*0.475*44/12</f>
        <v>3.8451907523291986E-3</v>
      </c>
      <c r="AX127" s="21">
        <f t="shared" si="60"/>
        <v>48.57404986566614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7.1129999999999995</v>
      </c>
      <c r="BD127" s="12">
        <f>IF('Données projet'!$A$88&gt;35,BD126+BC127-BL126,IF(A127&lt;'Données projet'!$A$88,$BA$205^A127,IF(A127='Données projet'!$A$88,'Données projet'!$B$88,BD126+BC127-BL126)))</f>
        <v>283.66600000000005</v>
      </c>
      <c r="BE127" s="13">
        <f>BD127*VLOOKUP('Données projet'!$B$11,Paramètres!$A$1:$I$89,3,0)*VLOOKUP('Données projet'!$B$11,Paramètres!$A$1:$I$89,5,0)</f>
        <v>323.03884080000006</v>
      </c>
      <c r="BF127" s="13">
        <f t="shared" si="91"/>
        <v>75.985295359040222</v>
      </c>
      <c r="BG127" s="20">
        <f t="shared" si="61"/>
        <v>694.96703714366186</v>
      </c>
      <c r="BH127" s="59">
        <f t="shared" si="62"/>
        <v>988.30037047699511</v>
      </c>
      <c r="BI127" s="59">
        <f ca="1">AVERAGE(OFFSET($BH$3,0,0,'Données projet'!$E$11+1,1))-AVERAGE(OFFSET($H$3,0,0,'Données projet'!$E$11+1,1))</f>
        <v>593.28343396240075</v>
      </c>
      <c r="BJ127" s="59">
        <f t="shared" si="92"/>
        <v>289.66477662068695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27.567848153673207</v>
      </c>
      <c r="BQ127" s="21">
        <f>EXP(-LN(2)/25)*BQ126+(1-EXP(-LN(2)/25))/(LN(2)/25)*Calculateur!BL127*Calculateur!BN127*VLOOKUP('Données projet'!$B$11,Paramètres!$A$1:$I$89,3,0)*0.475*44/12</f>
        <v>27.146909266665276</v>
      </c>
      <c r="BR127" s="21">
        <f>EXP(-LN(2)/2)*BR126+(1-EXP(-LN(2)/2))/(LN(2)/2)*BL127*BO127*VLOOKUP('Données projet'!$B$11,Paramètres!$A$1:$I$89,3,0)*0.475*44/12</f>
        <v>2.5653947222474431</v>
      </c>
      <c r="BS127" s="22">
        <f t="shared" si="63"/>
        <v>57.280152142585926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4.8499999999999943</v>
      </c>
      <c r="BY127" s="12">
        <f>IF('Données projet'!$A$114&gt;35,BY126+BX127-CG126,IF(A127&lt;'Données projet'!$A$114,$BV$205^A127,IF(A127='Données projet'!$A$114,'Données projet'!$B$114,BY126+BX127-CG126)))</f>
        <v>210.59000000000026</v>
      </c>
      <c r="BZ127" s="13">
        <f>BY127*VLOOKUP('Données projet'!$B$12,Paramètres!$A$1:$I$89,3,0)*VLOOKUP('Données projet'!$B$12,Paramètres!$A$1:$I$89,5,0)</f>
        <v>226.67907600000026</v>
      </c>
      <c r="CA127" s="13">
        <f t="shared" si="93"/>
        <v>55.564013437483126</v>
      </c>
      <c r="CB127" s="20">
        <f t="shared" si="64"/>
        <v>491.57338077028345</v>
      </c>
      <c r="CC127" s="59">
        <f t="shared" si="65"/>
        <v>784.90671410361676</v>
      </c>
      <c r="CD127" s="59">
        <f ca="1">AVERAGE(OFFSET($CC$3,0,0,'Données projet'!$E$12+1,1))-AVERAGE(OFFSET($H$3,0,0,'Données projet'!$E$12+1,1))</f>
        <v>502.65044103360322</v>
      </c>
      <c r="CE127" s="59">
        <f t="shared" si="94"/>
        <v>321.65762891855167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94.278616168100612</v>
      </c>
      <c r="CL127" s="21">
        <f>EXP(-LN(2)/25)*CL126+(1-EXP(-LN(2)/25))/(LN(2)/25)*Calculateur!CG127*Calculateur!CI127*VLOOKUP('Données projet'!$B$12,Paramètres!$A$1:$I$89,3,0)*0.475*44/12</f>
        <v>26.55642943763463</v>
      </c>
      <c r="CM127" s="21">
        <f>EXP(-LN(2)/2)*CM126+(1-EXP(-LN(2)/2))/(LN(2)/2)*CG127*CJ127*VLOOKUP('Données projet'!$B$12,Paramètres!$A$1:$I$89,3,0)*0.475*44/12</f>
        <v>7.317556308296334</v>
      </c>
      <c r="CN127" s="22">
        <f t="shared" si="66"/>
        <v>128.15260191403158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239.26156489359892</v>
      </c>
      <c r="T128" s="59">
        <f t="shared" si="88"/>
        <v>213.97034450798111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5.4070298519304245</v>
      </c>
      <c r="AA128" s="21">
        <f>EXP(-LN(2)/25)*AA127+(1-EXP(-LN(2)/25))/(LN(2)/25)*Calculateur!V128*Calculateur!X128*VLOOKUP('Données projet'!$B$9,Paramètres!$A$1:$I$89,3,0)*0.475*44/12</f>
        <v>24.19952708301701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29.606556934947434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>
        <f>VLOOKUP(A128,'Données projet'!$A$61:$I$81,2,0)</f>
        <v>404.61</v>
      </c>
      <c r="AG128" s="12">
        <f>VLOOKUP(A128,'Données projet'!$A$61:$I$81,9,0)</f>
        <v>7.8516666666666692</v>
      </c>
      <c r="AH128" s="12">
        <f t="array" ref="AH128">INDEX(AG:AG,MIN(IF(ISNUMBER(AG128:AG324),ROW(AG128:AG324),"")))</f>
        <v>7.8516666666666692</v>
      </c>
      <c r="AI128" s="13">
        <f>IF('Données projet'!$A$62&gt;35,AI127+AH128-AQ127,IF(A128&lt;'Données projet'!$A$62,$AF$205^A128,IF(A128='Données projet'!$A$62,'Données projet'!$B$62,AI127+AH128-AQ127)))</f>
        <v>404.61000000000053</v>
      </c>
      <c r="AJ128" s="13">
        <f>AI128*VLOOKUP('Données projet'!$B$10,Paramètres!$A$1:$I$89,3,0)*VLOOKUP('Données projet'!$B$10,Paramètres!$A$1:$I$89,5,0)</f>
        <v>410.27454000000057</v>
      </c>
      <c r="AK128" s="13">
        <f t="shared" si="89"/>
        <v>93.856585915764171</v>
      </c>
      <c r="AL128" s="20">
        <f t="shared" si="58"/>
        <v>878.02837763662365</v>
      </c>
      <c r="AM128" s="59">
        <f t="shared" si="59"/>
        <v>1171.3617109699569</v>
      </c>
      <c r="AN128" s="59">
        <f ca="1">AVERAGE(OFFSET($AM$3,0,0,'Données projet'!$E$10+1,1))-AVERAGE(OFFSET($H$3,0,0,'Données projet'!$E$10+1,1))</f>
        <v>543.88440431478944</v>
      </c>
      <c r="AO128" s="59">
        <f t="shared" si="90"/>
        <v>342.63929463709457</v>
      </c>
      <c r="AP128" s="15">
        <f>IF(ISNA(VLOOKUP(A128,'Données projet'!$A$61:$I$81,3,0)),0,VLOOKUP(A128,'Données projet'!$A$61:$I$81,3,0))</f>
        <v>10</v>
      </c>
      <c r="AQ128" s="15">
        <f>IF(ISNA(VLOOKUP(A128,'Données projet'!$A$61:$I$81,4,0)),0,VLOOKUP(A128,'Données projet'!$A$61:$I$81,4,0))</f>
        <v>70</v>
      </c>
      <c r="AR128" s="16">
        <f>IF(ISNA(VLOOKUP(A128,'Données projet'!$A$61:$I$81,5,0)),0%,VLOOKUP(A128,'Données projet'!$A$61:$I$81,5,0)*VLOOKUP('Données projet'!$B$10,Paramètres!$A$1:$I$89,7,0))</f>
        <v>0.215</v>
      </c>
      <c r="AS128" s="16">
        <f>IF(ISNA(VLOOKUP(A128,'Données projet'!$A$61:$I$81,6,0)),0%,VLOOKUP(A128,'Données projet'!$A$61:$I$81,6,0)*VLOOKUP('Données projet'!$B$10,Paramètres!$A$1:$I$89,7,0))</f>
        <v>8.6000000000000007E-2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46.789065084406076</v>
      </c>
      <c r="AV128" s="21">
        <f>EXP(-LN(2)/25)*AV127+(1-EXP(-LN(2)/25))/(LN(2)/25)*Calculateur!AQ128*Calculateur!AS128*VLOOKUP('Données projet'!$B$10,Paramètres!$A$1:$I$89,3,0)*0.475*44/12</f>
        <v>24.280838546963579</v>
      </c>
      <c r="AW128" s="21">
        <f>EXP(-LN(2)/2)*AW127+(1-EXP(-LN(2)/2))/(LN(2)/2)*AQ128*AT128*VLOOKUP('Données projet'!$B$10,Paramètres!$A$1:$I$89,3,0)*0.475*44/12</f>
        <v>2.7189604559277789E-3</v>
      </c>
      <c r="AX128" s="21">
        <f t="shared" si="60"/>
        <v>71.072622591825578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7.1129999999999995</v>
      </c>
      <c r="BD128" s="12">
        <f>IF('Données projet'!$A$88&gt;35,BD127+BC128-BL127,IF(A128&lt;'Données projet'!$A$88,$BA$205^A128,IF(A128='Données projet'!$A$88,'Données projet'!$B$88,BD127+BC128-BL127)))</f>
        <v>290.77900000000005</v>
      </c>
      <c r="BE128" s="13">
        <f>BD128*VLOOKUP('Données projet'!$B$11,Paramètres!$A$1:$I$89,3,0)*VLOOKUP('Données projet'!$B$11,Paramètres!$A$1:$I$89,5,0)</f>
        <v>331.13912520000008</v>
      </c>
      <c r="BF128" s="13">
        <f t="shared" si="91"/>
        <v>77.6664295030006</v>
      </c>
      <c r="BG128" s="20">
        <f t="shared" si="61"/>
        <v>712.00300777439281</v>
      </c>
      <c r="BH128" s="59">
        <f t="shared" si="62"/>
        <v>1005.3363411077262</v>
      </c>
      <c r="BI128" s="59">
        <f ca="1">AVERAGE(OFFSET($BH$3,0,0,'Données projet'!$E$11+1,1))-AVERAGE(OFFSET($H$3,0,0,'Données projet'!$E$11+1,1))</f>
        <v>593.28343396240075</v>
      </c>
      <c r="BJ128" s="59">
        <f t="shared" si="92"/>
        <v>289.66477662068695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27.027259466106734</v>
      </c>
      <c r="BQ128" s="21">
        <f>EXP(-LN(2)/25)*BQ127+(1-EXP(-LN(2)/25))/(LN(2)/25)*Calculateur!BL128*Calculateur!BN128*VLOOKUP('Données projet'!$B$11,Paramètres!$A$1:$I$89,3,0)*0.475*44/12</f>
        <v>26.404575605174401</v>
      </c>
      <c r="BR128" s="21">
        <f>EXP(-LN(2)/2)*BR127+(1-EXP(-LN(2)/2))/(LN(2)/2)*BL128*BO128*VLOOKUP('Données projet'!$B$11,Paramètres!$A$1:$I$89,3,0)*0.475*44/12</f>
        <v>1.8140080045213467</v>
      </c>
      <c r="BS128" s="22">
        <f t="shared" si="63"/>
        <v>55.245843075802483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>
        <f>VLOOKUP(A128,'Données projet'!$A$113:$I$133,2,0)</f>
        <v>215.44</v>
      </c>
      <c r="BW128" s="12">
        <f>VLOOKUP(A128,'Données projet'!$A$113:$I$133,9,0)</f>
        <v>4.8499999999999943</v>
      </c>
      <c r="BX128" s="12">
        <f t="array" ref="BX128">INDEX(BW:BW,MIN(IF(ISNUMBER(BW128:BW324),ROW(BW128:BW324),"")))</f>
        <v>4.8499999999999943</v>
      </c>
      <c r="BY128" s="12">
        <f>IF('Données projet'!$A$114&gt;35,BY127+BX128-CG127,IF(A128&lt;'Données projet'!$A$114,$BV$205^A128,IF(A128='Données projet'!$A$114,'Données projet'!$B$114,BY127+BX128-CG127)))</f>
        <v>215.44000000000025</v>
      </c>
      <c r="BZ128" s="13">
        <f>BY128*VLOOKUP('Données projet'!$B$12,Paramètres!$A$1:$I$89,3,0)*VLOOKUP('Données projet'!$B$12,Paramètres!$A$1:$I$89,5,0)</f>
        <v>231.89961600000024</v>
      </c>
      <c r="CA128" s="13">
        <f t="shared" si="93"/>
        <v>56.693226090154134</v>
      </c>
      <c r="CB128" s="20">
        <f t="shared" si="64"/>
        <v>502.63253330701883</v>
      </c>
      <c r="CC128" s="59">
        <f t="shared" si="65"/>
        <v>795.96586664035215</v>
      </c>
      <c r="CD128" s="59">
        <f ca="1">AVERAGE(OFFSET($CC$3,0,0,'Données projet'!$E$12+1,1))-AVERAGE(OFFSET($H$3,0,0,'Données projet'!$E$12+1,1))</f>
        <v>502.65044103360322</v>
      </c>
      <c r="CE128" s="59">
        <f t="shared" si="94"/>
        <v>321.65762891855167</v>
      </c>
      <c r="CF128" s="15">
        <f>IF(ISNA(VLOOKUP(A128,'Données projet'!$A$113:$I$133,3,0)),0,VLOOKUP(A128,'Données projet'!$A$113:$I$133,3,0))</f>
        <v>12</v>
      </c>
      <c r="CG128" s="15">
        <f>IF(ISNA(VLOOKUP(A128,'Données projet'!$A$113:$I$133,4,0)),0,VLOOKUP(A128,'Données projet'!$A$113:$I$133,4,0))</f>
        <v>70.609999999999985</v>
      </c>
      <c r="CH128" s="16">
        <f>IF(ISNA(VLOOKUP(A128,'Données projet'!$A$113:$I$133,5,0)),0%,VLOOKUP(A128,'Données projet'!$A$113:$I$133,5,0)*VLOOKUP('Données projet'!$B$12,Paramètres!$A$1:$I$89,7,0))</f>
        <v>0.19350000000000001</v>
      </c>
      <c r="CI128" s="16">
        <f>IF(ISNA(VLOOKUP(A128,'Données projet'!$A$113:$I$133,6,0)),0%,VLOOKUP(A128,'Données projet'!$A$113:$I$133,6,0)*VLOOKUP('Données projet'!$B$12,Paramètres!$A$1:$I$89,7,0))</f>
        <v>2.1500000000000002E-2</v>
      </c>
      <c r="CJ128" s="16">
        <f>IF(ISNA(VLOOKUP(A128,'Données projet'!$A$113:$I$133,7,0)),0%,VLOOKUP(A128,'Données projet'!$A$113:$I$133,7,0))</f>
        <v>0.05</v>
      </c>
      <c r="CK128" s="21">
        <f>EXP(-LN(2)/35)*CK127+(1-EXP(-LN(2)/35))/(LN(2)/35)*CG128*CH128*VLOOKUP('Données projet'!$B$12,Paramètres!$A$1:$I$89,3,0)*0.475*44/12</f>
        <v>108.68790224555241</v>
      </c>
      <c r="CL128" s="21">
        <f>EXP(-LN(2)/25)*CL127+(1-EXP(-LN(2)/25))/(LN(2)/25)*Calculateur!CG128*Calculateur!CI128*VLOOKUP('Données projet'!$B$12,Paramètres!$A$1:$I$89,3,0)*0.475*44/12</f>
        <v>27.629577830178413</v>
      </c>
      <c r="CM128" s="21">
        <f>EXP(-LN(2)/2)*CM127+(1-EXP(-LN(2)/2))/(LN(2)/2)*CG128*CJ128*VLOOKUP('Données projet'!$B$12,Paramètres!$A$1:$I$89,3,0)*0.475*44/12</f>
        <v>8.7599131627069529</v>
      </c>
      <c r="CN128" s="22">
        <f t="shared" si="66"/>
        <v>145.07739323843779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239.26156489359892</v>
      </c>
      <c r="T129" s="59">
        <f t="shared" si="88"/>
        <v>213.97034450798111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5.3010012944966318</v>
      </c>
      <c r="AA129" s="21">
        <f>EXP(-LN(2)/25)*AA128+(1-EXP(-LN(2)/25))/(LN(2)/25)*Calculateur!V129*Calculateur!X129*VLOOKUP('Données projet'!$B$9,Paramètres!$A$1:$I$89,3,0)*0.475*44/12</f>
        <v>23.537789742334088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28.83879103683072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7.7849999999999966</v>
      </c>
      <c r="AI129" s="13">
        <f>IF('Données projet'!$A$62&gt;35,AI128+AH129-AQ128,IF(A129&lt;'Données projet'!$A$62,$AF$205^A129,IF(A129='Données projet'!$A$62,'Données projet'!$B$62,AI128+AH129-AQ128)))</f>
        <v>342.39500000000055</v>
      </c>
      <c r="AJ129" s="13">
        <f>AI129*VLOOKUP('Données projet'!$B$10,Paramètres!$A$1:$I$89,3,0)*VLOOKUP('Données projet'!$B$10,Paramètres!$A$1:$I$89,5,0)</f>
        <v>347.18853000000058</v>
      </c>
      <c r="AK129" s="13">
        <f t="shared" si="89"/>
        <v>80.983328908951989</v>
      </c>
      <c r="AL129" s="20">
        <f t="shared" si="58"/>
        <v>745.73265426642558</v>
      </c>
      <c r="AM129" s="59">
        <f t="shared" si="59"/>
        <v>1039.065987599759</v>
      </c>
      <c r="AN129" s="59">
        <f ca="1">AVERAGE(OFFSET($AM$3,0,0,'Données projet'!$E$10+1,1))-AVERAGE(OFFSET($H$3,0,0,'Données projet'!$E$10+1,1))</f>
        <v>543.88440431478944</v>
      </c>
      <c r="AO129" s="59">
        <f t="shared" si="90"/>
        <v>342.63929463709457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45.87156005661263</v>
      </c>
      <c r="AV129" s="21">
        <f>EXP(-LN(2)/25)*AV128+(1-EXP(-LN(2)/25))/(LN(2)/25)*Calculateur!AQ129*Calculateur!AS129*VLOOKUP('Données projet'!$B$10,Paramètres!$A$1:$I$89,3,0)*0.475*44/12</f>
        <v>23.616877740023057</v>
      </c>
      <c r="AW129" s="21">
        <f>EXP(-LN(2)/2)*AW128+(1-EXP(-LN(2)/2))/(LN(2)/2)*AQ129*AT129*VLOOKUP('Données projet'!$B$10,Paramètres!$A$1:$I$89,3,0)*0.475*44/12</f>
        <v>1.9225953761645995E-3</v>
      </c>
      <c r="AX129" s="21">
        <f t="shared" si="60"/>
        <v>69.490360392011837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7.1129999999999995</v>
      </c>
      <c r="BD129" s="12">
        <f>IF('Données projet'!$A$88&gt;35,BD128+BC129-BL128,IF(A129&lt;'Données projet'!$A$88,$BA$205^A129,IF(A129='Données projet'!$A$88,'Données projet'!$B$88,BD128+BC129-BL128)))</f>
        <v>297.89200000000005</v>
      </c>
      <c r="BE129" s="13">
        <f>BD129*VLOOKUP('Données projet'!$B$11,Paramètres!$A$1:$I$89,3,0)*VLOOKUP('Données projet'!$B$11,Paramètres!$A$1:$I$89,5,0)</f>
        <v>339.23940960000004</v>
      </c>
      <c r="BF129" s="13">
        <f t="shared" si="91"/>
        <v>79.342783153306911</v>
      </c>
      <c r="BG129" s="20">
        <f t="shared" si="61"/>
        <v>729.03065237867622</v>
      </c>
      <c r="BH129" s="59">
        <f t="shared" si="62"/>
        <v>1022.3639857120095</v>
      </c>
      <c r="BI129" s="59">
        <f ca="1">AVERAGE(OFFSET($BH$3,0,0,'Données projet'!$E$11+1,1))-AVERAGE(OFFSET($H$3,0,0,'Données projet'!$E$11+1,1))</f>
        <v>593.28343396240075</v>
      </c>
      <c r="BJ129" s="59">
        <f t="shared" si="92"/>
        <v>289.66477662068695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26.497271392976899</v>
      </c>
      <c r="BQ129" s="21">
        <f>EXP(-LN(2)/25)*BQ128+(1-EXP(-LN(2)/25))/(LN(2)/25)*Calculateur!BL129*Calculateur!BN129*VLOOKUP('Données projet'!$B$11,Paramètres!$A$1:$I$89,3,0)*0.475*44/12</f>
        <v>25.682541096694624</v>
      </c>
      <c r="BR129" s="21">
        <f>EXP(-LN(2)/2)*BR128+(1-EXP(-LN(2)/2))/(LN(2)/2)*BL129*BO129*VLOOKUP('Données projet'!$B$11,Paramètres!$A$1:$I$89,3,0)*0.475*44/12</f>
        <v>1.2826973611237218</v>
      </c>
      <c r="BS129" s="22">
        <f t="shared" si="63"/>
        <v>53.462509850795243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3.3249999999999886</v>
      </c>
      <c r="BY129" s="12">
        <f>IF('Données projet'!$A$114&gt;35,BY128+BX129-CG128,IF(A129&lt;'Données projet'!$A$114,$BV$205^A129,IF(A129='Données projet'!$A$114,'Données projet'!$B$114,BY128+BX129-CG128)))</f>
        <v>148.15500000000026</v>
      </c>
      <c r="BZ129" s="13">
        <f>BY129*VLOOKUP('Données projet'!$B$12,Paramètres!$A$1:$I$89,3,0)*VLOOKUP('Données projet'!$B$12,Paramètres!$A$1:$I$89,5,0)</f>
        <v>159.47404200000028</v>
      </c>
      <c r="CA129" s="13">
        <f t="shared" si="93"/>
        <v>40.723861387649414</v>
      </c>
      <c r="CB129" s="20">
        <f t="shared" si="64"/>
        <v>348.67801506682321</v>
      </c>
      <c r="CC129" s="59">
        <f t="shared" si="65"/>
        <v>642.01134840015652</v>
      </c>
      <c r="CD129" s="59">
        <f ca="1">AVERAGE(OFFSET($CC$3,0,0,'Données projet'!$E$12+1,1))-AVERAGE(OFFSET($H$3,0,0,'Données projet'!$E$12+1,1))</f>
        <v>502.65044103360322</v>
      </c>
      <c r="CE129" s="59">
        <f t="shared" si="94"/>
        <v>321.65762891855167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106.5565987755916</v>
      </c>
      <c r="CL129" s="21">
        <f>EXP(-LN(2)/25)*CL128+(1-EXP(-LN(2)/25))/(LN(2)/25)*Calculateur!CG129*Calculateur!CI129*VLOOKUP('Données projet'!$B$12,Paramètres!$A$1:$I$89,3,0)*0.475*44/12</f>
        <v>26.874045571435833</v>
      </c>
      <c r="CM129" s="21">
        <f>EXP(-LN(2)/2)*CM128+(1-EXP(-LN(2)/2))/(LN(2)/2)*CG129*CJ129*VLOOKUP('Données projet'!$B$12,Paramètres!$A$1:$I$89,3,0)*0.475*44/12</f>
        <v>6.1941939999553828</v>
      </c>
      <c r="CN129" s="22">
        <f t="shared" si="66"/>
        <v>139.62483834698281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239.26156489359892</v>
      </c>
      <c r="T130" s="59">
        <f t="shared" si="88"/>
        <v>213.97034450798111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5.1970518924030813</v>
      </c>
      <c r="AA130" s="21">
        <f>EXP(-LN(2)/25)*AA129+(1-EXP(-LN(2)/25))/(LN(2)/25)*Calculateur!V130*Calculateur!X130*VLOOKUP('Données projet'!$B$9,Paramètres!$A$1:$I$89,3,0)*0.475*44/12</f>
        <v>22.894147644031396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28.091199536434477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7.7849999999999966</v>
      </c>
      <c r="AI130" s="13">
        <f>IF('Données projet'!$A$62&gt;35,AI129+AH130-AQ129,IF(A130&lt;'Données projet'!$A$62,$AF$205^A130,IF(A130='Données projet'!$A$62,'Données projet'!$B$62,AI129+AH130-AQ129)))</f>
        <v>350.18000000000052</v>
      </c>
      <c r="AJ130" s="13">
        <f>AI130*VLOOKUP('Données projet'!$B$10,Paramètres!$A$1:$I$89,3,0)*VLOOKUP('Données projet'!$B$10,Paramètres!$A$1:$I$89,5,0)</f>
        <v>355.08252000000056</v>
      </c>
      <c r="AK130" s="13">
        <f t="shared" si="89"/>
        <v>82.60817514708917</v>
      </c>
      <c r="AL130" s="20">
        <f t="shared" si="58"/>
        <v>762.31129404784781</v>
      </c>
      <c r="AM130" s="59">
        <f t="shared" si="59"/>
        <v>1055.6446273811812</v>
      </c>
      <c r="AN130" s="59">
        <f ca="1">AVERAGE(OFFSET($AM$3,0,0,'Données projet'!$E$10+1,1))-AVERAGE(OFFSET($H$3,0,0,'Données projet'!$E$10+1,1))</f>
        <v>543.88440431478944</v>
      </c>
      <c r="AO130" s="59">
        <f t="shared" si="90"/>
        <v>342.63929463709457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44.972046742791406</v>
      </c>
      <c r="AV130" s="21">
        <f>EXP(-LN(2)/25)*AV129+(1-EXP(-LN(2)/25))/(LN(2)/25)*Calculateur!AQ130*Calculateur!AS130*VLOOKUP('Données projet'!$B$10,Paramètres!$A$1:$I$89,3,0)*0.475*44/12</f>
        <v>22.971072976264502</v>
      </c>
      <c r="AW130" s="21">
        <f>EXP(-LN(2)/2)*AW129+(1-EXP(-LN(2)/2))/(LN(2)/2)*AQ130*AT130*VLOOKUP('Données projet'!$B$10,Paramètres!$A$1:$I$89,3,0)*0.475*44/12</f>
        <v>1.3594802279638897E-3</v>
      </c>
      <c r="AX130" s="21">
        <f t="shared" si="60"/>
        <v>67.944479199283876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7.1129999999999995</v>
      </c>
      <c r="BD130" s="12">
        <f>IF('Données projet'!$A$88&gt;35,BD129+BC130-BL129,IF(A130&lt;'Données projet'!$A$88,$BA$205^A130,IF(A130='Données projet'!$A$88,'Données projet'!$B$88,BD129+BC130-BL129)))</f>
        <v>305.00500000000005</v>
      </c>
      <c r="BE130" s="13">
        <f>BD130*VLOOKUP('Données projet'!$B$11,Paramètres!$A$1:$I$89,3,0)*VLOOKUP('Données projet'!$B$11,Paramètres!$A$1:$I$89,5,0)</f>
        <v>347.33969400000007</v>
      </c>
      <c r="BF130" s="13">
        <f t="shared" si="91"/>
        <v>81.014483591844552</v>
      </c>
      <c r="BG130" s="20">
        <f t="shared" si="61"/>
        <v>746.05019263912936</v>
      </c>
      <c r="BH130" s="59">
        <f t="shared" si="62"/>
        <v>1039.3835259724626</v>
      </c>
      <c r="BI130" s="59">
        <f ca="1">AVERAGE(OFFSET($BH$3,0,0,'Données projet'!$E$11+1,1))-AVERAGE(OFFSET($H$3,0,0,'Données projet'!$E$11+1,1))</f>
        <v>593.28343396240075</v>
      </c>
      <c r="BJ130" s="59">
        <f t="shared" si="92"/>
        <v>289.66477662068695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25.977676062700333</v>
      </c>
      <c r="BQ130" s="21">
        <f>EXP(-LN(2)/25)*BQ129+(1-EXP(-LN(2)/25))/(LN(2)/25)*Calculateur!BL130*Calculateur!BN130*VLOOKUP('Données projet'!$B$11,Paramètres!$A$1:$I$89,3,0)*0.475*44/12</f>
        <v>24.980250659819372</v>
      </c>
      <c r="BR130" s="21">
        <f>EXP(-LN(2)/2)*BR129+(1-EXP(-LN(2)/2))/(LN(2)/2)*BL130*BO130*VLOOKUP('Données projet'!$B$11,Paramètres!$A$1:$I$89,3,0)*0.475*44/12</f>
        <v>0.90700400226067357</v>
      </c>
      <c r="BS130" s="22">
        <f t="shared" si="63"/>
        <v>51.864930724780372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>
        <f>VLOOKUP(A130,'Données projet'!$A$113:$I$133,2,0)</f>
        <v>151.47999999999999</v>
      </c>
      <c r="BW130" s="12">
        <f>VLOOKUP(A130,'Données projet'!$A$113:$I$133,9,0)</f>
        <v>3.3249999999999886</v>
      </c>
      <c r="BX130" s="12">
        <f t="array" ref="BX130">INDEX(BW:BW,MIN(IF(ISNUMBER(BW130:BW326),ROW(BW130:BW326),"")))</f>
        <v>3.3249999999999886</v>
      </c>
      <c r="BY130" s="12">
        <f>IF('Données projet'!$A$114&gt;35,BY129+BX130-CG129,IF(A130&lt;'Données projet'!$A$114,$BV$205^A130,IF(A130='Données projet'!$A$114,'Données projet'!$B$114,BY129+BX130-CG129)))</f>
        <v>151.48000000000025</v>
      </c>
      <c r="BZ130" s="13">
        <f>BY130*VLOOKUP('Données projet'!$B$12,Paramètres!$A$1:$I$89,3,0)*VLOOKUP('Données projet'!$B$12,Paramètres!$A$1:$I$89,5,0)</f>
        <v>163.05307200000027</v>
      </c>
      <c r="CA130" s="13">
        <f t="shared" si="93"/>
        <v>41.530384934528691</v>
      </c>
      <c r="CB130" s="20">
        <f t="shared" si="64"/>
        <v>356.31618749430459</v>
      </c>
      <c r="CC130" s="59">
        <f t="shared" si="65"/>
        <v>649.64952082763784</v>
      </c>
      <c r="CD130" s="59">
        <f ca="1">AVERAGE(OFFSET($CC$3,0,0,'Données projet'!$E$12+1,1))-AVERAGE(OFFSET($H$3,0,0,'Données projet'!$E$12+1,1))</f>
        <v>502.65044103360322</v>
      </c>
      <c r="CE130" s="59">
        <f t="shared" si="94"/>
        <v>321.65762891855167</v>
      </c>
      <c r="CF130" s="15">
        <f>IF(ISNA(VLOOKUP(A130,'Données projet'!$A$113:$I$133,3,0)),0,VLOOKUP(A130,'Données projet'!$A$113:$I$133,3,0))</f>
        <v>13</v>
      </c>
      <c r="CG130" s="15">
        <f>IF(ISNA(VLOOKUP(A130,'Données projet'!$A$113:$I$133,4,0)),0,VLOOKUP(A130,'Données projet'!$A$113:$I$133,4,0))</f>
        <v>46.039999999999992</v>
      </c>
      <c r="CH130" s="16">
        <f>IF(ISNA(VLOOKUP(A130,'Données projet'!$A$113:$I$133,5,0)),0%,VLOOKUP(A130,'Données projet'!$A$113:$I$133,5,0)*VLOOKUP('Données projet'!$B$12,Paramètres!$A$1:$I$89,7,0))</f>
        <v>0.19350000000000001</v>
      </c>
      <c r="CI130" s="16">
        <f>IF(ISNA(VLOOKUP(A130,'Données projet'!$A$113:$I$133,6,0)),0%,VLOOKUP(A130,'Données projet'!$A$113:$I$133,6,0)*VLOOKUP('Données projet'!$B$12,Paramètres!$A$1:$I$89,7,0))</f>
        <v>2.1500000000000002E-2</v>
      </c>
      <c r="CJ130" s="16">
        <f>IF(ISNA(VLOOKUP(A130,'Données projet'!$A$113:$I$133,7,0)),0%,VLOOKUP(A130,'Données projet'!$A$113:$I$133,7,0))</f>
        <v>0.05</v>
      </c>
      <c r="CK130" s="21">
        <f>EXP(-LN(2)/35)*CK129+(1-EXP(-LN(2)/35))/(LN(2)/35)*CG130*CH130*VLOOKUP('Données projet'!$B$12,Paramètres!$A$1:$I$89,3,0)*0.475*44/12</f>
        <v>115.06785085730691</v>
      </c>
      <c r="CL130" s="21">
        <f>EXP(-LN(2)/25)*CL129+(1-EXP(-LN(2)/25))/(LN(2)/25)*Calculateur!CG130*Calculateur!CI130*VLOOKUP('Données projet'!$B$12,Paramètres!$A$1:$I$89,3,0)*0.475*44/12</f>
        <v>27.312398132199505</v>
      </c>
      <c r="CM130" s="21">
        <f>EXP(-LN(2)/2)*CM129+(1-EXP(-LN(2)/2))/(LN(2)/2)*CG130*CJ130*VLOOKUP('Données projet'!$B$12,Paramètres!$A$1:$I$89,3,0)*0.475*44/12</f>
        <v>6.7178962591220905</v>
      </c>
      <c r="CN130" s="22">
        <f t="shared" si="66"/>
        <v>149.0981452486285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239.26156489359892</v>
      </c>
      <c r="T131" s="59">
        <f t="shared" si="88"/>
        <v>213.97034450798111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5.0951408746817108</v>
      </c>
      <c r="AA131" s="21">
        <f>EXP(-LN(2)/25)*AA130+(1-EXP(-LN(2)/25))/(LN(2)/25)*Calculateur!V131*Calculateur!X131*VLOOKUP('Données projet'!$B$9,Paramètres!$A$1:$I$89,3,0)*0.475*44/12</f>
        <v>22.268105972754459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27.363246847436169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7.7849999999999966</v>
      </c>
      <c r="AI131" s="13">
        <f>IF('Données projet'!$A$62&gt;35,AI130+AH131-AQ130,IF(A131&lt;'Données projet'!$A$62,$AF$205^A131,IF(A131='Données projet'!$A$62,'Données projet'!$B$62,AI130+AH131-AQ130)))</f>
        <v>357.96500000000049</v>
      </c>
      <c r="AJ131" s="13">
        <f>AI131*VLOOKUP('Données projet'!$B$10,Paramètres!$A$1:$I$89,3,0)*VLOOKUP('Données projet'!$B$10,Paramètres!$A$1:$I$89,5,0)</f>
        <v>362.97651000000053</v>
      </c>
      <c r="AK131" s="13">
        <f t="shared" si="89"/>
        <v>84.228821779275577</v>
      </c>
      <c r="AL131" s="20">
        <f t="shared" si="58"/>
        <v>778.88261951557251</v>
      </c>
      <c r="AM131" s="59">
        <f t="shared" si="59"/>
        <v>1072.2159528489058</v>
      </c>
      <c r="AN131" s="59">
        <f ca="1">AVERAGE(OFFSET($AM$3,0,0,'Données projet'!$E$10+1,1))-AVERAGE(OFFSET($H$3,0,0,'Données projet'!$E$10+1,1))</f>
        <v>543.88440431478944</v>
      </c>
      <c r="AO131" s="59">
        <f t="shared" si="90"/>
        <v>342.63929463709457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44.090172336405267</v>
      </c>
      <c r="AV131" s="21">
        <f>EXP(-LN(2)/25)*AV130+(1-EXP(-LN(2)/25))/(LN(2)/25)*Calculateur!AQ131*Calculateur!AS131*VLOOKUP('Données projet'!$B$10,Paramètres!$A$1:$I$89,3,0)*0.475*44/12</f>
        <v>22.342927777732321</v>
      </c>
      <c r="AW131" s="21">
        <f>EXP(-LN(2)/2)*AW130+(1-EXP(-LN(2)/2))/(LN(2)/2)*AQ131*AT131*VLOOKUP('Données projet'!$B$10,Paramètres!$A$1:$I$89,3,0)*0.475*44/12</f>
        <v>9.6129768808229997E-4</v>
      </c>
      <c r="AX131" s="21">
        <f t="shared" si="60"/>
        <v>66.434061411825667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7.1129999999999995</v>
      </c>
      <c r="BD131" s="12">
        <f>IF('Données projet'!$A$88&gt;35,BD130+BC131-BL130,IF(A131&lt;'Données projet'!$A$88,$BA$205^A131,IF(A131='Données projet'!$A$88,'Données projet'!$B$88,BD130+BC131-BL130)))</f>
        <v>312.11800000000005</v>
      </c>
      <c r="BE131" s="13">
        <f>BD131*VLOOKUP('Données projet'!$B$11,Paramètres!$A$1:$I$89,3,0)*VLOOKUP('Données projet'!$B$11,Paramètres!$A$1:$I$89,5,0)</f>
        <v>355.43997840000003</v>
      </c>
      <c r="BF131" s="13">
        <f t="shared" si="91"/>
        <v>82.681651825128526</v>
      </c>
      <c r="BG131" s="20">
        <f t="shared" si="61"/>
        <v>763.06183930876557</v>
      </c>
      <c r="BH131" s="59">
        <f t="shared" si="62"/>
        <v>1056.3951726420989</v>
      </c>
      <c r="BI131" s="59">
        <f ca="1">AVERAGE(OFFSET($BH$3,0,0,'Données projet'!$E$11+1,1))-AVERAGE(OFFSET($H$3,0,0,'Données projet'!$E$11+1,1))</f>
        <v>593.28343396240075</v>
      </c>
      <c r="BJ131" s="59">
        <f t="shared" si="92"/>
        <v>289.66477662068695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25.468269679928632</v>
      </c>
      <c r="BQ131" s="21">
        <f>EXP(-LN(2)/25)*BQ130+(1-EXP(-LN(2)/25))/(LN(2)/25)*Calculateur!BL131*Calculateur!BN131*VLOOKUP('Données projet'!$B$11,Paramètres!$A$1:$I$89,3,0)*0.475*44/12</f>
        <v>24.297164391872322</v>
      </c>
      <c r="BR131" s="21">
        <f>EXP(-LN(2)/2)*BR130+(1-EXP(-LN(2)/2))/(LN(2)/2)*BL131*BO131*VLOOKUP('Données projet'!$B$11,Paramètres!$A$1:$I$89,3,0)*0.475*44/12</f>
        <v>0.64134868056186101</v>
      </c>
      <c r="BS131" s="22">
        <f t="shared" si="63"/>
        <v>50.406782752362815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2.4366666666666674</v>
      </c>
      <c r="BY131" s="12">
        <f>IF('Données projet'!$A$114&gt;35,BY130+BX131-CG130,IF(A131&lt;'Données projet'!$A$114,$BV$205^A131,IF(A131='Données projet'!$A$114,'Données projet'!$B$114,BY130+BX131-CG130)))</f>
        <v>107.87666666666692</v>
      </c>
      <c r="BZ131" s="13">
        <f>BY131*VLOOKUP('Données projet'!$B$12,Paramètres!$A$1:$I$89,3,0)*VLOOKUP('Données projet'!$B$12,Paramètres!$A$1:$I$89,5,0)</f>
        <v>116.11844400000027</v>
      </c>
      <c r="CA131" s="13">
        <f t="shared" si="93"/>
        <v>30.767964932307216</v>
      </c>
      <c r="CB131" s="20">
        <f t="shared" si="64"/>
        <v>255.82716222376891</v>
      </c>
      <c r="CC131" s="59">
        <f t="shared" si="65"/>
        <v>549.16049555710219</v>
      </c>
      <c r="CD131" s="59">
        <f ca="1">AVERAGE(OFFSET($CC$3,0,0,'Données projet'!$E$12+1,1))-AVERAGE(OFFSET($H$3,0,0,'Données projet'!$E$12+1,1))</f>
        <v>502.65044103360322</v>
      </c>
      <c r="CE131" s="59">
        <f t="shared" si="94"/>
        <v>321.65762891855167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112.811440486454</v>
      </c>
      <c r="CL131" s="21">
        <f>EXP(-LN(2)/25)*CL130+(1-EXP(-LN(2)/25))/(LN(2)/25)*Calculateur!CG131*Calculateur!CI131*VLOOKUP('Données projet'!$B$12,Paramètres!$A$1:$I$89,3,0)*0.475*44/12</f>
        <v>26.565539168977914</v>
      </c>
      <c r="CM131" s="21">
        <f>EXP(-LN(2)/2)*CM130+(1-EXP(-LN(2)/2))/(LN(2)/2)*CG131*CJ131*VLOOKUP('Données projet'!$B$12,Paramètres!$A$1:$I$89,3,0)*0.475*44/12</f>
        <v>4.7502700001329705</v>
      </c>
      <c r="CN131" s="22">
        <f t="shared" si="66"/>
        <v>144.12724965556487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239.26156489359892</v>
      </c>
      <c r="T132" s="59">
        <f t="shared" si="88"/>
        <v>213.97034450798111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4.9952282698582735</v>
      </c>
      <c r="AA132" s="21">
        <f>EXP(-LN(2)/25)*AA131+(1-EXP(-LN(2)/25))/(LN(2)/25)*Calculateur!V132*Calculateur!X132*VLOOKUP('Données projet'!$B$9,Paramètres!$A$1:$I$89,3,0)*0.475*44/12</f>
        <v>21.659183443900691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26.654411713758964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7.7849999999999966</v>
      </c>
      <c r="AI132" s="13">
        <f>IF('Données projet'!$A$62&gt;35,AI131+AH132-AQ131,IF(A132&lt;'Données projet'!$A$62,$AF$205^A132,IF(A132='Données projet'!$A$62,'Données projet'!$B$62,AI131+AH132-AQ131)))</f>
        <v>365.75000000000045</v>
      </c>
      <c r="AJ132" s="13">
        <f>AI132*VLOOKUP('Données projet'!$B$10,Paramètres!$A$1:$I$89,3,0)*VLOOKUP('Données projet'!$B$10,Paramètres!$A$1:$I$89,5,0)</f>
        <v>370.87050000000045</v>
      </c>
      <c r="AK132" s="13">
        <f t="shared" si="89"/>
        <v>85.845370656674874</v>
      </c>
      <c r="AL132" s="20">
        <f t="shared" ref="AL132:AL153" si="112">(AJ132+AK132)*0.475*44/12</f>
        <v>795.44680806037604</v>
      </c>
      <c r="AM132" s="59">
        <f t="shared" ref="AM132:AM195" si="113">AL132+(AD132+AE132)*44/12</f>
        <v>1088.7801413937093</v>
      </c>
      <c r="AN132" s="59">
        <f ca="1">AVERAGE(OFFSET($AM$3,0,0,'Données projet'!$E$10+1,1))-AVERAGE(OFFSET($H$3,0,0,'Données projet'!$E$10+1,1))</f>
        <v>543.88440431478944</v>
      </c>
      <c r="AO132" s="59">
        <f t="shared" si="90"/>
        <v>342.63929463709457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43.225590949238089</v>
      </c>
      <c r="AV132" s="21">
        <f>EXP(-LN(2)/25)*AV131+(1-EXP(-LN(2)/25))/(LN(2)/25)*Calculateur!AQ132*Calculateur!AS132*VLOOKUP('Données projet'!$B$10,Paramètres!$A$1:$I$89,3,0)*0.475*44/12</f>
        <v>21.731959242686724</v>
      </c>
      <c r="AW132" s="21">
        <f>EXP(-LN(2)/2)*AW131+(1-EXP(-LN(2)/2))/(LN(2)/2)*AQ132*AT132*VLOOKUP('Données projet'!$B$10,Paramètres!$A$1:$I$89,3,0)*0.475*44/12</f>
        <v>6.7974011398194494E-4</v>
      </c>
      <c r="AX132" s="21">
        <f t="shared" ref="AX132:AX153" si="114">SUM(AU132:AW132)</f>
        <v>64.95822993203879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7.1129999999999995</v>
      </c>
      <c r="BD132" s="12">
        <f>IF('Données projet'!$A$88&gt;35,BD131+BC132-BL131,IF(A132&lt;'Données projet'!$A$88,$BA$205^A132,IF(A132='Données projet'!$A$88,'Données projet'!$B$88,BD131+BC132-BL131)))</f>
        <v>319.23100000000005</v>
      </c>
      <c r="BE132" s="13">
        <f>BD132*VLOOKUP('Données projet'!$B$11,Paramètres!$A$1:$I$89,3,0)*VLOOKUP('Données projet'!$B$11,Paramètres!$A$1:$I$89,5,0)</f>
        <v>363.54026280000005</v>
      </c>
      <c r="BF132" s="13">
        <f t="shared" si="91"/>
        <v>84.344403029550918</v>
      </c>
      <c r="BG132" s="20">
        <f t="shared" ref="BG132:BG153" si="115">(BE132+BF132)*0.475*44/12</f>
        <v>780.06579298646784</v>
      </c>
      <c r="BH132" s="59">
        <f t="shared" ref="BH132:BH195" si="116">BG132+(AY132+AZ132)*44/12</f>
        <v>1073.3991263198011</v>
      </c>
      <c r="BI132" s="59">
        <f ca="1">AVERAGE(OFFSET($BH$3,0,0,'Données projet'!$E$11+1,1))-AVERAGE(OFFSET($H$3,0,0,'Données projet'!$E$11+1,1))</f>
        <v>593.28343396240075</v>
      </c>
      <c r="BJ132" s="59">
        <f t="shared" si="92"/>
        <v>289.66477662068695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24.96885244561587</v>
      </c>
      <c r="BQ132" s="21">
        <f>EXP(-LN(2)/25)*BQ131+(1-EXP(-LN(2)/25))/(LN(2)/25)*Calculateur!BL132*Calculateur!BN132*VLOOKUP('Données projet'!$B$11,Paramètres!$A$1:$I$89,3,0)*0.475*44/12</f>
        <v>23.632757153844231</v>
      </c>
      <c r="BR132" s="21">
        <f>EXP(-LN(2)/2)*BR131+(1-EXP(-LN(2)/2))/(LN(2)/2)*BL132*BO132*VLOOKUP('Données projet'!$B$11,Paramètres!$A$1:$I$89,3,0)*0.475*44/12</f>
        <v>0.45350200113033684</v>
      </c>
      <c r="BS132" s="22">
        <f t="shared" ref="BS132:BS153" si="117">SUM(BP132:BR132)</f>
        <v>49.055111600590443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2.4366666666666674</v>
      </c>
      <c r="BY132" s="12">
        <f>IF('Données projet'!$A$114&gt;35,BY131+BX132-CG131,IF(A132&lt;'Données projet'!$A$114,$BV$205^A132,IF(A132='Données projet'!$A$114,'Données projet'!$B$114,BY131+BX132-CG131)))</f>
        <v>110.31333333333359</v>
      </c>
      <c r="BZ132" s="13">
        <f>BY132*VLOOKUP('Données projet'!$B$12,Paramètres!$A$1:$I$89,3,0)*VLOOKUP('Données projet'!$B$12,Paramètres!$A$1:$I$89,5,0)</f>
        <v>118.74127200000028</v>
      </c>
      <c r="CA132" s="13">
        <f t="shared" si="93"/>
        <v>31.381241731102591</v>
      </c>
      <c r="CB132" s="20">
        <f t="shared" ref="CB132:CB153" si="118">(BZ132+CA132)*0.475*44/12</f>
        <v>261.46337808167078</v>
      </c>
      <c r="CC132" s="59">
        <f t="shared" ref="CC132:CC195" si="119">CB132+(BT132+BU132)*44/12</f>
        <v>554.7967114150041</v>
      </c>
      <c r="CD132" s="59">
        <f ca="1">AVERAGE(OFFSET($CC$3,0,0,'Données projet'!$E$12+1,1))-AVERAGE(OFFSET($H$3,0,0,'Données projet'!$E$12+1,1))</f>
        <v>502.65044103360322</v>
      </c>
      <c r="CE132" s="59">
        <f t="shared" si="94"/>
        <v>321.65762891855167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110.59927694669909</v>
      </c>
      <c r="CL132" s="21">
        <f>EXP(-LN(2)/25)*CL131+(1-EXP(-LN(2)/25))/(LN(2)/25)*Calculateur!CG132*Calculateur!CI132*VLOOKUP('Données projet'!$B$12,Paramètres!$A$1:$I$89,3,0)*0.475*44/12</f>
        <v>25.839103103381223</v>
      </c>
      <c r="CM132" s="21">
        <f>EXP(-LN(2)/2)*CM131+(1-EXP(-LN(2)/2))/(LN(2)/2)*CG132*CJ132*VLOOKUP('Données projet'!$B$12,Paramètres!$A$1:$I$89,3,0)*0.475*44/12</f>
        <v>3.3589481295610457</v>
      </c>
      <c r="CN132" s="22">
        <f t="shared" ref="CN132:CN153" si="120">SUM(CK132:CM132)</f>
        <v>139.79732817964137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239.26156489359892</v>
      </c>
      <c r="T133" s="59">
        <f t="shared" ref="T133:T196" si="142">$T$3</f>
        <v>213.97034450798111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4.897274890274752</v>
      </c>
      <c r="AA133" s="21">
        <f>EXP(-LN(2)/25)*AA132+(1-EXP(-LN(2)/25))/(LN(2)/25)*Calculateur!V133*Calculateur!X133*VLOOKUP('Données projet'!$B$9,Paramètres!$A$1:$I$89,3,0)*0.475*44/12</f>
        <v>21.066911933620272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25.964186823895023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7.7849999999999966</v>
      </c>
      <c r="AI133" s="13">
        <f>IF('Données projet'!$A$62&gt;35,AI132+AH133-AQ132,IF(A133&lt;'Données projet'!$A$62,$AF$205^A133,IF(A133='Données projet'!$A$62,'Données projet'!$B$62,AI132+AH133-AQ132)))</f>
        <v>373.53500000000042</v>
      </c>
      <c r="AJ133" s="13">
        <f>AI133*VLOOKUP('Données projet'!$B$10,Paramètres!$A$1:$I$89,3,0)*VLOOKUP('Données projet'!$B$10,Paramètres!$A$1:$I$89,5,0)</f>
        <v>378.76449000000048</v>
      </c>
      <c r="AK133" s="13">
        <f t="shared" ref="AK133:AK153" si="143">EXP(-1.0587+0.8836*LN(AJ133)+0.284)</f>
        <v>87.457919046935672</v>
      </c>
      <c r="AL133" s="20">
        <f t="shared" si="112"/>
        <v>812.00402909008051</v>
      </c>
      <c r="AM133" s="59">
        <f t="shared" si="113"/>
        <v>1105.3373624234139</v>
      </c>
      <c r="AN133" s="59">
        <f ca="1">AVERAGE(OFFSET($AM$3,0,0,'Données projet'!$E$10+1,1))-AVERAGE(OFFSET($H$3,0,0,'Données projet'!$E$10+1,1))</f>
        <v>543.88440431478944</v>
      </c>
      <c r="AO133" s="59">
        <f t="shared" ref="AO133:AO196" si="144">$AO$3</f>
        <v>342.63929463709457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42.377963475730681</v>
      </c>
      <c r="AV133" s="21">
        <f>EXP(-LN(2)/25)*AV132+(1-EXP(-LN(2)/25))/(LN(2)/25)*Calculateur!AQ133*Calculateur!AS133*VLOOKUP('Données projet'!$B$10,Paramètres!$A$1:$I$89,3,0)*0.475*44/12</f>
        <v>21.137697674361387</v>
      </c>
      <c r="AW133" s="21">
        <f>EXP(-LN(2)/2)*AW132+(1-EXP(-LN(2)/2))/(LN(2)/2)*AQ133*AT133*VLOOKUP('Données projet'!$B$10,Paramètres!$A$1:$I$89,3,0)*0.475*44/12</f>
        <v>4.8064884404115004E-4</v>
      </c>
      <c r="AX133" s="21">
        <f t="shared" si="114"/>
        <v>63.516141798936111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7.1129999999999995</v>
      </c>
      <c r="BD133" s="12">
        <f>IF('Données projet'!$A$88&gt;35,BD132+BC133-BL132,IF(A133&lt;'Données projet'!$A$88,$BA$205^A133,IF(A133='Données projet'!$A$88,'Données projet'!$B$88,BD132+BC133-BL132)))</f>
        <v>326.34400000000005</v>
      </c>
      <c r="BE133" s="13">
        <f>BD133*VLOOKUP('Données projet'!$B$11,Paramètres!$A$1:$I$89,3,0)*VLOOKUP('Données projet'!$B$11,Paramètres!$A$1:$I$89,5,0)</f>
        <v>371.64054720000007</v>
      </c>
      <c r="BF133" s="13">
        <f t="shared" ref="BF133:BF153" si="145">EXP(-1.0587+0.8836*LN(BE133)+0.284)</f>
        <v>86.002846955826783</v>
      </c>
      <c r="BG133" s="20">
        <f t="shared" si="115"/>
        <v>797.06224482139839</v>
      </c>
      <c r="BH133" s="59">
        <f t="shared" si="116"/>
        <v>1090.3955781547318</v>
      </c>
      <c r="BI133" s="59">
        <f ca="1">AVERAGE(OFFSET($BH$3,0,0,'Données projet'!$E$11+1,1))-AVERAGE(OFFSET($H$3,0,0,'Données projet'!$E$11+1,1))</f>
        <v>593.28343396240075</v>
      </c>
      <c r="BJ133" s="59">
        <f t="shared" ref="BJ133:BJ196" si="146">$BJ$3</f>
        <v>289.66477662068695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24.479228478653546</v>
      </c>
      <c r="BQ133" s="21">
        <f>EXP(-LN(2)/25)*BQ132+(1-EXP(-LN(2)/25))/(LN(2)/25)*Calculateur!BL133*Calculateur!BN133*VLOOKUP('Données projet'!$B$11,Paramètres!$A$1:$I$89,3,0)*0.475*44/12</f>
        <v>22.986518166679677</v>
      </c>
      <c r="BR133" s="21">
        <f>EXP(-LN(2)/2)*BR132+(1-EXP(-LN(2)/2))/(LN(2)/2)*BL133*BO133*VLOOKUP('Données projet'!$B$11,Paramètres!$A$1:$I$89,3,0)*0.475*44/12</f>
        <v>0.32067434028093056</v>
      </c>
      <c r="BS133" s="22">
        <f t="shared" si="117"/>
        <v>47.786420985614157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>
        <f>VLOOKUP(A133,'Données projet'!$A$113:$I$133,2,0)</f>
        <v>112.75</v>
      </c>
      <c r="BW133" s="12">
        <f>VLOOKUP(A133,'Données projet'!$A$113:$I$133,9,0)</f>
        <v>2.4366666666666674</v>
      </c>
      <c r="BX133" s="12">
        <f t="array" ref="BX133">INDEX(BW:BW,MIN(IF(ISNUMBER(BW133:BW329),ROW(BW133:BW329),"")))</f>
        <v>2.4366666666666674</v>
      </c>
      <c r="BY133" s="12">
        <f>IF('Données projet'!$A$114&gt;35,BY132+BX133-CG132,IF(A133&lt;'Données projet'!$A$114,$BV$205^A133,IF(A133='Données projet'!$A$114,'Données projet'!$B$114,BY132+BX133-CG132)))</f>
        <v>112.75000000000026</v>
      </c>
      <c r="BZ133" s="13">
        <f>BY133*VLOOKUP('Données projet'!$B$12,Paramètres!$A$1:$I$89,3,0)*VLOOKUP('Données projet'!$B$12,Paramètres!$A$1:$I$89,5,0)</f>
        <v>121.36410000000026</v>
      </c>
      <c r="CA133" s="13">
        <f t="shared" ref="CA133:CA153" si="147">EXP(-1.0587+0.8836*LN(BZ133)+0.284)</f>
        <v>31.992943616170425</v>
      </c>
      <c r="CB133" s="20">
        <f t="shared" si="118"/>
        <v>267.09685096483059</v>
      </c>
      <c r="CC133" s="59">
        <f t="shared" si="119"/>
        <v>560.43018429816391</v>
      </c>
      <c r="CD133" s="59">
        <f ca="1">AVERAGE(OFFSET($CC$3,0,0,'Données projet'!$E$12+1,1))-AVERAGE(OFFSET($H$3,0,0,'Données projet'!$E$12+1,1))</f>
        <v>502.65044103360322</v>
      </c>
      <c r="CE133" s="59">
        <f t="shared" ref="CE133:CE196" si="148">$CE$3</f>
        <v>321.65762891855167</v>
      </c>
      <c r="CF133" s="15">
        <f>IF(ISNA(VLOOKUP(A133,'Données projet'!$A$113:$I$133,3,0)),0,VLOOKUP(A133,'Données projet'!$A$113:$I$133,3,0))</f>
        <v>14</v>
      </c>
      <c r="CG133" s="15">
        <f>IF(ISNA(VLOOKUP(A133,'Données projet'!$A$113:$I$133,4,0)),0,VLOOKUP(A133,'Données projet'!$A$113:$I$133,4,0))</f>
        <v>112.75</v>
      </c>
      <c r="CH133" s="16">
        <f>IF(ISNA(VLOOKUP(A133,'Données projet'!$A$113:$I$133,5,0)),0%,VLOOKUP(A133,'Données projet'!$A$113:$I$133,5,0)*VLOOKUP('Données projet'!$B$12,Paramètres!$A$1:$I$89,7,0))</f>
        <v>0.19350000000000001</v>
      </c>
      <c r="CI133" s="16">
        <f>IF(ISNA(VLOOKUP(A133,'Données projet'!$A$113:$I$133,6,0)),0%,VLOOKUP(A133,'Données projet'!$A$113:$I$133,6,0)*VLOOKUP('Données projet'!$B$12,Paramètres!$A$1:$I$89,7,0))</f>
        <v>2.1500000000000002E-2</v>
      </c>
      <c r="CJ133" s="16">
        <f>IF(ISNA(VLOOKUP(A133,'Données projet'!$A$113:$I$133,7,0)),0%,VLOOKUP(A133,'Données projet'!$A$113:$I$133,7,0))</f>
        <v>0.05</v>
      </c>
      <c r="CK133" s="21">
        <f>EXP(-LN(2)/35)*CK132+(1-EXP(-LN(2)/35))/(LN(2)/35)*CG133*CH133*VLOOKUP('Données projet'!$B$12,Paramètres!$A$1:$I$89,3,0)*0.475*44/12</f>
        <v>134.39130740743084</v>
      </c>
      <c r="CL133" s="21">
        <f>EXP(-LN(2)/25)*CL132+(1-EXP(-LN(2)/25))/(LN(2)/25)*Calculateur!CG133*Calculateur!CI133*VLOOKUP('Données projet'!$B$12,Paramètres!$A$1:$I$89,3,0)*0.475*44/12</f>
        <v>28.005708937194935</v>
      </c>
      <c r="CM133" s="21">
        <f>EXP(-LN(2)/2)*CM132+(1-EXP(-LN(2)/2))/(LN(2)/2)*CG133*CJ133*VLOOKUP('Données projet'!$B$12,Paramètres!$A$1:$I$89,3,0)*0.475*44/12</f>
        <v>8.1006497409094749</v>
      </c>
      <c r="CN133" s="22">
        <f t="shared" si="120"/>
        <v>170.49766608553523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239.26156489359892</v>
      </c>
      <c r="T134" s="59">
        <f t="shared" si="142"/>
        <v>213.97034450798111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4.8012423167192013</v>
      </c>
      <c r="AA134" s="21">
        <f>EXP(-LN(2)/25)*AA133+(1-EXP(-LN(2)/25))/(LN(2)/25)*Calculateur!V134*Calculateur!X134*VLOOKUP('Données projet'!$B$9,Paramètres!$A$1:$I$89,3,0)*0.475*44/12</f>
        <v>20.490836118934677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25.292078435653877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7.7849999999999966</v>
      </c>
      <c r="AI134" s="13">
        <f>IF('Données projet'!$A$62&gt;35,AI133+AH134-AQ133,IF(A134&lt;'Données projet'!$A$62,$AF$205^A134,IF(A134='Données projet'!$A$62,'Données projet'!$B$62,AI133+AH134-AQ133)))</f>
        <v>381.32000000000039</v>
      </c>
      <c r="AJ134" s="13">
        <f>AI134*VLOOKUP('Données projet'!$B$10,Paramètres!$A$1:$I$89,3,0)*VLOOKUP('Données projet'!$B$10,Paramètres!$A$1:$I$89,5,0)</f>
        <v>386.6584800000004</v>
      </c>
      <c r="AK134" s="13">
        <f t="shared" si="143"/>
        <v>89.066559931617505</v>
      </c>
      <c r="AL134" s="20">
        <f t="shared" si="112"/>
        <v>828.55444454756787</v>
      </c>
      <c r="AM134" s="59">
        <f t="shared" si="113"/>
        <v>1121.8877778809012</v>
      </c>
      <c r="AN134" s="59">
        <f ca="1">AVERAGE(OFFSET($AM$3,0,0,'Données projet'!$E$10+1,1))-AVERAGE(OFFSET($H$3,0,0,'Données projet'!$E$10+1,1))</f>
        <v>543.88440431478944</v>
      </c>
      <c r="AO134" s="59">
        <f t="shared" si="144"/>
        <v>342.63929463709457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41.546957459977044</v>
      </c>
      <c r="AV134" s="21">
        <f>EXP(-LN(2)/25)*AV133+(1-EXP(-LN(2)/25))/(LN(2)/25)*Calculateur!AQ134*Calculateur!AS134*VLOOKUP('Données projet'!$B$10,Paramètres!$A$1:$I$89,3,0)*0.475*44/12</f>
        <v>20.559686219872766</v>
      </c>
      <c r="AW134" s="21">
        <f>EXP(-LN(2)/2)*AW133+(1-EXP(-LN(2)/2))/(LN(2)/2)*AQ134*AT134*VLOOKUP('Données projet'!$B$10,Paramètres!$A$1:$I$89,3,0)*0.475*44/12</f>
        <v>3.3987005699097253E-4</v>
      </c>
      <c r="AX134" s="21">
        <f t="shared" si="114"/>
        <v>62.106983549906801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7.1129999999999995</v>
      </c>
      <c r="BD134" s="12">
        <f>IF('Données projet'!$A$88&gt;35,BD133+BC134-BL133,IF(A134&lt;'Données projet'!$A$88,$BA$205^A134,IF(A134='Données projet'!$A$88,'Données projet'!$B$88,BD133+BC134-BL133)))</f>
        <v>333.45700000000005</v>
      </c>
      <c r="BE134" s="13">
        <f>BD134*VLOOKUP('Données projet'!$B$11,Paramètres!$A$1:$I$89,3,0)*VLOOKUP('Données projet'!$B$11,Paramètres!$A$1:$I$89,5,0)</f>
        <v>379.74083160000004</v>
      </c>
      <c r="BF134" s="13">
        <f t="shared" si="145"/>
        <v>87.657088297183577</v>
      </c>
      <c r="BG134" s="20">
        <f t="shared" si="115"/>
        <v>814.05137715426144</v>
      </c>
      <c r="BH134" s="59">
        <f t="shared" si="116"/>
        <v>1107.3847104875947</v>
      </c>
      <c r="BI134" s="59">
        <f ca="1">AVERAGE(OFFSET($BH$3,0,0,'Données projet'!$E$11+1,1))-AVERAGE(OFFSET($H$3,0,0,'Données projet'!$E$11+1,1))</f>
        <v>593.28343396240075</v>
      </c>
      <c r="BJ134" s="59">
        <f t="shared" si="146"/>
        <v>289.66477662068695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23.999205739042221</v>
      </c>
      <c r="BQ134" s="21">
        <f>EXP(-LN(2)/25)*BQ133+(1-EXP(-LN(2)/25))/(LN(2)/25)*Calculateur!BL134*Calculateur!BN134*VLOOKUP('Données projet'!$B$11,Paramètres!$A$1:$I$89,3,0)*0.475*44/12</f>
        <v>22.357950618603368</v>
      </c>
      <c r="BR134" s="21">
        <f>EXP(-LN(2)/2)*BR133+(1-EXP(-LN(2)/2))/(LN(2)/2)*BL134*BO134*VLOOKUP('Données projet'!$B$11,Paramètres!$A$1:$I$89,3,0)*0.475*44/12</f>
        <v>0.22675100056516848</v>
      </c>
      <c r="BS134" s="22">
        <f t="shared" si="117"/>
        <v>46.583907358210759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2.5579538487363607E-13</v>
      </c>
      <c r="BZ134" s="13">
        <f>BY134*VLOOKUP('Données projet'!$B$12,Paramètres!$A$1:$I$89,3,0)*VLOOKUP('Données projet'!$B$12,Paramètres!$A$1:$I$89,5,0)</f>
        <v>2.7533815227798186E-13</v>
      </c>
      <c r="CA134" s="13">
        <f t="shared" si="147"/>
        <v>3.6763598146902537E-12</v>
      </c>
      <c r="CB134" s="20">
        <f t="shared" si="118"/>
        <v>6.88254062580301E-12</v>
      </c>
      <c r="CC134" s="59">
        <f t="shared" si="119"/>
        <v>293.33333333334019</v>
      </c>
      <c r="CD134" s="59">
        <f ca="1">AVERAGE(OFFSET($CC$3,0,0,'Données projet'!$E$12+1,1))-AVERAGE(OFFSET($H$3,0,0,'Données projet'!$E$12+1,1))</f>
        <v>502.65044103360322</v>
      </c>
      <c r="CE134" s="59">
        <f t="shared" si="148"/>
        <v>321.65762891855167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131.75597583977472</v>
      </c>
      <c r="CL134" s="21">
        <f>EXP(-LN(2)/25)*CL133+(1-EXP(-LN(2)/25))/(LN(2)/25)*Calculateur!CG134*Calculateur!CI134*VLOOKUP('Données projet'!$B$12,Paramètres!$A$1:$I$89,3,0)*0.475*44/12</f>
        <v>27.239891353551116</v>
      </c>
      <c r="CM134" s="21">
        <f>EXP(-LN(2)/2)*CM133+(1-EXP(-LN(2)/2))/(LN(2)/2)*CG134*CJ134*VLOOKUP('Données projet'!$B$12,Paramètres!$A$1:$I$89,3,0)*0.475*44/12</f>
        <v>5.7280243638141393</v>
      </c>
      <c r="CN134" s="22">
        <f t="shared" si="120"/>
        <v>164.72389155713998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239.26156489359892</v>
      </c>
      <c r="T135" s="59">
        <f t="shared" si="142"/>
        <v>213.97034450798111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4.7070928833569887</v>
      </c>
      <c r="AA135" s="21">
        <f>EXP(-LN(2)/25)*AA134+(1-EXP(-LN(2)/25))/(LN(2)/25)*Calculateur!V135*Calculateur!X135*VLOOKUP('Données projet'!$B$9,Paramètres!$A$1:$I$89,3,0)*0.475*44/12</f>
        <v>19.93051312769617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24.637606011053158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7.7849999999999966</v>
      </c>
      <c r="AI135" s="13">
        <f>IF('Données projet'!$A$62&gt;35,AI134+AH135-AQ134,IF(A135&lt;'Données projet'!$A$62,$AF$205^A135,IF(A135='Données projet'!$A$62,'Données projet'!$B$62,AI134+AH135-AQ134)))</f>
        <v>389.10500000000036</v>
      </c>
      <c r="AJ135" s="13">
        <f>AI135*VLOOKUP('Données projet'!$B$10,Paramètres!$A$1:$I$89,3,0)*VLOOKUP('Données projet'!$B$10,Paramètres!$A$1:$I$89,5,0)</f>
        <v>394.55247000000043</v>
      </c>
      <c r="AK135" s="13">
        <f t="shared" si="143"/>
        <v>90.6713822786419</v>
      </c>
      <c r="AL135" s="20">
        <f t="shared" si="112"/>
        <v>845.09820938530208</v>
      </c>
      <c r="AM135" s="59">
        <f t="shared" si="113"/>
        <v>1138.4315427186355</v>
      </c>
      <c r="AN135" s="59">
        <f ca="1">AVERAGE(OFFSET($AM$3,0,0,'Données projet'!$E$10+1,1))-AVERAGE(OFFSET($H$3,0,0,'Données projet'!$E$10+1,1))</f>
        <v>543.88440431478944</v>
      </c>
      <c r="AO135" s="59">
        <f t="shared" si="144"/>
        <v>342.63929463709457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40.732246965328713</v>
      </c>
      <c r="AV135" s="21">
        <f>EXP(-LN(2)/25)*AV134+(1-EXP(-LN(2)/25))/(LN(2)/25)*Calculateur!AQ135*Calculateur!AS135*VLOOKUP('Données projet'!$B$10,Paramètres!$A$1:$I$89,3,0)*0.475*44/12</f>
        <v>19.997480519003439</v>
      </c>
      <c r="AW135" s="21">
        <f>EXP(-LN(2)/2)*AW134+(1-EXP(-LN(2)/2))/(LN(2)/2)*AQ135*AT135*VLOOKUP('Données projet'!$B$10,Paramètres!$A$1:$I$89,3,0)*0.475*44/12</f>
        <v>2.4032442202057507E-4</v>
      </c>
      <c r="AX135" s="21">
        <f t="shared" si="114"/>
        <v>60.729967808754175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>
        <f>VLOOKUP(A135,'Données projet'!$A$87:$I$107,2,0)</f>
        <v>340.57</v>
      </c>
      <c r="BB135" s="12">
        <f>VLOOKUP(A135,'Données projet'!$A$87:$I$107,9,0)</f>
        <v>7.1129999999999995</v>
      </c>
      <c r="BC135" s="12">
        <f t="array" ref="BC135">INDEX(BB:BB,MIN(IF(ISNUMBER(BB135:BB331),ROW(BB135:BB331),"")))</f>
        <v>7.1129999999999995</v>
      </c>
      <c r="BD135" s="12">
        <f>IF('Données projet'!$A$88&gt;35,BD134+BC135-BL134,IF(A135&lt;'Données projet'!$A$88,$BA$205^A135,IF(A135='Données projet'!$A$88,'Données projet'!$B$88,BD134+BC135-BL134)))</f>
        <v>340.57000000000005</v>
      </c>
      <c r="BE135" s="13">
        <f>BD135*VLOOKUP('Données projet'!$B$11,Paramètres!$A$1:$I$89,3,0)*VLOOKUP('Données projet'!$B$11,Paramètres!$A$1:$I$89,5,0)</f>
        <v>387.84111600000006</v>
      </c>
      <c r="BF135" s="13">
        <f t="shared" si="145"/>
        <v>89.307227025248523</v>
      </c>
      <c r="BG135" s="20">
        <f t="shared" si="115"/>
        <v>831.03336410230793</v>
      </c>
      <c r="BH135" s="59">
        <f t="shared" si="116"/>
        <v>1124.3666974356413</v>
      </c>
      <c r="BI135" s="59">
        <f ca="1">AVERAGE(OFFSET($BH$3,0,0,'Données projet'!$E$11+1,1))-AVERAGE(OFFSET($H$3,0,0,'Données projet'!$E$11+1,1))</f>
        <v>593.28343396240075</v>
      </c>
      <c r="BJ135" s="59">
        <f t="shared" si="146"/>
        <v>289.66477662068695</v>
      </c>
      <c r="BK135" s="15">
        <f>IF(ISNA(VLOOKUP(A135,'Données projet'!$A$87:$I$107,3,0)),0,VLOOKUP(A135,'Données projet'!$A$87:$I$107,3,0))</f>
        <v>9</v>
      </c>
      <c r="BL135" s="15">
        <f>IF(ISNA(VLOOKUP(A135,'Données projet'!$A$87:$I$107,4,0)),0,VLOOKUP(A135,'Données projet'!$A$87:$I$107,4,0))</f>
        <v>48.699999999999989</v>
      </c>
      <c r="BM135" s="16">
        <f>IF(ISNA(VLOOKUP(A135,'Données projet'!$A$87:$I$107,5,0)),0%,VLOOKUP(A135,'Données projet'!$A$87:$I$107,5,0)*VLOOKUP('Données projet'!$B$11,Paramètres!$A$1:$I$89,7,0))</f>
        <v>0.15049999999999999</v>
      </c>
      <c r="BN135" s="16">
        <f>IF(ISNA(VLOOKUP(A135,'Données projet'!$A$87:$I$107,6,0)),0%,VLOOKUP(A135,'Données projet'!$A$87:$I$107,6,0)*VLOOKUP('Données projet'!$B$11,Paramètres!$A$1:$I$89,7,0))</f>
        <v>8.6000000000000007E-2</v>
      </c>
      <c r="BO135" s="16">
        <f>IF(ISNA(VLOOKUP(A135,'Données projet'!$A$87:$I$107,7,0)),0%,VLOOKUP(A135,'Données projet'!$A$87:$I$107,7,0))</f>
        <v>0.1</v>
      </c>
      <c r="BP135" s="21">
        <f>EXP(-LN(2)/35)*BP134+(1-EXP(-LN(2)/35))/(LN(2)/35)*BL135*BM135*VLOOKUP('Données projet'!$B$11,Paramètres!$A$1:$I$89,3,0)*0.475*44/12</f>
        <v>32.755585529280239</v>
      </c>
      <c r="BQ135" s="21">
        <f>EXP(-LN(2)/25)*BQ134+(1-EXP(-LN(2)/25))/(LN(2)/25)*Calculateur!BL135*Calculateur!BN135*VLOOKUP('Données projet'!$B$11,Paramètres!$A$1:$I$89,3,0)*0.475*44/12</f>
        <v>26.998376656320339</v>
      </c>
      <c r="BR135" s="21">
        <f>EXP(-LN(2)/2)*BR134+(1-EXP(-LN(2)/2))/(LN(2)/2)*BL135*BO135*VLOOKUP('Données projet'!$B$11,Paramètres!$A$1:$I$89,3,0)*0.475*44/12</f>
        <v>5.3930959233577047</v>
      </c>
      <c r="BS135" s="22">
        <f t="shared" si="117"/>
        <v>65.147058108958277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2.5579538487363607E-13</v>
      </c>
      <c r="BZ135" s="13">
        <f>BY135*VLOOKUP('Données projet'!$B$12,Paramètres!$A$1:$I$89,3,0)*VLOOKUP('Données projet'!$B$12,Paramètres!$A$1:$I$89,5,0)</f>
        <v>2.7533815227798186E-13</v>
      </c>
      <c r="CA135" s="13">
        <f t="shared" si="147"/>
        <v>3.6763598146902537E-12</v>
      </c>
      <c r="CB135" s="20">
        <f t="shared" si="118"/>
        <v>6.88254062580301E-12</v>
      </c>
      <c r="CC135" s="59">
        <f t="shared" si="119"/>
        <v>293.33333333334019</v>
      </c>
      <c r="CD135" s="59">
        <f ca="1">AVERAGE(OFFSET($CC$3,0,0,'Données projet'!$E$12+1,1))-AVERAGE(OFFSET($H$3,0,0,'Données projet'!$E$12+1,1))</f>
        <v>502.65044103360322</v>
      </c>
      <c r="CE135" s="59">
        <f t="shared" si="148"/>
        <v>321.65762891855167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129.1723215167668</v>
      </c>
      <c r="CL135" s="21">
        <f>EXP(-LN(2)/25)*CL134+(1-EXP(-LN(2)/25))/(LN(2)/25)*Calculateur!CG135*Calculateur!CI135*VLOOKUP('Données projet'!$B$12,Paramètres!$A$1:$I$89,3,0)*0.475*44/12</f>
        <v>26.495015092004632</v>
      </c>
      <c r="CM135" s="21">
        <f>EXP(-LN(2)/2)*CM134+(1-EXP(-LN(2)/2))/(LN(2)/2)*CG135*CJ135*VLOOKUP('Données projet'!$B$12,Paramètres!$A$1:$I$89,3,0)*0.475*44/12</f>
        <v>4.0503248704547383</v>
      </c>
      <c r="CN135" s="22">
        <f t="shared" si="120"/>
        <v>159.71766147922617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239.26156489359892</v>
      </c>
      <c r="T136" s="59">
        <f t="shared" si="142"/>
        <v>213.97034450798111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4.6147896629575254</v>
      </c>
      <c r="AA136" s="21">
        <f>EXP(-LN(2)/25)*AA135+(1-EXP(-LN(2)/25))/(LN(2)/25)*Calculateur!V136*Calculateur!X136*VLOOKUP('Données projet'!$B$9,Paramètres!$A$1:$I$89,3,0)*0.475*44/12</f>
        <v>19.385512198119184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24.000301861076707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7.7849999999999966</v>
      </c>
      <c r="AI136" s="13">
        <f>IF('Données projet'!$A$62&gt;35,AI135+AH136-AQ135,IF(A136&lt;'Données projet'!$A$62,$AF$205^A136,IF(A136='Données projet'!$A$62,'Données projet'!$B$62,AI135+AH136-AQ135)))</f>
        <v>396.89000000000033</v>
      </c>
      <c r="AJ136" s="13">
        <f>AI136*VLOOKUP('Données projet'!$B$10,Paramètres!$A$1:$I$89,3,0)*VLOOKUP('Données projet'!$B$10,Paramètres!$A$1:$I$89,5,0)</f>
        <v>402.44646000000034</v>
      </c>
      <c r="AK136" s="13">
        <f t="shared" si="143"/>
        <v>92.272471292322678</v>
      </c>
      <c r="AL136" s="20">
        <f t="shared" si="112"/>
        <v>861.63547200079586</v>
      </c>
      <c r="AM136" s="59">
        <f t="shared" si="113"/>
        <v>1154.9688053341292</v>
      </c>
      <c r="AN136" s="59">
        <f ca="1">AVERAGE(OFFSET($AM$3,0,0,'Données projet'!$E$10+1,1))-AVERAGE(OFFSET($H$3,0,0,'Données projet'!$E$10+1,1))</f>
        <v>543.88440431478944</v>
      </c>
      <c r="AO136" s="59">
        <f t="shared" si="144"/>
        <v>342.63929463709457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39.933512446556101</v>
      </c>
      <c r="AV136" s="21">
        <f>EXP(-LN(2)/25)*AV135+(1-EXP(-LN(2)/25))/(LN(2)/25)*Calculateur!AQ136*Calculateur!AS136*VLOOKUP('Données projet'!$B$10,Paramètres!$A$1:$I$89,3,0)*0.475*44/12</f>
        <v>19.450648362589494</v>
      </c>
      <c r="AW136" s="21">
        <f>EXP(-LN(2)/2)*AW135+(1-EXP(-LN(2)/2))/(LN(2)/2)*AQ136*AT136*VLOOKUP('Données projet'!$B$10,Paramètres!$A$1:$I$89,3,0)*0.475*44/12</f>
        <v>1.6993502849548629E-4</v>
      </c>
      <c r="AX136" s="21">
        <f t="shared" si="114"/>
        <v>59.384330744174093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7.3375000000000012</v>
      </c>
      <c r="BD136" s="12">
        <f>IF('Données projet'!$A$88&gt;35,BD135+BC136-BL135,IF(A136&lt;'Données projet'!$A$88,$BA$205^A136,IF(A136='Données projet'!$A$88,'Données projet'!$B$88,BD135+BC136-BL135)))</f>
        <v>299.20750000000004</v>
      </c>
      <c r="BE136" s="13">
        <f>BD136*VLOOKUP('Données projet'!$B$11,Paramètres!$A$1:$I$89,3,0)*VLOOKUP('Données projet'!$B$11,Paramètres!$A$1:$I$89,5,0)</f>
        <v>340.73750100000001</v>
      </c>
      <c r="BF136" s="13">
        <f t="shared" si="145"/>
        <v>79.6522995773622</v>
      </c>
      <c r="BG136" s="20">
        <f t="shared" si="115"/>
        <v>732.17890267223913</v>
      </c>
      <c r="BH136" s="59">
        <f t="shared" si="116"/>
        <v>1025.5122360055725</v>
      </c>
      <c r="BI136" s="59">
        <f ca="1">AVERAGE(OFFSET($BH$3,0,0,'Données projet'!$E$11+1,1))-AVERAGE(OFFSET($H$3,0,0,'Données projet'!$E$11+1,1))</f>
        <v>593.28343396240075</v>
      </c>
      <c r="BJ136" s="59">
        <f t="shared" si="146"/>
        <v>289.66477662068695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32.113268475985471</v>
      </c>
      <c r="BQ136" s="21">
        <f>EXP(-LN(2)/25)*BQ135+(1-EXP(-LN(2)/25))/(LN(2)/25)*Calculateur!BL136*Calculateur!BN136*VLOOKUP('Données projet'!$B$11,Paramètres!$A$1:$I$89,3,0)*0.475*44/12</f>
        <v>26.260104626870337</v>
      </c>
      <c r="BR136" s="21">
        <f>EXP(-LN(2)/2)*BR135+(1-EXP(-LN(2)/2))/(LN(2)/2)*BL136*BO136*VLOOKUP('Données projet'!$B$11,Paramètres!$A$1:$I$89,3,0)*0.475*44/12</f>
        <v>3.8134946989957581</v>
      </c>
      <c r="BS136" s="22">
        <f t="shared" si="117"/>
        <v>62.186867801851569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2.5579538487363607E-13</v>
      </c>
      <c r="BZ136" s="13">
        <f>BY136*VLOOKUP('Données projet'!$B$12,Paramètres!$A$1:$I$89,3,0)*VLOOKUP('Données projet'!$B$12,Paramètres!$A$1:$I$89,5,0)</f>
        <v>2.7533815227798186E-13</v>
      </c>
      <c r="CA136" s="13">
        <f t="shared" si="147"/>
        <v>3.6763598146902537E-12</v>
      </c>
      <c r="CB136" s="20">
        <f t="shared" si="118"/>
        <v>6.88254062580301E-12</v>
      </c>
      <c r="CC136" s="59">
        <f t="shared" si="119"/>
        <v>293.33333333334019</v>
      </c>
      <c r="CD136" s="59">
        <f ca="1">AVERAGE(OFFSET($CC$3,0,0,'Données projet'!$E$12+1,1))-AVERAGE(OFFSET($H$3,0,0,'Données projet'!$E$12+1,1))</f>
        <v>502.65044103360322</v>
      </c>
      <c r="CE136" s="59">
        <f t="shared" si="148"/>
        <v>321.65762891855167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126.63933107915952</v>
      </c>
      <c r="CL136" s="21">
        <f>EXP(-LN(2)/25)*CL135+(1-EXP(-LN(2)/25))/(LN(2)/25)*Calculateur!CG136*Calculateur!CI136*VLOOKUP('Données projet'!$B$12,Paramètres!$A$1:$I$89,3,0)*0.475*44/12</f>
        <v>25.770507511001476</v>
      </c>
      <c r="CM136" s="21">
        <f>EXP(-LN(2)/2)*CM135+(1-EXP(-LN(2)/2))/(LN(2)/2)*CG136*CJ136*VLOOKUP('Données projet'!$B$12,Paramètres!$A$1:$I$89,3,0)*0.475*44/12</f>
        <v>2.8640121819070701</v>
      </c>
      <c r="CN136" s="22">
        <f t="shared" si="120"/>
        <v>155.27385077206807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239.26156489359892</v>
      </c>
      <c r="T137" s="59">
        <f t="shared" si="142"/>
        <v>213.97034450798111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4.5242964524106899</v>
      </c>
      <c r="AA137" s="21">
        <f>EXP(-LN(2)/25)*AA136+(1-EXP(-LN(2)/25))/(LN(2)/25)*Calculateur!V137*Calculateur!X137*VLOOKUP('Données projet'!$B$9,Paramètres!$A$1:$I$89,3,0)*0.475*44/12</f>
        <v>18.855414347621835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23.379710800032527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7.7849999999999966</v>
      </c>
      <c r="AI137" s="13">
        <f>IF('Données projet'!$A$62&gt;35,AI136+AH137-AQ136,IF(A137&lt;'Données projet'!$A$62,$AF$205^A137,IF(A137='Données projet'!$A$62,'Données projet'!$B$62,AI136+AH137-AQ136)))</f>
        <v>404.6750000000003</v>
      </c>
      <c r="AJ137" s="13">
        <f>AI137*VLOOKUP('Données projet'!$B$10,Paramètres!$A$1:$I$89,3,0)*VLOOKUP('Données projet'!$B$10,Paramètres!$A$1:$I$89,5,0)</f>
        <v>410.34045000000037</v>
      </c>
      <c r="AK137" s="13">
        <f t="shared" si="143"/>
        <v>93.869908643225386</v>
      </c>
      <c r="AL137" s="20">
        <f t="shared" si="112"/>
        <v>878.16637463695145</v>
      </c>
      <c r="AM137" s="59">
        <f t="shared" si="113"/>
        <v>1171.4997079702848</v>
      </c>
      <c r="AN137" s="59">
        <f ca="1">AVERAGE(OFFSET($AM$3,0,0,'Données projet'!$E$10+1,1))-AVERAGE(OFFSET($H$3,0,0,'Données projet'!$E$10+1,1))</f>
        <v>543.88440431478944</v>
      </c>
      <c r="AO137" s="59">
        <f t="shared" si="144"/>
        <v>342.63929463709457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39.150440624516669</v>
      </c>
      <c r="AV137" s="21">
        <f>EXP(-LN(2)/25)*AV136+(1-EXP(-LN(2)/25))/(LN(2)/25)*Calculateur!AQ137*Calculateur!AS137*VLOOKUP('Données projet'!$B$10,Paramètres!$A$1:$I$89,3,0)*0.475*44/12</f>
        <v>18.918769360249343</v>
      </c>
      <c r="AW137" s="21">
        <f>EXP(-LN(2)/2)*AW136+(1-EXP(-LN(2)/2))/(LN(2)/2)*AQ137*AT137*VLOOKUP('Données projet'!$B$10,Paramètres!$A$1:$I$89,3,0)*0.475*44/12</f>
        <v>1.2016221101028755E-4</v>
      </c>
      <c r="AX137" s="21">
        <f t="shared" si="114"/>
        <v>58.069330146977023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7.3375000000000012</v>
      </c>
      <c r="BD137" s="12">
        <f>IF('Données projet'!$A$88&gt;35,BD136+BC137-BL136,IF(A137&lt;'Données projet'!$A$88,$BA$205^A137,IF(A137='Données projet'!$A$88,'Données projet'!$B$88,BD136+BC137-BL136)))</f>
        <v>306.54500000000002</v>
      </c>
      <c r="BE137" s="13">
        <f>BD137*VLOOKUP('Données projet'!$B$11,Paramètres!$A$1:$I$89,3,0)*VLOOKUP('Données projet'!$B$11,Paramètres!$A$1:$I$89,5,0)</f>
        <v>349.09344600000003</v>
      </c>
      <c r="BF137" s="13">
        <f t="shared" si="145"/>
        <v>81.375814187494555</v>
      </c>
      <c r="BG137" s="20">
        <f t="shared" si="115"/>
        <v>749.73396149321979</v>
      </c>
      <c r="BH137" s="59">
        <f t="shared" si="116"/>
        <v>1043.0672948265531</v>
      </c>
      <c r="BI137" s="59">
        <f ca="1">AVERAGE(OFFSET($BH$3,0,0,'Données projet'!$E$11+1,1))-AVERAGE(OFFSET($H$3,0,0,'Données projet'!$E$11+1,1))</f>
        <v>593.28343396240075</v>
      </c>
      <c r="BJ137" s="59">
        <f t="shared" si="146"/>
        <v>289.66477662068695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31.483546868331096</v>
      </c>
      <c r="BQ137" s="21">
        <f>EXP(-LN(2)/25)*BQ136+(1-EXP(-LN(2)/25))/(LN(2)/25)*Calculateur!BL137*Calculateur!BN137*VLOOKUP('Données projet'!$B$11,Paramètres!$A$1:$I$89,3,0)*0.475*44/12</f>
        <v>25.542020684889685</v>
      </c>
      <c r="BR137" s="21">
        <f>EXP(-LN(2)/2)*BR136+(1-EXP(-LN(2)/2))/(LN(2)/2)*BL137*BO137*VLOOKUP('Données projet'!$B$11,Paramètres!$A$1:$I$89,3,0)*0.475*44/12</f>
        <v>2.6965479616788528</v>
      </c>
      <c r="BS137" s="22">
        <f t="shared" si="117"/>
        <v>59.722115514899635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2.5579538487363607E-13</v>
      </c>
      <c r="BZ137" s="13">
        <f>BY137*VLOOKUP('Données projet'!$B$12,Paramètres!$A$1:$I$89,3,0)*VLOOKUP('Données projet'!$B$12,Paramètres!$A$1:$I$89,5,0)</f>
        <v>2.7533815227798186E-13</v>
      </c>
      <c r="CA137" s="13">
        <f t="shared" si="147"/>
        <v>3.6763598146902537E-12</v>
      </c>
      <c r="CB137" s="20">
        <f t="shared" si="118"/>
        <v>6.88254062580301E-12</v>
      </c>
      <c r="CC137" s="59">
        <f t="shared" si="119"/>
        <v>293.33333333334019</v>
      </c>
      <c r="CD137" s="59">
        <f ca="1">AVERAGE(OFFSET($CC$3,0,0,'Données projet'!$E$12+1,1))-AVERAGE(OFFSET($H$3,0,0,'Données projet'!$E$12+1,1))</f>
        <v>502.65044103360322</v>
      </c>
      <c r="CE137" s="59">
        <f t="shared" si="148"/>
        <v>321.65762891855167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124.15601103906211</v>
      </c>
      <c r="CL137" s="21">
        <f>EXP(-LN(2)/25)*CL136+(1-EXP(-LN(2)/25))/(LN(2)/25)*Calculateur!CG137*Calculateur!CI137*VLOOKUP('Données projet'!$B$12,Paramètres!$A$1:$I$89,3,0)*0.475*44/12</f>
        <v>25.065811627901049</v>
      </c>
      <c r="CM137" s="21">
        <f>EXP(-LN(2)/2)*CM136+(1-EXP(-LN(2)/2))/(LN(2)/2)*CG137*CJ137*VLOOKUP('Données projet'!$B$12,Paramètres!$A$1:$I$89,3,0)*0.475*44/12</f>
        <v>2.0251624352273692</v>
      </c>
      <c r="CN137" s="22">
        <f t="shared" si="120"/>
        <v>151.24698510219054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239.26156489359892</v>
      </c>
      <c r="T138" s="59">
        <f t="shared" si="142"/>
        <v>213.97034450798111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4.4355777585272698</v>
      </c>
      <c r="AA138" s="21">
        <f>EXP(-LN(2)/25)*AA137+(1-EXP(-LN(2)/25))/(LN(2)/25)*Calculateur!V138*Calculateur!X138*VLOOKUP('Données projet'!$B$9,Paramètres!$A$1:$I$89,3,0)*0.475*44/12</f>
        <v>18.339812050722969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22.775389809250239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7.7849999999999966</v>
      </c>
      <c r="AI138" s="13">
        <f>IF('Données projet'!$A$62&gt;35,AI137+AH138-AQ137,IF(A138&lt;'Données projet'!$A$62,$AF$205^A138,IF(A138='Données projet'!$A$62,'Données projet'!$B$62,AI137+AH138-AQ137)))</f>
        <v>412.46000000000026</v>
      </c>
      <c r="AJ138" s="13">
        <f>AI138*VLOOKUP('Données projet'!$B$10,Paramètres!$A$1:$I$89,3,0)*VLOOKUP('Données projet'!$B$10,Paramètres!$A$1:$I$89,5,0)</f>
        <v>418.23444000000029</v>
      </c>
      <c r="AK138" s="13">
        <f t="shared" si="143"/>
        <v>95.463772679838996</v>
      </c>
      <c r="AL138" s="20">
        <f t="shared" si="112"/>
        <v>894.69105375072013</v>
      </c>
      <c r="AM138" s="59">
        <f t="shared" si="113"/>
        <v>1188.0243870840534</v>
      </c>
      <c r="AN138" s="59">
        <f ca="1">AVERAGE(OFFSET($AM$3,0,0,'Données projet'!$E$10+1,1))-AVERAGE(OFFSET($H$3,0,0,'Données projet'!$E$10+1,1))</f>
        <v>543.88440431478944</v>
      </c>
      <c r="AO138" s="59">
        <f t="shared" si="144"/>
        <v>342.63929463709457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38.382724363280779</v>
      </c>
      <c r="AV138" s="21">
        <f>EXP(-LN(2)/25)*AV137+(1-EXP(-LN(2)/25))/(LN(2)/25)*Calculateur!AQ138*Calculateur!AS138*VLOOKUP('Données projet'!$B$10,Paramètres!$A$1:$I$89,3,0)*0.475*44/12</f>
        <v>18.401434617198483</v>
      </c>
      <c r="AW138" s="21">
        <f>EXP(-LN(2)/2)*AW137+(1-EXP(-LN(2)/2))/(LN(2)/2)*AQ138*AT138*VLOOKUP('Données projet'!$B$10,Paramètres!$A$1:$I$89,3,0)*0.475*44/12</f>
        <v>8.4967514247743159E-5</v>
      </c>
      <c r="AX138" s="21">
        <f t="shared" si="114"/>
        <v>56.784243947993509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7.3375000000000012</v>
      </c>
      <c r="BD138" s="12">
        <f>IF('Données projet'!$A$88&gt;35,BD137+BC138-BL137,IF(A138&lt;'Données projet'!$A$88,$BA$205^A138,IF(A138='Données projet'!$A$88,'Données projet'!$B$88,BD137+BC138-BL137)))</f>
        <v>313.88249999999999</v>
      </c>
      <c r="BE138" s="13">
        <f>BD138*VLOOKUP('Données projet'!$B$11,Paramètres!$A$1:$I$89,3,0)*VLOOKUP('Données projet'!$B$11,Paramètres!$A$1:$I$89,5,0)</f>
        <v>357.44939099999999</v>
      </c>
      <c r="BF138" s="13">
        <f t="shared" si="145"/>
        <v>83.094533000636375</v>
      </c>
      <c r="BG138" s="20">
        <f t="shared" si="115"/>
        <v>767.28066763444167</v>
      </c>
      <c r="BH138" s="59">
        <f t="shared" si="116"/>
        <v>1060.6140009677749</v>
      </c>
      <c r="BI138" s="59">
        <f ca="1">AVERAGE(OFFSET($BH$3,0,0,'Données projet'!$E$11+1,1))-AVERAGE(OFFSET($H$3,0,0,'Données projet'!$E$11+1,1))</f>
        <v>593.28343396240075</v>
      </c>
      <c r="BJ138" s="59">
        <f t="shared" si="146"/>
        <v>289.66477662068695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30.866173717310566</v>
      </c>
      <c r="BQ138" s="21">
        <f>EXP(-LN(2)/25)*BQ137+(1-EXP(-LN(2)/25))/(LN(2)/25)*Calculateur!BL138*Calculateur!BN138*VLOOKUP('Données projet'!$B$11,Paramètres!$A$1:$I$89,3,0)*0.475*44/12</f>
        <v>24.843572786064886</v>
      </c>
      <c r="BR138" s="21">
        <f>EXP(-LN(2)/2)*BR137+(1-EXP(-LN(2)/2))/(LN(2)/2)*BL138*BO138*VLOOKUP('Données projet'!$B$11,Paramètres!$A$1:$I$89,3,0)*0.475*44/12</f>
        <v>1.9067473494978795</v>
      </c>
      <c r="BS138" s="22">
        <f t="shared" si="117"/>
        <v>57.616493852873333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2.5579538487363607E-13</v>
      </c>
      <c r="BZ138" s="13">
        <f>BY138*VLOOKUP('Données projet'!$B$12,Paramètres!$A$1:$I$89,3,0)*VLOOKUP('Données projet'!$B$12,Paramètres!$A$1:$I$89,5,0)</f>
        <v>2.7533815227798186E-13</v>
      </c>
      <c r="CA138" s="13">
        <f t="shared" si="147"/>
        <v>3.6763598146902537E-12</v>
      </c>
      <c r="CB138" s="20">
        <f t="shared" si="118"/>
        <v>6.88254062580301E-12</v>
      </c>
      <c r="CC138" s="59">
        <f t="shared" si="119"/>
        <v>293.33333333334019</v>
      </c>
      <c r="CD138" s="59">
        <f ca="1">AVERAGE(OFFSET($CC$3,0,0,'Données projet'!$E$12+1,1))-AVERAGE(OFFSET($H$3,0,0,'Données projet'!$E$12+1,1))</f>
        <v>502.65044103360322</v>
      </c>
      <c r="CE138" s="59">
        <f t="shared" si="148"/>
        <v>321.65762891855167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121.72138739027534</v>
      </c>
      <c r="CL138" s="21">
        <f>EXP(-LN(2)/25)*CL137+(1-EXP(-LN(2)/25))/(LN(2)/25)*Calculateur!CG138*Calculateur!CI138*VLOOKUP('Données projet'!$B$12,Paramètres!$A$1:$I$89,3,0)*0.475*44/12</f>
        <v>24.380385690782351</v>
      </c>
      <c r="CM138" s="21">
        <f>EXP(-LN(2)/2)*CM137+(1-EXP(-LN(2)/2))/(LN(2)/2)*CG138*CJ138*VLOOKUP('Données projet'!$B$12,Paramètres!$A$1:$I$89,3,0)*0.475*44/12</f>
        <v>1.432006090953535</v>
      </c>
      <c r="CN138" s="22">
        <f t="shared" si="120"/>
        <v>147.53377917201124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239.26156489359892</v>
      </c>
      <c r="T139" s="59">
        <f t="shared" si="142"/>
        <v>213.97034450798111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4.3485987841178435</v>
      </c>
      <c r="AA139" s="21">
        <f>EXP(-LN(2)/25)*AA138+(1-EXP(-LN(2)/25))/(LN(2)/25)*Calculateur!V139*Calculateur!X139*VLOOKUP('Données projet'!$B$9,Paramètres!$A$1:$I$89,3,0)*0.475*44/12</f>
        <v>17.83830892574715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22.186907709864993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7.7849999999999966</v>
      </c>
      <c r="AI139" s="13">
        <f>IF('Données projet'!$A$62&gt;35,AI138+AH139-AQ138,IF(A139&lt;'Données projet'!$A$62,$AF$205^A139,IF(A139='Données projet'!$A$62,'Données projet'!$B$62,AI138+AH139-AQ138)))</f>
        <v>420.24500000000023</v>
      </c>
      <c r="AJ139" s="13">
        <f>AI139*VLOOKUP('Données projet'!$B$10,Paramètres!$A$1:$I$89,3,0)*VLOOKUP('Données projet'!$B$10,Paramètres!$A$1:$I$89,5,0)</f>
        <v>426.12843000000026</v>
      </c>
      <c r="AK139" s="13">
        <f t="shared" si="143"/>
        <v>97.054138623813614</v>
      </c>
      <c r="AL139" s="20">
        <f t="shared" si="112"/>
        <v>911.20964035314239</v>
      </c>
      <c r="AM139" s="59">
        <f t="shared" si="113"/>
        <v>1204.5429736864758</v>
      </c>
      <c r="AN139" s="59">
        <f ca="1">AVERAGE(OFFSET($AM$3,0,0,'Données projet'!$E$10+1,1))-AVERAGE(OFFSET($H$3,0,0,'Données projet'!$E$10+1,1))</f>
        <v>543.88440431478944</v>
      </c>
      <c r="AO139" s="59">
        <f t="shared" si="144"/>
        <v>342.63929463709457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37.630062549667045</v>
      </c>
      <c r="AV139" s="21">
        <f>EXP(-LN(2)/25)*AV138+(1-EXP(-LN(2)/25))/(LN(2)/25)*Calculateur!AQ139*Calculateur!AS139*VLOOKUP('Données projet'!$B$10,Paramètres!$A$1:$I$89,3,0)*0.475*44/12</f>
        <v>17.898246419901799</v>
      </c>
      <c r="AW139" s="21">
        <f>EXP(-LN(2)/2)*AW138+(1-EXP(-LN(2)/2))/(LN(2)/2)*AQ139*AT139*VLOOKUP('Données projet'!$B$10,Paramètres!$A$1:$I$89,3,0)*0.475*44/12</f>
        <v>6.0081105505143782E-5</v>
      </c>
      <c r="AX139" s="21">
        <f t="shared" si="114"/>
        <v>55.528369050674343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7.3375000000000012</v>
      </c>
      <c r="BD139" s="12">
        <f>IF('Données projet'!$A$88&gt;35,BD138+BC139-BL138,IF(A139&lt;'Données projet'!$A$88,$BA$205^A139,IF(A139='Données projet'!$A$88,'Données projet'!$B$88,BD138+BC139-BL138)))</f>
        <v>321.21999999999997</v>
      </c>
      <c r="BE139" s="13">
        <f>BD139*VLOOKUP('Données projet'!$B$11,Paramètres!$A$1:$I$89,3,0)*VLOOKUP('Données projet'!$B$11,Paramètres!$A$1:$I$89,5,0)</f>
        <v>365.80533599999995</v>
      </c>
      <c r="BF139" s="13">
        <f t="shared" si="145"/>
        <v>84.808581028546115</v>
      </c>
      <c r="BG139" s="20">
        <f t="shared" si="115"/>
        <v>784.81923882471767</v>
      </c>
      <c r="BH139" s="59">
        <f t="shared" si="116"/>
        <v>1078.152572158051</v>
      </c>
      <c r="BI139" s="59">
        <f ca="1">AVERAGE(OFFSET($BH$3,0,0,'Données projet'!$E$11+1,1))-AVERAGE(OFFSET($H$3,0,0,'Données projet'!$E$11+1,1))</f>
        <v>593.28343396240075</v>
      </c>
      <c r="BJ139" s="59">
        <f t="shared" si="146"/>
        <v>289.66477662068695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30.26090687722111</v>
      </c>
      <c r="BQ139" s="21">
        <f>EXP(-LN(2)/25)*BQ138+(1-EXP(-LN(2)/25))/(LN(2)/25)*Calculateur!BL139*Calculateur!BN139*VLOOKUP('Données projet'!$B$11,Paramètres!$A$1:$I$89,3,0)*0.475*44/12</f>
        <v>24.164223981763229</v>
      </c>
      <c r="BR139" s="21">
        <f>EXP(-LN(2)/2)*BR138+(1-EXP(-LN(2)/2))/(LN(2)/2)*BL139*BO139*VLOOKUP('Données projet'!$B$11,Paramètres!$A$1:$I$89,3,0)*0.475*44/12</f>
        <v>1.3482739808394266</v>
      </c>
      <c r="BS139" s="22">
        <f t="shared" si="117"/>
        <v>55.773404839823769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2.5579538487363607E-13</v>
      </c>
      <c r="BZ139" s="13">
        <f>BY139*VLOOKUP('Données projet'!$B$12,Paramètres!$A$1:$I$89,3,0)*VLOOKUP('Données projet'!$B$12,Paramètres!$A$1:$I$89,5,0)</f>
        <v>2.7533815227798186E-13</v>
      </c>
      <c r="CA139" s="13">
        <f t="shared" si="147"/>
        <v>3.6763598146902537E-12</v>
      </c>
      <c r="CB139" s="20">
        <f t="shared" si="118"/>
        <v>6.88254062580301E-12</v>
      </c>
      <c r="CC139" s="59">
        <f t="shared" si="119"/>
        <v>293.33333333334019</v>
      </c>
      <c r="CD139" s="59">
        <f ca="1">AVERAGE(OFFSET($CC$3,0,0,'Données projet'!$E$12+1,1))-AVERAGE(OFFSET($H$3,0,0,'Données projet'!$E$12+1,1))</f>
        <v>502.65044103360322</v>
      </c>
      <c r="CE139" s="59">
        <f t="shared" si="148"/>
        <v>321.65762891855167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119.3345052262675</v>
      </c>
      <c r="CL139" s="21">
        <f>EXP(-LN(2)/25)*CL138+(1-EXP(-LN(2)/25))/(LN(2)/25)*Calculateur!CG139*Calculateur!CI139*VLOOKUP('Données projet'!$B$12,Paramètres!$A$1:$I$89,3,0)*0.475*44/12</f>
        <v>23.713702761959148</v>
      </c>
      <c r="CM139" s="21">
        <f>EXP(-LN(2)/2)*CM138+(1-EXP(-LN(2)/2))/(LN(2)/2)*CG139*CJ139*VLOOKUP('Données projet'!$B$12,Paramètres!$A$1:$I$89,3,0)*0.475*44/12</f>
        <v>1.0125812176136846</v>
      </c>
      <c r="CN139" s="22">
        <f t="shared" si="120"/>
        <v>144.06078920584031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239.26156489359892</v>
      </c>
      <c r="T140" s="59">
        <f t="shared" si="142"/>
        <v>213.97034450798111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4.2633254143446502</v>
      </c>
      <c r="AA140" s="21">
        <f>EXP(-LN(2)/25)*AA139+(1-EXP(-LN(2)/25))/(LN(2)/25)*Calculateur!V140*Calculateur!X140*VLOOKUP('Données projet'!$B$9,Paramètres!$A$1:$I$89,3,0)*0.475*44/12</f>
        <v>17.350519430096696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21.613844844441346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>
        <f>VLOOKUP(A140,'Données projet'!$A$61:$I$81,2,0)</f>
        <v>428.03</v>
      </c>
      <c r="AG140" s="12">
        <f>VLOOKUP(A140,'Données projet'!$A$61:$I$81,9,0)</f>
        <v>7.7849999999999966</v>
      </c>
      <c r="AH140" s="12">
        <f t="array" ref="AH140">INDEX(AG:AG,MIN(IF(ISNUMBER(AG140:AG336),ROW(AG140:AG336),"")))</f>
        <v>7.7849999999999966</v>
      </c>
      <c r="AI140" s="13">
        <f>IF('Données projet'!$A$62&gt;35,AI139+AH140-AQ139,IF(A140&lt;'Données projet'!$A$62,$AF$205^A140,IF(A140='Données projet'!$A$62,'Données projet'!$B$62,AI139+AH140-AQ139)))</f>
        <v>428.0300000000002</v>
      </c>
      <c r="AJ140" s="13">
        <f>AI140*VLOOKUP('Données projet'!$B$10,Paramètres!$A$1:$I$89,3,0)*VLOOKUP('Données projet'!$B$10,Paramètres!$A$1:$I$89,5,0)</f>
        <v>434.02242000000024</v>
      </c>
      <c r="AK140" s="13">
        <f t="shared" si="143"/>
        <v>98.64107875032343</v>
      </c>
      <c r="AL140" s="20">
        <f t="shared" si="112"/>
        <v>927.72226032348033</v>
      </c>
      <c r="AM140" s="59">
        <f t="shared" si="113"/>
        <v>1221.0555936568137</v>
      </c>
      <c r="AN140" s="59">
        <f ca="1">AVERAGE(OFFSET($AM$3,0,0,'Données projet'!$E$10+1,1))-AVERAGE(OFFSET($H$3,0,0,'Données projet'!$E$10+1,1))</f>
        <v>543.88440431478944</v>
      </c>
      <c r="AO140" s="59">
        <f t="shared" si="144"/>
        <v>342.63929463709457</v>
      </c>
      <c r="AP140" s="15">
        <f>IF(ISNA(VLOOKUP(A140,'Données projet'!$A$61:$I$81,3,0)),0,VLOOKUP(A140,'Données projet'!$A$61:$I$81,3,0))</f>
        <v>11</v>
      </c>
      <c r="AQ140" s="15">
        <f>IF(ISNA(VLOOKUP(A140,'Données projet'!$A$61:$I$81,4,0)),0,VLOOKUP(A140,'Données projet'!$A$61:$I$81,4,0))</f>
        <v>74.669999999999959</v>
      </c>
      <c r="AR140" s="16">
        <f>IF(ISNA(VLOOKUP(A140,'Données projet'!$A$61:$I$81,5,0)),0%,VLOOKUP(A140,'Données projet'!$A$61:$I$81,5,0)*VLOOKUP('Données projet'!$B$10,Paramètres!$A$1:$I$89,7,0))</f>
        <v>0.215</v>
      </c>
      <c r="AS140" s="16">
        <f>IF(ISNA(VLOOKUP(A140,'Données projet'!$A$61:$I$81,6,0)),0%,VLOOKUP(A140,'Données projet'!$A$61:$I$81,6,0)*VLOOKUP('Données projet'!$B$10,Paramètres!$A$1:$I$89,7,0))</f>
        <v>8.6000000000000007E-2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54.887898596132416</v>
      </c>
      <c r="AV140" s="21">
        <f>EXP(-LN(2)/25)*AV139+(1-EXP(-LN(2)/25))/(LN(2)/25)*Calculateur!AQ140*Calculateur!AS140*VLOOKUP('Données projet'!$B$10,Paramètres!$A$1:$I$89,3,0)*0.475*44/12</f>
        <v>24.578770946772785</v>
      </c>
      <c r="AW140" s="21">
        <f>EXP(-LN(2)/2)*AW139+(1-EXP(-LN(2)/2))/(LN(2)/2)*AQ140*AT140*VLOOKUP('Données projet'!$B$10,Paramètres!$A$1:$I$89,3,0)*0.475*44/12</f>
        <v>4.2483757123871586E-5</v>
      </c>
      <c r="AX140" s="21">
        <f t="shared" si="114"/>
        <v>79.466712026662336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7.3375000000000012</v>
      </c>
      <c r="BD140" s="12">
        <f>IF('Données projet'!$A$88&gt;35,BD139+BC140-BL139,IF(A140&lt;'Données projet'!$A$88,$BA$205^A140,IF(A140='Données projet'!$A$88,'Données projet'!$B$88,BD139+BC140-BL139)))</f>
        <v>328.55749999999995</v>
      </c>
      <c r="BE140" s="13">
        <f>BD140*VLOOKUP('Données projet'!$B$11,Paramètres!$A$1:$I$89,3,0)*VLOOKUP('Données projet'!$B$11,Paramètres!$A$1:$I$89,5,0)</f>
        <v>374.16128099999997</v>
      </c>
      <c r="BF140" s="13">
        <f t="shared" si="145"/>
        <v>86.518077245851956</v>
      </c>
      <c r="BG140" s="20">
        <f t="shared" si="115"/>
        <v>802.34988227819213</v>
      </c>
      <c r="BH140" s="59">
        <f t="shared" si="116"/>
        <v>1095.6832156115254</v>
      </c>
      <c r="BI140" s="59">
        <f ca="1">AVERAGE(OFFSET($BH$3,0,0,'Données projet'!$E$11+1,1))-AVERAGE(OFFSET($H$3,0,0,'Données projet'!$E$11+1,1))</f>
        <v>593.28343396240075</v>
      </c>
      <c r="BJ140" s="59">
        <f t="shared" si="146"/>
        <v>289.66477662068695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29.667508950689488</v>
      </c>
      <c r="BQ140" s="21">
        <f>EXP(-LN(2)/25)*BQ139+(1-EXP(-LN(2)/25))/(LN(2)/25)*Calculateur!BL140*Calculateur!BN140*VLOOKUP('Données projet'!$B$11,Paramètres!$A$1:$I$89,3,0)*0.475*44/12</f>
        <v>23.503452006240604</v>
      </c>
      <c r="BR140" s="21">
        <f>EXP(-LN(2)/2)*BR139+(1-EXP(-LN(2)/2))/(LN(2)/2)*BL140*BO140*VLOOKUP('Données projet'!$B$11,Paramètres!$A$1:$I$89,3,0)*0.475*44/12</f>
        <v>0.95337367474893986</v>
      </c>
      <c r="BS140" s="22">
        <f t="shared" si="117"/>
        <v>54.124334631679027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2.5579538487363607E-13</v>
      </c>
      <c r="BZ140" s="13">
        <f>BY140*VLOOKUP('Données projet'!$B$12,Paramètres!$A$1:$I$89,3,0)*VLOOKUP('Données projet'!$B$12,Paramètres!$A$1:$I$89,5,0)</f>
        <v>2.7533815227798186E-13</v>
      </c>
      <c r="CA140" s="13">
        <f t="shared" si="147"/>
        <v>3.6763598146902537E-12</v>
      </c>
      <c r="CB140" s="20">
        <f t="shared" si="118"/>
        <v>6.88254062580301E-12</v>
      </c>
      <c r="CC140" s="59">
        <f t="shared" si="119"/>
        <v>293.33333333334019</v>
      </c>
      <c r="CD140" s="59">
        <f ca="1">AVERAGE(OFFSET($CC$3,0,0,'Données projet'!$E$12+1,1))-AVERAGE(OFFSET($H$3,0,0,'Données projet'!$E$12+1,1))</f>
        <v>502.65044103360322</v>
      </c>
      <c r="CE140" s="59">
        <f t="shared" si="148"/>
        <v>321.65762891855167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116.99442836564147</v>
      </c>
      <c r="CL140" s="21">
        <f>EXP(-LN(2)/25)*CL139+(1-EXP(-LN(2)/25))/(LN(2)/25)*Calculateur!CG140*Calculateur!CI140*VLOOKUP('Données projet'!$B$12,Paramètres!$A$1:$I$89,3,0)*0.475*44/12</f>
        <v>23.065250312883943</v>
      </c>
      <c r="CM140" s="21">
        <f>EXP(-LN(2)/2)*CM139+(1-EXP(-LN(2)/2))/(LN(2)/2)*CG140*CJ140*VLOOKUP('Données projet'!$B$12,Paramètres!$A$1:$I$89,3,0)*0.475*44/12</f>
        <v>0.71600304547676752</v>
      </c>
      <c r="CN140" s="22">
        <f t="shared" si="120"/>
        <v>140.77568172400217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239.26156489359892</v>
      </c>
      <c r="T141" s="59">
        <f t="shared" si="142"/>
        <v>213.97034450798111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4.1797242033410891</v>
      </c>
      <c r="AA141" s="21">
        <f>EXP(-LN(2)/25)*AA140+(1-EXP(-LN(2)/25))/(LN(2)/25)*Calculateur!V141*Calculateur!X141*VLOOKUP('Données projet'!$B$9,Paramètres!$A$1:$I$89,3,0)*0.475*44/12</f>
        <v>16.876068563856542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21.05579276719763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7.5999999999999988</v>
      </c>
      <c r="AI141" s="13">
        <f>IF('Données projet'!$A$62&gt;35,AI140+AH141-AQ140,IF(A141&lt;'Données projet'!$A$62,$AF$205^A141,IF(A141='Données projet'!$A$62,'Données projet'!$B$62,AI140+AH141-AQ140)))</f>
        <v>360.96000000000026</v>
      </c>
      <c r="AJ141" s="13">
        <f>AI141*VLOOKUP('Données projet'!$B$10,Paramètres!$A$1:$I$89,3,0)*VLOOKUP('Données projet'!$B$10,Paramètres!$A$1:$I$89,5,0)</f>
        <v>366.01344000000029</v>
      </c>
      <c r="AK141" s="13">
        <f t="shared" si="143"/>
        <v>84.851210654232105</v>
      </c>
      <c r="AL141" s="20">
        <f t="shared" si="112"/>
        <v>785.25593322278803</v>
      </c>
      <c r="AM141" s="59">
        <f t="shared" si="113"/>
        <v>1078.5892665561214</v>
      </c>
      <c r="AN141" s="59">
        <f ca="1">AVERAGE(OFFSET($AM$3,0,0,'Données projet'!$E$10+1,1))-AVERAGE(OFFSET($H$3,0,0,'Données projet'!$E$10+1,1))</f>
        <v>543.88440431478944</v>
      </c>
      <c r="AO141" s="59">
        <f t="shared" si="144"/>
        <v>342.63929463709457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53.811580382974697</v>
      </c>
      <c r="AV141" s="21">
        <f>EXP(-LN(2)/25)*AV140+(1-EXP(-LN(2)/25))/(LN(2)/25)*Calculateur!AQ141*Calculateur!AS141*VLOOKUP('Données projet'!$B$10,Paramètres!$A$1:$I$89,3,0)*0.475*44/12</f>
        <v>23.906663162691896</v>
      </c>
      <c r="AW141" s="21">
        <f>EXP(-LN(2)/2)*AW140+(1-EXP(-LN(2)/2))/(LN(2)/2)*AQ141*AT141*VLOOKUP('Données projet'!$B$10,Paramètres!$A$1:$I$89,3,0)*0.475*44/12</f>
        <v>3.0040552752571898E-5</v>
      </c>
      <c r="AX141" s="21">
        <f t="shared" si="114"/>
        <v>77.718273586219354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7.3375000000000012</v>
      </c>
      <c r="BD141" s="12">
        <f>IF('Données projet'!$A$88&gt;35,BD140+BC141-BL140,IF(A141&lt;'Données projet'!$A$88,$BA$205^A141,IF(A141='Données projet'!$A$88,'Données projet'!$B$88,BD140+BC141-BL140)))</f>
        <v>335.89499999999992</v>
      </c>
      <c r="BE141" s="13">
        <f>BD141*VLOOKUP('Données projet'!$B$11,Paramètres!$A$1:$I$89,3,0)*VLOOKUP('Données projet'!$B$11,Paramètres!$A$1:$I$89,5,0)</f>
        <v>382.51722599999994</v>
      </c>
      <c r="BF141" s="13">
        <f t="shared" si="145"/>
        <v>88.223135009812083</v>
      </c>
      <c r="BG141" s="20">
        <f t="shared" si="115"/>
        <v>819.87279542542262</v>
      </c>
      <c r="BH141" s="59">
        <f t="shared" si="116"/>
        <v>1113.206128758756</v>
      </c>
      <c r="BI141" s="59">
        <f ca="1">AVERAGE(OFFSET($BH$3,0,0,'Données projet'!$E$11+1,1))-AVERAGE(OFFSET($H$3,0,0,'Données projet'!$E$11+1,1))</f>
        <v>593.28343396240075</v>
      </c>
      <c r="BJ141" s="59">
        <f t="shared" si="146"/>
        <v>289.66477662068695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29.085747195560156</v>
      </c>
      <c r="BQ141" s="21">
        <f>EXP(-LN(2)/25)*BQ140+(1-EXP(-LN(2)/25))/(LN(2)/25)*Calculateur!BL141*Calculateur!BN141*VLOOKUP('Données projet'!$B$11,Paramètres!$A$1:$I$89,3,0)*0.475*44/12</f>
        <v>22.86074887513713</v>
      </c>
      <c r="BR141" s="21">
        <f>EXP(-LN(2)/2)*BR140+(1-EXP(-LN(2)/2))/(LN(2)/2)*BL141*BO141*VLOOKUP('Données projet'!$B$11,Paramètres!$A$1:$I$89,3,0)*0.475*44/12</f>
        <v>0.67413699041971342</v>
      </c>
      <c r="BS141" s="22">
        <f t="shared" si="117"/>
        <v>52.620633061116997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2.5579538487363607E-13</v>
      </c>
      <c r="BZ141" s="13">
        <f>BY141*VLOOKUP('Données projet'!$B$12,Paramètres!$A$1:$I$89,3,0)*VLOOKUP('Données projet'!$B$12,Paramètres!$A$1:$I$89,5,0)</f>
        <v>2.7533815227798186E-13</v>
      </c>
      <c r="CA141" s="13">
        <f t="shared" si="147"/>
        <v>3.6763598146902537E-12</v>
      </c>
      <c r="CB141" s="20">
        <f t="shared" si="118"/>
        <v>6.88254062580301E-12</v>
      </c>
      <c r="CC141" s="59">
        <f t="shared" si="119"/>
        <v>293.33333333334019</v>
      </c>
      <c r="CD141" s="59">
        <f ca="1">AVERAGE(OFFSET($CC$3,0,0,'Données projet'!$E$12+1,1))-AVERAGE(OFFSET($H$3,0,0,'Données projet'!$E$12+1,1))</f>
        <v>502.65044103360322</v>
      </c>
      <c r="CE141" s="59">
        <f t="shared" si="148"/>
        <v>321.65762891855167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114.70023898494637</v>
      </c>
      <c r="CL141" s="21">
        <f>EXP(-LN(2)/25)*CL140+(1-EXP(-LN(2)/25))/(LN(2)/25)*Calculateur!CG141*Calculateur!CI141*VLOOKUP('Données projet'!$B$12,Paramètres!$A$1:$I$89,3,0)*0.475*44/12</f>
        <v>22.434529830129335</v>
      </c>
      <c r="CM141" s="21">
        <f>EXP(-LN(2)/2)*CM140+(1-EXP(-LN(2)/2))/(LN(2)/2)*CG141*CJ141*VLOOKUP('Données projet'!$B$12,Paramètres!$A$1:$I$89,3,0)*0.475*44/12</f>
        <v>0.50629060880684229</v>
      </c>
      <c r="CN141" s="22">
        <f t="shared" si="120"/>
        <v>137.64105942388252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239.26156489359892</v>
      </c>
      <c r="T142" s="59">
        <f t="shared" si="142"/>
        <v>213.97034450798111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4.0977623610936043</v>
      </c>
      <c r="AA142" s="21">
        <f>EXP(-LN(2)/25)*AA141+(1-EXP(-LN(2)/25))/(LN(2)/25)*Calculateur!V142*Calculateur!X142*VLOOKUP('Données projet'!$B$9,Paramètres!$A$1:$I$89,3,0)*0.475*44/12</f>
        <v>16.414591581504009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20.512353942597613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7.5999999999999988</v>
      </c>
      <c r="AI142" s="13">
        <f>IF('Données projet'!$A$62&gt;35,AI141+AH142-AQ141,IF(A142&lt;'Données projet'!$A$62,$AF$205^A142,IF(A142='Données projet'!$A$62,'Données projet'!$B$62,AI141+AH142-AQ141)))</f>
        <v>368.56000000000029</v>
      </c>
      <c r="AJ142" s="13">
        <f>AI142*VLOOKUP('Données projet'!$B$10,Paramètres!$A$1:$I$89,3,0)*VLOOKUP('Données projet'!$B$10,Paramètres!$A$1:$I$89,5,0)</f>
        <v>373.71984000000032</v>
      </c>
      <c r="AK142" s="13">
        <f t="shared" si="143"/>
        <v>86.427877311262861</v>
      </c>
      <c r="AL142" s="20">
        <f t="shared" si="112"/>
        <v>801.42394098378327</v>
      </c>
      <c r="AM142" s="59">
        <f t="shared" si="113"/>
        <v>1094.7572743171165</v>
      </c>
      <c r="AN142" s="59">
        <f ca="1">AVERAGE(OFFSET($AM$3,0,0,'Données projet'!$E$10+1,1))-AVERAGE(OFFSET($H$3,0,0,'Données projet'!$E$10+1,1))</f>
        <v>543.88440431478944</v>
      </c>
      <c r="AO142" s="59">
        <f t="shared" si="144"/>
        <v>342.63929463709457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52.75636811348771</v>
      </c>
      <c r="AV142" s="21">
        <f>EXP(-LN(2)/25)*AV141+(1-EXP(-LN(2)/25))/(LN(2)/25)*Calculateur!AQ142*Calculateur!AS142*VLOOKUP('Données projet'!$B$10,Paramètres!$A$1:$I$89,3,0)*0.475*44/12</f>
        <v>23.252934201311309</v>
      </c>
      <c r="AW142" s="21">
        <f>EXP(-LN(2)/2)*AW141+(1-EXP(-LN(2)/2))/(LN(2)/2)*AQ142*AT142*VLOOKUP('Données projet'!$B$10,Paramètres!$A$1:$I$89,3,0)*0.475*44/12</f>
        <v>2.1241878561935796E-5</v>
      </c>
      <c r="AX142" s="21">
        <f t="shared" si="114"/>
        <v>76.009323556677572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7.3375000000000012</v>
      </c>
      <c r="BD142" s="12">
        <f>IF('Données projet'!$A$88&gt;35,BD141+BC142-BL141,IF(A142&lt;'Données projet'!$A$88,$BA$205^A142,IF(A142='Données projet'!$A$88,'Données projet'!$B$88,BD141+BC142-BL141)))</f>
        <v>343.2324999999999</v>
      </c>
      <c r="BE142" s="13">
        <f>BD142*VLOOKUP('Données projet'!$B$11,Paramètres!$A$1:$I$89,3,0)*VLOOKUP('Données projet'!$B$11,Paramètres!$A$1:$I$89,5,0)</f>
        <v>390.8731709999999</v>
      </c>
      <c r="BF142" s="13">
        <f t="shared" si="145"/>
        <v>89.923862442362179</v>
      </c>
      <c r="BG142" s="20">
        <f t="shared" si="115"/>
        <v>837.38816657878067</v>
      </c>
      <c r="BH142" s="59">
        <f t="shared" si="116"/>
        <v>1130.721499912114</v>
      </c>
      <c r="BI142" s="59">
        <f ca="1">AVERAGE(OFFSET($BH$3,0,0,'Données projet'!$E$11+1,1))-AVERAGE(OFFSET($H$3,0,0,'Données projet'!$E$11+1,1))</f>
        <v>593.28343396240075</v>
      </c>
      <c r="BJ142" s="59">
        <f t="shared" si="146"/>
        <v>289.66477662068695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28.515393433609276</v>
      </c>
      <c r="BQ142" s="21">
        <f>EXP(-LN(2)/25)*BQ141+(1-EXP(-LN(2)/25))/(LN(2)/25)*Calculateur!BL142*Calculateur!BN142*VLOOKUP('Données projet'!$B$11,Paramètres!$A$1:$I$89,3,0)*0.475*44/12</f>
        <v>22.23562049495197</v>
      </c>
      <c r="BR142" s="21">
        <f>EXP(-LN(2)/2)*BR141+(1-EXP(-LN(2)/2))/(LN(2)/2)*BL142*BO142*VLOOKUP('Données projet'!$B$11,Paramètres!$A$1:$I$89,3,0)*0.475*44/12</f>
        <v>0.47668683737447004</v>
      </c>
      <c r="BS142" s="22">
        <f t="shared" si="117"/>
        <v>51.227700765935722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2.5579538487363607E-13</v>
      </c>
      <c r="BZ142" s="13">
        <f>BY142*VLOOKUP('Données projet'!$B$12,Paramètres!$A$1:$I$89,3,0)*VLOOKUP('Données projet'!$B$12,Paramètres!$A$1:$I$89,5,0)</f>
        <v>2.7533815227798186E-13</v>
      </c>
      <c r="CA142" s="13">
        <f t="shared" si="147"/>
        <v>3.6763598146902537E-12</v>
      </c>
      <c r="CB142" s="20">
        <f t="shared" si="118"/>
        <v>6.88254062580301E-12</v>
      </c>
      <c r="CC142" s="59">
        <f t="shared" si="119"/>
        <v>293.33333333334019</v>
      </c>
      <c r="CD142" s="59">
        <f ca="1">AVERAGE(OFFSET($CC$3,0,0,'Données projet'!$E$12+1,1))-AVERAGE(OFFSET($H$3,0,0,'Données projet'!$E$12+1,1))</f>
        <v>502.65044103360322</v>
      </c>
      <c r="CE142" s="59">
        <f t="shared" si="148"/>
        <v>321.65762891855167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112.45103725868935</v>
      </c>
      <c r="CL142" s="21">
        <f>EXP(-LN(2)/25)*CL141+(1-EXP(-LN(2)/25))/(LN(2)/25)*Calculateur!CG142*Calculateur!CI142*VLOOKUP('Données projet'!$B$12,Paramètres!$A$1:$I$89,3,0)*0.475*44/12</f>
        <v>21.821056432143799</v>
      </c>
      <c r="CM142" s="21">
        <f>EXP(-LN(2)/2)*CM141+(1-EXP(-LN(2)/2))/(LN(2)/2)*CG142*CJ142*VLOOKUP('Données projet'!$B$12,Paramètres!$A$1:$I$89,3,0)*0.475*44/12</f>
        <v>0.35800152273838376</v>
      </c>
      <c r="CN142" s="22">
        <f t="shared" si="120"/>
        <v>134.63009521357154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239.26156489359892</v>
      </c>
      <c r="T143" s="59">
        <f t="shared" si="142"/>
        <v>213.97034450798111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4.0174077405808051</v>
      </c>
      <c r="AA143" s="21">
        <f>EXP(-LN(2)/25)*AA142+(1-EXP(-LN(2)/25))/(LN(2)/25)*Calculateur!V143*Calculateur!X143*VLOOKUP('Données projet'!$B$9,Paramètres!$A$1:$I$89,3,0)*0.475*44/12</f>
        <v>15.965733711501926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19.98314145208273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7.5999999999999988</v>
      </c>
      <c r="AI143" s="13">
        <f>IF('Données projet'!$A$62&gt;35,AI142+AH143-AQ142,IF(A143&lt;'Données projet'!$A$62,$AF$205^A143,IF(A143='Données projet'!$A$62,'Données projet'!$B$62,AI142+AH143-AQ142)))</f>
        <v>376.16000000000031</v>
      </c>
      <c r="AJ143" s="13">
        <f>AI143*VLOOKUP('Données projet'!$B$10,Paramètres!$A$1:$I$89,3,0)*VLOOKUP('Données projet'!$B$10,Paramètres!$A$1:$I$89,5,0)</f>
        <v>381.42624000000035</v>
      </c>
      <c r="AK143" s="13">
        <f t="shared" si="143"/>
        <v>88.000763812612817</v>
      </c>
      <c r="AL143" s="20">
        <f t="shared" si="112"/>
        <v>817.58536497363457</v>
      </c>
      <c r="AM143" s="59">
        <f t="shared" si="113"/>
        <v>1110.9186983069678</v>
      </c>
      <c r="AN143" s="59">
        <f ca="1">AVERAGE(OFFSET($AM$3,0,0,'Données projet'!$E$10+1,1))-AVERAGE(OFFSET($H$3,0,0,'Données projet'!$E$10+1,1))</f>
        <v>543.88440431478944</v>
      </c>
      <c r="AO143" s="59">
        <f t="shared" si="144"/>
        <v>342.63929463709457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51.721847912989432</v>
      </c>
      <c r="AV143" s="21">
        <f>EXP(-LN(2)/25)*AV142+(1-EXP(-LN(2)/25))/(LN(2)/25)*Calculateur!AQ143*Calculateur!AS143*VLOOKUP('Données projet'!$B$10,Paramètres!$A$1:$I$89,3,0)*0.475*44/12</f>
        <v>22.617081492757787</v>
      </c>
      <c r="AW143" s="21">
        <f>EXP(-LN(2)/2)*AW142+(1-EXP(-LN(2)/2))/(LN(2)/2)*AQ143*AT143*VLOOKUP('Données projet'!$B$10,Paramètres!$A$1:$I$89,3,0)*0.475*44/12</f>
        <v>1.5020276376285951E-5</v>
      </c>
      <c r="AX143" s="21">
        <f t="shared" si="114"/>
        <v>74.338944426023602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7.3375000000000012</v>
      </c>
      <c r="BD143" s="12">
        <f>IF('Données projet'!$A$88&gt;35,BD142+BC143-BL142,IF(A143&lt;'Données projet'!$A$88,$BA$205^A143,IF(A143='Données projet'!$A$88,'Données projet'!$B$88,BD142+BC143-BL142)))</f>
        <v>350.56999999999988</v>
      </c>
      <c r="BE143" s="13">
        <f>BD143*VLOOKUP('Données projet'!$B$11,Paramètres!$A$1:$I$89,3,0)*VLOOKUP('Données projet'!$B$11,Paramètres!$A$1:$I$89,5,0)</f>
        <v>399.22911599999986</v>
      </c>
      <c r="BF143" s="13">
        <f t="shared" si="145"/>
        <v>91.620362778572016</v>
      </c>
      <c r="BG143" s="20">
        <f t="shared" si="115"/>
        <v>854.89617553934602</v>
      </c>
      <c r="BH143" s="59">
        <f t="shared" si="116"/>
        <v>1148.2295088726794</v>
      </c>
      <c r="BI143" s="59">
        <f ca="1">AVERAGE(OFFSET($BH$3,0,0,'Données projet'!$E$11+1,1))-AVERAGE(OFFSET($H$3,0,0,'Données projet'!$E$11+1,1))</f>
        <v>593.28343396240075</v>
      </c>
      <c r="BJ143" s="59">
        <f t="shared" si="146"/>
        <v>289.66477662068695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27.95622396104881</v>
      </c>
      <c r="BQ143" s="21">
        <f>EXP(-LN(2)/25)*BQ142+(1-EXP(-LN(2)/25))/(LN(2)/25)*Calculateur!BL143*Calculateur!BN143*VLOOKUP('Données projet'!$B$11,Paramètres!$A$1:$I$89,3,0)*0.475*44/12</f>
        <v>21.627586283197047</v>
      </c>
      <c r="BR143" s="21">
        <f>EXP(-LN(2)/2)*BR142+(1-EXP(-LN(2)/2))/(LN(2)/2)*BL143*BO143*VLOOKUP('Données projet'!$B$11,Paramètres!$A$1:$I$89,3,0)*0.475*44/12</f>
        <v>0.33706849520985677</v>
      </c>
      <c r="BS143" s="22">
        <f t="shared" si="117"/>
        <v>49.920878739455709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2.5579538487363607E-13</v>
      </c>
      <c r="BZ143" s="13">
        <f>BY143*VLOOKUP('Données projet'!$B$12,Paramètres!$A$1:$I$89,3,0)*VLOOKUP('Données projet'!$B$12,Paramètres!$A$1:$I$89,5,0)</f>
        <v>2.7533815227798186E-13</v>
      </c>
      <c r="CA143" s="13">
        <f t="shared" si="147"/>
        <v>3.6763598146902537E-12</v>
      </c>
      <c r="CB143" s="20">
        <f t="shared" si="118"/>
        <v>6.88254062580301E-12</v>
      </c>
      <c r="CC143" s="59">
        <f t="shared" si="119"/>
        <v>293.33333333334019</v>
      </c>
      <c r="CD143" s="59">
        <f ca="1">AVERAGE(OFFSET($CC$3,0,0,'Données projet'!$E$12+1,1))-AVERAGE(OFFSET($H$3,0,0,'Données projet'!$E$12+1,1))</f>
        <v>502.65044103360322</v>
      </c>
      <c r="CE143" s="59">
        <f t="shared" si="148"/>
        <v>321.65762891855167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110.24594100640664</v>
      </c>
      <c r="CL143" s="21">
        <f>EXP(-LN(2)/25)*CL142+(1-EXP(-LN(2)/25))/(LN(2)/25)*Calculateur!CG143*Calculateur!CI143*VLOOKUP('Données projet'!$B$12,Paramètres!$A$1:$I$89,3,0)*0.475*44/12</f>
        <v>21.224358496487341</v>
      </c>
      <c r="CM143" s="21">
        <f>EXP(-LN(2)/2)*CM142+(1-EXP(-LN(2)/2))/(LN(2)/2)*CG143*CJ143*VLOOKUP('Données projet'!$B$12,Paramètres!$A$1:$I$89,3,0)*0.475*44/12</f>
        <v>0.25314530440342115</v>
      </c>
      <c r="CN143" s="22">
        <f t="shared" si="120"/>
        <v>131.7234448072974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239.26156489359892</v>
      </c>
      <c r="T144" s="59">
        <f t="shared" si="142"/>
        <v>213.97034450798111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3.9386288251647827</v>
      </c>
      <c r="AA144" s="21">
        <f>EXP(-LN(2)/25)*AA143+(1-EXP(-LN(2)/25))/(LN(2)/25)*Calculateur!V144*Calculateur!X144*VLOOKUP('Données projet'!$B$9,Paramètres!$A$1:$I$89,3,0)*0.475*44/12</f>
        <v>15.529149883559461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19.467778708724243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7.5999999999999988</v>
      </c>
      <c r="AI144" s="13">
        <f>IF('Données projet'!$A$62&gt;35,AI143+AH144-AQ143,IF(A144&lt;'Données projet'!$A$62,$AF$205^A144,IF(A144='Données projet'!$A$62,'Données projet'!$B$62,AI143+AH144-AQ143)))</f>
        <v>383.76000000000033</v>
      </c>
      <c r="AJ144" s="13">
        <f>AI144*VLOOKUP('Données projet'!$B$10,Paramètres!$A$1:$I$89,3,0)*VLOOKUP('Données projet'!$B$10,Paramètres!$A$1:$I$89,5,0)</f>
        <v>389.13264000000032</v>
      </c>
      <c r="AK144" s="13">
        <f t="shared" si="143"/>
        <v>89.56995533473642</v>
      </c>
      <c r="AL144" s="20">
        <f t="shared" si="112"/>
        <v>833.74035354133321</v>
      </c>
      <c r="AM144" s="59">
        <f t="shared" si="113"/>
        <v>1127.0736868746665</v>
      </c>
      <c r="AN144" s="59">
        <f ca="1">AVERAGE(OFFSET($AM$3,0,0,'Données projet'!$E$10+1,1))-AVERAGE(OFFSET($H$3,0,0,'Données projet'!$E$10+1,1))</f>
        <v>543.88440431478944</v>
      </c>
      <c r="AO144" s="59">
        <f t="shared" si="144"/>
        <v>342.63929463709457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50.707614022627908</v>
      </c>
      <c r="AV144" s="21">
        <f>EXP(-LN(2)/25)*AV143+(1-EXP(-LN(2)/25))/(LN(2)/25)*Calculateur!AQ144*Calculateur!AS144*VLOOKUP('Données projet'!$B$10,Paramètres!$A$1:$I$89,3,0)*0.475*44/12</f>
        <v>21.998616209957703</v>
      </c>
      <c r="AW144" s="21">
        <f>EXP(-LN(2)/2)*AW143+(1-EXP(-LN(2)/2))/(LN(2)/2)*AQ144*AT144*VLOOKUP('Données projet'!$B$10,Paramètres!$A$1:$I$89,3,0)*0.475*44/12</f>
        <v>1.06209392809679E-5</v>
      </c>
      <c r="AX144" s="21">
        <f t="shared" si="114"/>
        <v>72.706240853524889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7.3375000000000012</v>
      </c>
      <c r="BD144" s="12">
        <f>IF('Données projet'!$A$88&gt;35,BD143+BC144-BL143,IF(A144&lt;'Données projet'!$A$88,$BA$205^A144,IF(A144='Données projet'!$A$88,'Données projet'!$B$88,BD143+BC144-BL143)))</f>
        <v>357.90749999999986</v>
      </c>
      <c r="BE144" s="13">
        <f>BD144*VLOOKUP('Données projet'!$B$11,Paramètres!$A$1:$I$89,3,0)*VLOOKUP('Données projet'!$B$11,Paramètres!$A$1:$I$89,5,0)</f>
        <v>407.58506099999983</v>
      </c>
      <c r="BF144" s="13">
        <f t="shared" si="145"/>
        <v>93.312734685105752</v>
      </c>
      <c r="BG144" s="20">
        <f t="shared" si="115"/>
        <v>872.39699415155883</v>
      </c>
      <c r="BH144" s="59">
        <f t="shared" si="116"/>
        <v>1165.7303274848921</v>
      </c>
      <c r="BI144" s="59">
        <f ca="1">AVERAGE(OFFSET($BH$3,0,0,'Données projet'!$E$11+1,1))-AVERAGE(OFFSET($H$3,0,0,'Données projet'!$E$11+1,1))</f>
        <v>593.28343396240075</v>
      </c>
      <c r="BJ144" s="59">
        <f t="shared" si="146"/>
        <v>289.66477662068695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27.408019460785553</v>
      </c>
      <c r="BQ144" s="21">
        <f>EXP(-LN(2)/25)*BQ143+(1-EXP(-LN(2)/25))/(LN(2)/25)*Calculateur!BL144*Calculateur!BN144*VLOOKUP('Données projet'!$B$11,Paramètres!$A$1:$I$89,3,0)*0.475*44/12</f>
        <v>21.036178798937691</v>
      </c>
      <c r="BR144" s="21">
        <f>EXP(-LN(2)/2)*BR143+(1-EXP(-LN(2)/2))/(LN(2)/2)*BL144*BO144*VLOOKUP('Données projet'!$B$11,Paramètres!$A$1:$I$89,3,0)*0.475*44/12</f>
        <v>0.23834341868723505</v>
      </c>
      <c r="BS144" s="22">
        <f t="shared" si="117"/>
        <v>48.68254167841048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2.5579538487363607E-13</v>
      </c>
      <c r="BZ144" s="13">
        <f>BY144*VLOOKUP('Données projet'!$B$12,Paramètres!$A$1:$I$89,3,0)*VLOOKUP('Données projet'!$B$12,Paramètres!$A$1:$I$89,5,0)</f>
        <v>2.7533815227798186E-13</v>
      </c>
      <c r="CA144" s="13">
        <f t="shared" si="147"/>
        <v>3.6763598146902537E-12</v>
      </c>
      <c r="CB144" s="20">
        <f t="shared" si="118"/>
        <v>6.88254062580301E-12</v>
      </c>
      <c r="CC144" s="59">
        <f t="shared" si="119"/>
        <v>293.33333333334019</v>
      </c>
      <c r="CD144" s="59">
        <f ca="1">AVERAGE(OFFSET($CC$3,0,0,'Données projet'!$E$12+1,1))-AVERAGE(OFFSET($H$3,0,0,'Données projet'!$E$12+1,1))</f>
        <v>502.65044103360322</v>
      </c>
      <c r="CE144" s="59">
        <f t="shared" si="148"/>
        <v>321.65762891855167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108.08408534665529</v>
      </c>
      <c r="CL144" s="21">
        <f>EXP(-LN(2)/25)*CL143+(1-EXP(-LN(2)/25))/(LN(2)/25)*Calculateur!CG144*Calculateur!CI144*VLOOKUP('Données projet'!$B$12,Paramètres!$A$1:$I$89,3,0)*0.475*44/12</f>
        <v>20.643977297260388</v>
      </c>
      <c r="CM144" s="21">
        <f>EXP(-LN(2)/2)*CM143+(1-EXP(-LN(2)/2))/(LN(2)/2)*CG144*CJ144*VLOOKUP('Données projet'!$B$12,Paramètres!$A$1:$I$89,3,0)*0.475*44/12</f>
        <v>0.17900076136919188</v>
      </c>
      <c r="CN144" s="22">
        <f t="shared" si="120"/>
        <v>128.90706340528487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239.26156489359892</v>
      </c>
      <c r="T145" s="59">
        <f t="shared" si="142"/>
        <v>213.97034450798111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3.8613947162296749</v>
      </c>
      <c r="AA145" s="21">
        <f>EXP(-LN(2)/25)*AA144+(1-EXP(-LN(2)/25))/(LN(2)/25)*Calculateur!V145*Calculateur!X145*VLOOKUP('Données projet'!$B$9,Paramètres!$A$1:$I$89,3,0)*0.475*44/12</f>
        <v>15.104504463351027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18.965899179580703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7.5999999999999988</v>
      </c>
      <c r="AI145" s="13">
        <f>IF('Données projet'!$A$62&gt;35,AI144+AH145-AQ144,IF(A145&lt;'Données projet'!$A$62,$AF$205^A145,IF(A145='Données projet'!$A$62,'Données projet'!$B$62,AI144+AH145-AQ144)))</f>
        <v>391.36000000000035</v>
      </c>
      <c r="AJ145" s="13">
        <f>AI145*VLOOKUP('Données projet'!$B$10,Paramètres!$A$1:$I$89,3,0)*VLOOKUP('Données projet'!$B$10,Paramètres!$A$1:$I$89,5,0)</f>
        <v>396.83904000000041</v>
      </c>
      <c r="AK145" s="13">
        <f t="shared" si="143"/>
        <v>91.135533487476053</v>
      </c>
      <c r="AL145" s="20">
        <f t="shared" si="112"/>
        <v>849.88904882402142</v>
      </c>
      <c r="AM145" s="59">
        <f t="shared" si="113"/>
        <v>1143.2223821573548</v>
      </c>
      <c r="AN145" s="59">
        <f ca="1">AVERAGE(OFFSET($AM$3,0,0,'Données projet'!$E$10+1,1))-AVERAGE(OFFSET($H$3,0,0,'Données projet'!$E$10+1,1))</f>
        <v>543.88440431478944</v>
      </c>
      <c r="AO145" s="59">
        <f t="shared" si="144"/>
        <v>342.63929463709457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49.713268640234787</v>
      </c>
      <c r="AV145" s="21">
        <f>EXP(-LN(2)/25)*AV144+(1-EXP(-LN(2)/25))/(LN(2)/25)*Calculateur!AQ145*Calculateur!AS145*VLOOKUP('Données projet'!$B$10,Paramètres!$A$1:$I$89,3,0)*0.475*44/12</f>
        <v>21.397062892839461</v>
      </c>
      <c r="AW145" s="21">
        <f>EXP(-LN(2)/2)*AW144+(1-EXP(-LN(2)/2))/(LN(2)/2)*AQ145*AT145*VLOOKUP('Données projet'!$B$10,Paramètres!$A$1:$I$89,3,0)*0.475*44/12</f>
        <v>7.510138188142977E-6</v>
      </c>
      <c r="AX145" s="21">
        <f t="shared" si="114"/>
        <v>71.110339043212434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7.3375000000000012</v>
      </c>
      <c r="BD145" s="12">
        <f>IF('Données projet'!$A$88&gt;35,BD144+BC145-BL144,IF(A145&lt;'Données projet'!$A$88,$BA$205^A145,IF(A145='Données projet'!$A$88,'Données projet'!$B$88,BD144+BC145-BL144)))</f>
        <v>365.24499999999983</v>
      </c>
      <c r="BE145" s="13">
        <f>BD145*VLOOKUP('Données projet'!$B$11,Paramètres!$A$1:$I$89,3,0)*VLOOKUP('Données projet'!$B$11,Paramètres!$A$1:$I$89,5,0)</f>
        <v>415.94100599999985</v>
      </c>
      <c r="BF145" s="13">
        <f t="shared" si="145"/>
        <v>95.001072551829481</v>
      </c>
      <c r="BG145" s="20">
        <f t="shared" si="115"/>
        <v>889.89078681110277</v>
      </c>
      <c r="BH145" s="59">
        <f t="shared" si="116"/>
        <v>1183.224120144436</v>
      </c>
      <c r="BI145" s="59">
        <f ca="1">AVERAGE(OFFSET($BH$3,0,0,'Données projet'!$E$11+1,1))-AVERAGE(OFFSET($H$3,0,0,'Données projet'!$E$11+1,1))</f>
        <v>593.28343396240075</v>
      </c>
      <c r="BJ145" s="59">
        <f t="shared" si="146"/>
        <v>289.66477662068695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26.870564916400728</v>
      </c>
      <c r="BQ145" s="21">
        <f>EXP(-LN(2)/25)*BQ144+(1-EXP(-LN(2)/25))/(LN(2)/25)*Calculateur!BL145*Calculateur!BN145*VLOOKUP('Données projet'!$B$11,Paramètres!$A$1:$I$89,3,0)*0.475*44/12</f>
        <v>20.460943383436174</v>
      </c>
      <c r="BR145" s="21">
        <f>EXP(-LN(2)/2)*BR144+(1-EXP(-LN(2)/2))/(LN(2)/2)*BL145*BO145*VLOOKUP('Données projet'!$B$11,Paramètres!$A$1:$I$89,3,0)*0.475*44/12</f>
        <v>0.16853424760492841</v>
      </c>
      <c r="BS145" s="22">
        <f t="shared" si="117"/>
        <v>47.500042547441829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2.5579538487363607E-13</v>
      </c>
      <c r="BZ145" s="13">
        <f>BY145*VLOOKUP('Données projet'!$B$12,Paramètres!$A$1:$I$89,3,0)*VLOOKUP('Données projet'!$B$12,Paramètres!$A$1:$I$89,5,0)</f>
        <v>2.7533815227798186E-13</v>
      </c>
      <c r="CA145" s="13">
        <f t="shared" si="147"/>
        <v>3.6763598146902537E-12</v>
      </c>
      <c r="CB145" s="20">
        <f t="shared" si="118"/>
        <v>6.88254062580301E-12</v>
      </c>
      <c r="CC145" s="59">
        <f t="shared" si="119"/>
        <v>293.33333333334019</v>
      </c>
      <c r="CD145" s="59">
        <f ca="1">AVERAGE(OFFSET($CC$3,0,0,'Données projet'!$E$12+1,1))-AVERAGE(OFFSET($H$3,0,0,'Données projet'!$E$12+1,1))</f>
        <v>502.65044103360322</v>
      </c>
      <c r="CE145" s="59">
        <f t="shared" si="148"/>
        <v>321.65762891855167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105.96462235778991</v>
      </c>
      <c r="CL145" s="21">
        <f>EXP(-LN(2)/25)*CL144+(1-EXP(-LN(2)/25))/(LN(2)/25)*Calculateur!CG145*Calculateur!CI145*VLOOKUP('Données projet'!$B$12,Paramètres!$A$1:$I$89,3,0)*0.475*44/12</f>
        <v>20.07946665244722</v>
      </c>
      <c r="CM145" s="21">
        <f>EXP(-LN(2)/2)*CM144+(1-EXP(-LN(2)/2))/(LN(2)/2)*CG145*CJ145*VLOOKUP('Données projet'!$B$12,Paramètres!$A$1:$I$89,3,0)*0.475*44/12</f>
        <v>0.12657265220171057</v>
      </c>
      <c r="CN145" s="22">
        <f t="shared" si="120"/>
        <v>126.17066166243885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239.26156489359892</v>
      </c>
      <c r="T146" s="59">
        <f t="shared" si="142"/>
        <v>213.97034450798111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3.7856751210626296</v>
      </c>
      <c r="AA146" s="21">
        <f>EXP(-LN(2)/25)*AA145+(1-EXP(-LN(2)/25))/(LN(2)/25)*Calculateur!V146*Calculateur!X146*VLOOKUP('Données projet'!$B$9,Paramètres!$A$1:$I$89,3,0)*0.475*44/12</f>
        <v>14.691470994489325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18.477146115551953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7.5999999999999988</v>
      </c>
      <c r="AI146" s="13">
        <f>IF('Données projet'!$A$62&gt;35,AI145+AH146-AQ145,IF(A146&lt;'Données projet'!$A$62,$AF$205^A146,IF(A146='Données projet'!$A$62,'Données projet'!$B$62,AI145+AH146-AQ145)))</f>
        <v>398.96000000000038</v>
      </c>
      <c r="AJ146" s="13">
        <f>AI146*VLOOKUP('Données projet'!$B$10,Paramètres!$A$1:$I$89,3,0)*VLOOKUP('Données projet'!$B$10,Paramètres!$A$1:$I$89,5,0)</f>
        <v>404.54544000000038</v>
      </c>
      <c r="AK146" s="13">
        <f t="shared" si="143"/>
        <v>92.697576529719683</v>
      </c>
      <c r="AL146" s="20">
        <f t="shared" si="112"/>
        <v>866.03158712259574</v>
      </c>
      <c r="AM146" s="59">
        <f t="shared" si="113"/>
        <v>1159.364920455929</v>
      </c>
      <c r="AN146" s="59">
        <f ca="1">AVERAGE(OFFSET($AM$3,0,0,'Données projet'!$E$10+1,1))-AVERAGE(OFFSET($H$3,0,0,'Données projet'!$E$10+1,1))</f>
        <v>543.88440431478944</v>
      </c>
      <c r="AO146" s="59">
        <f t="shared" si="144"/>
        <v>342.63929463709457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48.738421764299595</v>
      </c>
      <c r="AV146" s="21">
        <f>EXP(-LN(2)/25)*AV145+(1-EXP(-LN(2)/25))/(LN(2)/25)*Calculateur!AQ146*Calculateur!AS146*VLOOKUP('Données projet'!$B$10,Paramètres!$A$1:$I$89,3,0)*0.475*44/12</f>
        <v>20.81195908281213</v>
      </c>
      <c r="AW146" s="21">
        <f>EXP(-LN(2)/2)*AW145+(1-EXP(-LN(2)/2))/(LN(2)/2)*AQ146*AT146*VLOOKUP('Données projet'!$B$10,Paramètres!$A$1:$I$89,3,0)*0.475*44/12</f>
        <v>5.3104696404839508E-6</v>
      </c>
      <c r="AX146" s="21">
        <f t="shared" si="114"/>
        <v>69.550386157581372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7.3375000000000012</v>
      </c>
      <c r="BD146" s="12">
        <f>IF('Données projet'!$A$88&gt;35,BD145+BC146-BL145,IF(A146&lt;'Données projet'!$A$88,$BA$205^A146,IF(A146='Données projet'!$A$88,'Données projet'!$B$88,BD145+BC146-BL145)))</f>
        <v>372.58249999999981</v>
      </c>
      <c r="BE146" s="13">
        <f>BD146*VLOOKUP('Données projet'!$B$11,Paramètres!$A$1:$I$89,3,0)*VLOOKUP('Données projet'!$B$11,Paramètres!$A$1:$I$89,5,0)</f>
        <v>424.29695099999975</v>
      </c>
      <c r="BF146" s="13">
        <f t="shared" si="145"/>
        <v>96.685466759324626</v>
      </c>
      <c r="BG146" s="20">
        <f t="shared" si="115"/>
        <v>907.37771093082313</v>
      </c>
      <c r="BH146" s="59">
        <f t="shared" si="116"/>
        <v>1200.7110442641565</v>
      </c>
      <c r="BI146" s="59">
        <f ca="1">AVERAGE(OFFSET($BH$3,0,0,'Données projet'!$E$11+1,1))-AVERAGE(OFFSET($H$3,0,0,'Données projet'!$E$11+1,1))</f>
        <v>593.28343396240075</v>
      </c>
      <c r="BJ146" s="59">
        <f t="shared" si="146"/>
        <v>289.66477662068695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26.343649527816385</v>
      </c>
      <c r="BQ146" s="21">
        <f>EXP(-LN(2)/25)*BQ145+(1-EXP(-LN(2)/25))/(LN(2)/25)*Calculateur!BL146*Calculateur!BN146*VLOOKUP('Données projet'!$B$11,Paramètres!$A$1:$I$89,3,0)*0.475*44/12</f>
        <v>19.901437810621864</v>
      </c>
      <c r="BR146" s="21">
        <f>EXP(-LN(2)/2)*BR145+(1-EXP(-LN(2)/2))/(LN(2)/2)*BL146*BO146*VLOOKUP('Données projet'!$B$11,Paramètres!$A$1:$I$89,3,0)*0.475*44/12</f>
        <v>0.11917170934361754</v>
      </c>
      <c r="BS146" s="22">
        <f t="shared" si="117"/>
        <v>46.364259047781871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2.5579538487363607E-13</v>
      </c>
      <c r="BZ146" s="13">
        <f>BY146*VLOOKUP('Données projet'!$B$12,Paramètres!$A$1:$I$89,3,0)*VLOOKUP('Données projet'!$B$12,Paramètres!$A$1:$I$89,5,0)</f>
        <v>2.7533815227798186E-13</v>
      </c>
      <c r="CA146" s="13">
        <f t="shared" si="147"/>
        <v>3.6763598146902537E-12</v>
      </c>
      <c r="CB146" s="20">
        <f t="shared" si="118"/>
        <v>6.88254062580301E-12</v>
      </c>
      <c r="CC146" s="59">
        <f t="shared" si="119"/>
        <v>293.33333333334019</v>
      </c>
      <c r="CD146" s="59">
        <f ca="1">AVERAGE(OFFSET($CC$3,0,0,'Données projet'!$E$12+1,1))-AVERAGE(OFFSET($H$3,0,0,'Données projet'!$E$12+1,1))</f>
        <v>502.65044103360322</v>
      </c>
      <c r="CE146" s="59">
        <f t="shared" si="148"/>
        <v>321.65762891855167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103.8867207453914</v>
      </c>
      <c r="CL146" s="21">
        <f>EXP(-LN(2)/25)*CL145+(1-EXP(-LN(2)/25))/(LN(2)/25)*Calculateur!CG146*Calculateur!CI146*VLOOKUP('Données projet'!$B$12,Paramètres!$A$1:$I$89,3,0)*0.475*44/12</f>
        <v>19.530392580902792</v>
      </c>
      <c r="CM146" s="21">
        <f>EXP(-LN(2)/2)*CM145+(1-EXP(-LN(2)/2))/(LN(2)/2)*CG146*CJ146*VLOOKUP('Données projet'!$B$12,Paramètres!$A$1:$I$89,3,0)*0.475*44/12</f>
        <v>8.950038068459594E-2</v>
      </c>
      <c r="CN146" s="22">
        <f t="shared" si="120"/>
        <v>123.50661370697878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239.26156489359892</v>
      </c>
      <c r="T147" s="59">
        <f t="shared" si="142"/>
        <v>213.97034450798111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3.711440340972417</v>
      </c>
      <c r="AA147" s="21">
        <f>EXP(-LN(2)/25)*AA146+(1-EXP(-LN(2)/25))/(LN(2)/25)*Calculateur!V147*Calculateur!X147*VLOOKUP('Données projet'!$B$9,Paramètres!$A$1:$I$89,3,0)*0.475*44/12</f>
        <v>14.289731947554133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18.001172288526551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7.5999999999999988</v>
      </c>
      <c r="AI147" s="13">
        <f>IF('Données projet'!$A$62&gt;35,AI146+AH147-AQ146,IF(A147&lt;'Données projet'!$A$62,$AF$205^A147,IF(A147='Données projet'!$A$62,'Données projet'!$B$62,AI146+AH147-AQ146)))</f>
        <v>406.5600000000004</v>
      </c>
      <c r="AJ147" s="13">
        <f>AI147*VLOOKUP('Données projet'!$B$10,Paramètres!$A$1:$I$89,3,0)*VLOOKUP('Données projet'!$B$10,Paramètres!$A$1:$I$89,5,0)</f>
        <v>412.25184000000047</v>
      </c>
      <c r="AK147" s="13">
        <f t="shared" si="143"/>
        <v>94.256159568160982</v>
      </c>
      <c r="AL147" s="20">
        <f t="shared" si="112"/>
        <v>882.16809924788106</v>
      </c>
      <c r="AM147" s="59">
        <f t="shared" si="113"/>
        <v>1175.5014325812144</v>
      </c>
      <c r="AN147" s="59">
        <f ca="1">AVERAGE(OFFSET($AM$3,0,0,'Données projet'!$E$10+1,1))-AVERAGE(OFFSET($H$3,0,0,'Données projet'!$E$10+1,1))</f>
        <v>543.88440431478944</v>
      </c>
      <c r="AO147" s="59">
        <f t="shared" si="144"/>
        <v>342.63929463709457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47.782691041003609</v>
      </c>
      <c r="AV147" s="21">
        <f>EXP(-LN(2)/25)*AV146+(1-EXP(-LN(2)/25))/(LN(2)/25)*Calculateur!AQ147*Calculateur!AS147*VLOOKUP('Données projet'!$B$10,Paramètres!$A$1:$I$89,3,0)*0.475*44/12</f>
        <v>20.242854967239271</v>
      </c>
      <c r="AW147" s="21">
        <f>EXP(-LN(2)/2)*AW146+(1-EXP(-LN(2)/2))/(LN(2)/2)*AQ147*AT147*VLOOKUP('Données projet'!$B$10,Paramètres!$A$1:$I$89,3,0)*0.475*44/12</f>
        <v>3.7550690940714889E-6</v>
      </c>
      <c r="AX147" s="21">
        <f t="shared" si="114"/>
        <v>68.025549763311972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>
        <f>VLOOKUP(A147,'Données projet'!$A$87:$I$107,2,0)</f>
        <v>379.92</v>
      </c>
      <c r="BB147" s="12">
        <f>VLOOKUP(A147,'Données projet'!$A$87:$I$107,9,0)</f>
        <v>7.3375000000000012</v>
      </c>
      <c r="BC147" s="12">
        <f t="array" ref="BC147">INDEX(BB:BB,MIN(IF(ISNUMBER(BB147:BB343),ROW(BB147:BB343),"")))</f>
        <v>7.3375000000000012</v>
      </c>
      <c r="BD147" s="12">
        <f>IF('Données projet'!$A$88&gt;35,BD146+BC147-BL146,IF(A147&lt;'Données projet'!$A$88,$BA$205^A147,IF(A147='Données projet'!$A$88,'Données projet'!$B$88,BD146+BC147-BL146)))</f>
        <v>379.91999999999979</v>
      </c>
      <c r="BE147" s="13">
        <f>BD147*VLOOKUP('Données projet'!$B$11,Paramètres!$A$1:$I$89,3,0)*VLOOKUP('Données projet'!$B$11,Paramètres!$A$1:$I$89,5,0)</f>
        <v>432.65289599999977</v>
      </c>
      <c r="BF147" s="13">
        <f t="shared" si="145"/>
        <v>98.366003924731828</v>
      </c>
      <c r="BG147" s="20">
        <f t="shared" si="115"/>
        <v>924.85791736890758</v>
      </c>
      <c r="BH147" s="59">
        <f t="shared" si="116"/>
        <v>1218.1912507022409</v>
      </c>
      <c r="BI147" s="59">
        <f ca="1">AVERAGE(OFFSET($BH$3,0,0,'Données projet'!$E$11+1,1))-AVERAGE(OFFSET($H$3,0,0,'Données projet'!$E$11+1,1))</f>
        <v>593.28343396240075</v>
      </c>
      <c r="BJ147" s="59">
        <f t="shared" si="146"/>
        <v>289.66477662068695</v>
      </c>
      <c r="BK147" s="15">
        <f>IF(ISNA(VLOOKUP(A147,'Données projet'!$A$87:$I$107,3,0)),0,VLOOKUP(A147,'Données projet'!$A$87:$I$107,3,0))</f>
        <v>10</v>
      </c>
      <c r="BL147" s="15">
        <f>IF(ISNA(VLOOKUP(A147,'Données projet'!$A$87:$I$107,4,0)),0,VLOOKUP(A147,'Données projet'!$A$87:$I$107,4,0))</f>
        <v>60.949999999999989</v>
      </c>
      <c r="BM147" s="16">
        <f>IF(ISNA(VLOOKUP(A147,'Données projet'!$A$87:$I$107,5,0)),0%,VLOOKUP(A147,'Données projet'!$A$87:$I$107,5,0)*VLOOKUP('Données projet'!$B$11,Paramètres!$A$1:$I$89,7,0))</f>
        <v>0.15049999999999999</v>
      </c>
      <c r="BN147" s="16">
        <f>IF(ISNA(VLOOKUP(A147,'Données projet'!$A$87:$I$107,6,0)),0%,VLOOKUP(A147,'Données projet'!$A$87:$I$107,6,0)*VLOOKUP('Données projet'!$B$11,Paramètres!$A$1:$I$89,7,0))</f>
        <v>8.6000000000000007E-2</v>
      </c>
      <c r="BO147" s="16">
        <f>IF(ISNA(VLOOKUP(A147,'Données projet'!$A$87:$I$107,7,0)),0%,VLOOKUP(A147,'Données projet'!$A$87:$I$107,7,0))</f>
        <v>0.1</v>
      </c>
      <c r="BP147" s="21">
        <f>EXP(-LN(2)/35)*BP146+(1-EXP(-LN(2)/35))/(LN(2)/35)*BL147*BM147*VLOOKUP('Données projet'!$B$11,Paramètres!$A$1:$I$89,3,0)*0.475*44/12</f>
        <v>37.375013542383627</v>
      </c>
      <c r="BQ147" s="21">
        <f>EXP(-LN(2)/25)*BQ146+(1-EXP(-LN(2)/25))/(LN(2)/25)*Calculateur!BL147*Calculateur!BN147*VLOOKUP('Données projet'!$B$11,Paramètres!$A$1:$I$89,3,0)*0.475*44/12</f>
        <v>25.930076659494059</v>
      </c>
      <c r="BR147" s="21">
        <f>EXP(-LN(2)/2)*BR146+(1-EXP(-LN(2)/2))/(LN(2)/2)*BL147*BO147*VLOOKUP('Données projet'!$B$11,Paramètres!$A$1:$I$89,3,0)*0.475*44/12</f>
        <v>6.6332742287016577</v>
      </c>
      <c r="BS147" s="22">
        <f t="shared" si="117"/>
        <v>69.938364430579341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2.5579538487363607E-13</v>
      </c>
      <c r="BZ147" s="13">
        <f>BY147*VLOOKUP('Données projet'!$B$12,Paramètres!$A$1:$I$89,3,0)*VLOOKUP('Données projet'!$B$12,Paramètres!$A$1:$I$89,5,0)</f>
        <v>2.7533815227798186E-13</v>
      </c>
      <c r="CA147" s="13">
        <f t="shared" si="147"/>
        <v>3.6763598146902537E-12</v>
      </c>
      <c r="CB147" s="20">
        <f t="shared" si="118"/>
        <v>6.88254062580301E-12</v>
      </c>
      <c r="CC147" s="59">
        <f t="shared" si="119"/>
        <v>293.33333333334019</v>
      </c>
      <c r="CD147" s="59">
        <f ca="1">AVERAGE(OFFSET($CC$3,0,0,'Données projet'!$E$12+1,1))-AVERAGE(OFFSET($H$3,0,0,'Données projet'!$E$12+1,1))</f>
        <v>502.65044103360322</v>
      </c>
      <c r="CE147" s="59">
        <f t="shared" si="148"/>
        <v>321.65762891855167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101.8495655162172</v>
      </c>
      <c r="CL147" s="21">
        <f>EXP(-LN(2)/25)*CL146+(1-EXP(-LN(2)/25))/(LN(2)/25)*Calculateur!CG147*Calculateur!CI147*VLOOKUP('Données projet'!$B$12,Paramètres!$A$1:$I$89,3,0)*0.475*44/12</f>
        <v>18.996332968719297</v>
      </c>
      <c r="CM147" s="21">
        <f>EXP(-LN(2)/2)*CM146+(1-EXP(-LN(2)/2))/(LN(2)/2)*CG147*CJ147*VLOOKUP('Données projet'!$B$12,Paramètres!$A$1:$I$89,3,0)*0.475*44/12</f>
        <v>6.3286326100855286E-2</v>
      </c>
      <c r="CN147" s="22">
        <f t="shared" si="120"/>
        <v>120.90918481103735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239.26156489359892</v>
      </c>
      <c r="T148" s="59">
        <f t="shared" si="142"/>
        <v>213.97034450798111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3.6386612596410286</v>
      </c>
      <c r="AA148" s="21">
        <f>EXP(-LN(2)/25)*AA147+(1-EXP(-LN(2)/25))/(LN(2)/25)*Calculateur!V148*Calculateur!X148*VLOOKUP('Données projet'!$B$9,Paramètres!$A$1:$I$89,3,0)*0.475*44/12</f>
        <v>13.898978475983922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17.53763973562495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7.5999999999999988</v>
      </c>
      <c r="AI148" s="13">
        <f>IF('Données projet'!$A$62&gt;35,AI147+AH148-AQ147,IF(A148&lt;'Données projet'!$A$62,$AF$205^A148,IF(A148='Données projet'!$A$62,'Données projet'!$B$62,AI147+AH148-AQ147)))</f>
        <v>414.16000000000042</v>
      </c>
      <c r="AJ148" s="13">
        <f>AI148*VLOOKUP('Données projet'!$B$10,Paramètres!$A$1:$I$89,3,0)*VLOOKUP('Données projet'!$B$10,Paramètres!$A$1:$I$89,5,0)</f>
        <v>419.95824000000044</v>
      </c>
      <c r="AK148" s="13">
        <f t="shared" si="143"/>
        <v>95.811354740777219</v>
      </c>
      <c r="AL148" s="20">
        <f t="shared" si="112"/>
        <v>898.2987108401876</v>
      </c>
      <c r="AM148" s="59">
        <f t="shared" si="113"/>
        <v>1191.6320441735209</v>
      </c>
      <c r="AN148" s="59">
        <f ca="1">AVERAGE(OFFSET($AM$3,0,0,'Données projet'!$E$10+1,1))-AVERAGE(OFFSET($H$3,0,0,'Données projet'!$E$10+1,1))</f>
        <v>543.88440431478944</v>
      </c>
      <c r="AO148" s="59">
        <f t="shared" si="144"/>
        <v>342.63929463709457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46.845701614253279</v>
      </c>
      <c r="AV148" s="21">
        <f>EXP(-LN(2)/25)*AV147+(1-EXP(-LN(2)/25))/(LN(2)/25)*Calculateur!AQ148*Calculateur!AS148*VLOOKUP('Données projet'!$B$10,Paramètres!$A$1:$I$89,3,0)*0.475*44/12</f>
        <v>19.689313033634637</v>
      </c>
      <c r="AW148" s="21">
        <f>EXP(-LN(2)/2)*AW147+(1-EXP(-LN(2)/2))/(LN(2)/2)*AQ148*AT148*VLOOKUP('Données projet'!$B$10,Paramètres!$A$1:$I$89,3,0)*0.475*44/12</f>
        <v>2.6552348202419758E-6</v>
      </c>
      <c r="AX148" s="21">
        <f t="shared" si="114"/>
        <v>66.535017303122743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7.5191666666666634</v>
      </c>
      <c r="BD148" s="12">
        <f>IF('Données projet'!$A$88&gt;35,BD147+BC148-BL147,IF(A148&lt;'Données projet'!$A$88,$BA$205^A148,IF(A148='Données projet'!$A$88,'Données projet'!$B$88,BD147+BC148-BL147)))</f>
        <v>326.48916666666645</v>
      </c>
      <c r="BE148" s="13">
        <f>BD148*VLOOKUP('Données projet'!$B$11,Paramètres!$A$1:$I$89,3,0)*VLOOKUP('Données projet'!$B$11,Paramètres!$A$1:$I$89,5,0)</f>
        <v>371.80586299999976</v>
      </c>
      <c r="BF148" s="13">
        <f t="shared" si="145"/>
        <v>86.036649435918704</v>
      </c>
      <c r="BG148" s="20">
        <f t="shared" si="115"/>
        <v>797.409042492558</v>
      </c>
      <c r="BH148" s="59">
        <f t="shared" si="116"/>
        <v>1090.7423758258913</v>
      </c>
      <c r="BI148" s="59">
        <f ca="1">AVERAGE(OFFSET($BH$3,0,0,'Données projet'!$E$11+1,1))-AVERAGE(OFFSET($H$3,0,0,'Données projet'!$E$11+1,1))</f>
        <v>593.28343396240075</v>
      </c>
      <c r="BJ148" s="59">
        <f t="shared" si="146"/>
        <v>289.66477662068695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36.642112323324774</v>
      </c>
      <c r="BQ148" s="21">
        <f>EXP(-LN(2)/25)*BQ147+(1-EXP(-LN(2)/25))/(LN(2)/25)*Calculateur!BL148*Calculateur!BN148*VLOOKUP('Données projet'!$B$11,Paramètres!$A$1:$I$89,3,0)*0.475*44/12</f>
        <v>25.221017349636725</v>
      </c>
      <c r="BR148" s="21">
        <f>EXP(-LN(2)/2)*BR147+(1-EXP(-LN(2)/2))/(LN(2)/2)*BL148*BO148*VLOOKUP('Données projet'!$B$11,Paramètres!$A$1:$I$89,3,0)*0.475*44/12</f>
        <v>4.6904331885849082</v>
      </c>
      <c r="BS148" s="22">
        <f t="shared" si="117"/>
        <v>66.553562861546411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2.5579538487363607E-13</v>
      </c>
      <c r="BZ148" s="13">
        <f>BY148*VLOOKUP('Données projet'!$B$12,Paramètres!$A$1:$I$89,3,0)*VLOOKUP('Données projet'!$B$12,Paramètres!$A$1:$I$89,5,0)</f>
        <v>2.7533815227798186E-13</v>
      </c>
      <c r="CA148" s="13">
        <f t="shared" si="147"/>
        <v>3.6763598146902537E-12</v>
      </c>
      <c r="CB148" s="20">
        <f t="shared" si="118"/>
        <v>6.88254062580301E-12</v>
      </c>
      <c r="CC148" s="59">
        <f t="shared" si="119"/>
        <v>293.33333333334019</v>
      </c>
      <c r="CD148" s="59">
        <f ca="1">AVERAGE(OFFSET($CC$3,0,0,'Données projet'!$E$12+1,1))-AVERAGE(OFFSET($H$3,0,0,'Données projet'!$E$12+1,1))</f>
        <v>502.65044103360322</v>
      </c>
      <c r="CE148" s="59">
        <f t="shared" si="148"/>
        <v>321.65762891855167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99.852357658545088</v>
      </c>
      <c r="CL148" s="21">
        <f>EXP(-LN(2)/25)*CL147+(1-EXP(-LN(2)/25))/(LN(2)/25)*Calculateur!CG148*Calculateur!CI148*VLOOKUP('Données projet'!$B$12,Paramètres!$A$1:$I$89,3,0)*0.475*44/12</f>
        <v>18.476877244715933</v>
      </c>
      <c r="CM148" s="21">
        <f>EXP(-LN(2)/2)*CM147+(1-EXP(-LN(2)/2))/(LN(2)/2)*CG148*CJ148*VLOOKUP('Données projet'!$B$12,Paramètres!$A$1:$I$89,3,0)*0.475*44/12</f>
        <v>4.475019034229797E-2</v>
      </c>
      <c r="CN148" s="22">
        <f t="shared" si="120"/>
        <v>118.37398509360332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239.26156489359892</v>
      </c>
      <c r="T149" s="59">
        <f t="shared" si="142"/>
        <v>213.97034450798111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3.5673093317036924</v>
      </c>
      <c r="AA149" s="21">
        <f>EXP(-LN(2)/25)*AA148+(1-EXP(-LN(2)/25))/(LN(2)/25)*Calculateur!V149*Calculateur!X149*VLOOKUP('Données projet'!$B$9,Paramètres!$A$1:$I$89,3,0)*0.475*44/12</f>
        <v>13.51891017864263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17.086219510346321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7.5999999999999988</v>
      </c>
      <c r="AI149" s="13">
        <f>IF('Données projet'!$A$62&gt;35,AI148+AH149-AQ148,IF(A149&lt;'Données projet'!$A$62,$AF$205^A149,IF(A149='Données projet'!$A$62,'Données projet'!$B$62,AI148+AH149-AQ148)))</f>
        <v>421.76000000000045</v>
      </c>
      <c r="AJ149" s="13">
        <f>AI149*VLOOKUP('Données projet'!$B$10,Paramètres!$A$1:$I$89,3,0)*VLOOKUP('Données projet'!$B$10,Paramètres!$A$1:$I$89,5,0)</f>
        <v>427.66464000000047</v>
      </c>
      <c r="AK149" s="13">
        <f t="shared" si="143"/>
        <v>97.363231386458764</v>
      </c>
      <c r="AL149" s="20">
        <f t="shared" si="112"/>
        <v>914.42354266474968</v>
      </c>
      <c r="AM149" s="59">
        <f t="shared" si="113"/>
        <v>1207.7568759980829</v>
      </c>
      <c r="AN149" s="59">
        <f ca="1">AVERAGE(OFFSET($AM$3,0,0,'Données projet'!$E$10+1,1))-AVERAGE(OFFSET($H$3,0,0,'Données projet'!$E$10+1,1))</f>
        <v>543.88440431478944</v>
      </c>
      <c r="AO149" s="59">
        <f t="shared" si="144"/>
        <v>342.63929463709457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45.927085978654404</v>
      </c>
      <c r="AV149" s="21">
        <f>EXP(-LN(2)/25)*AV148+(1-EXP(-LN(2)/25))/(LN(2)/25)*Calculateur!AQ149*Calculateur!AS149*VLOOKUP('Données projet'!$B$10,Paramètres!$A$1:$I$89,3,0)*0.475*44/12</f>
        <v>19.150907733313925</v>
      </c>
      <c r="AW149" s="21">
        <f>EXP(-LN(2)/2)*AW148+(1-EXP(-LN(2)/2))/(LN(2)/2)*AQ149*AT149*VLOOKUP('Données projet'!$B$10,Paramètres!$A$1:$I$89,3,0)*0.475*44/12</f>
        <v>1.8775345470357449E-6</v>
      </c>
      <c r="AX149" s="21">
        <f t="shared" si="114"/>
        <v>65.077995589502876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7.5191666666666634</v>
      </c>
      <c r="BD149" s="12">
        <f>IF('Données projet'!$A$88&gt;35,BD148+BC149-BL148,IF(A149&lt;'Données projet'!$A$88,$BA$205^A149,IF(A149='Données projet'!$A$88,'Données projet'!$B$88,BD148+BC149-BL148)))</f>
        <v>334.0083333333331</v>
      </c>
      <c r="BE149" s="13">
        <f>BD149*VLOOKUP('Données projet'!$B$11,Paramètres!$A$1:$I$89,3,0)*VLOOKUP('Données projet'!$B$11,Paramètres!$A$1:$I$89,5,0)</f>
        <v>380.36868999999973</v>
      </c>
      <c r="BF149" s="13">
        <f t="shared" si="145"/>
        <v>87.785137061676878</v>
      </c>
      <c r="BG149" s="20">
        <f t="shared" si="115"/>
        <v>815.36791546575341</v>
      </c>
      <c r="BH149" s="59">
        <f t="shared" si="116"/>
        <v>1108.7012487990867</v>
      </c>
      <c r="BI149" s="59">
        <f ca="1">AVERAGE(OFFSET($BH$3,0,0,'Données projet'!$E$11+1,1))-AVERAGE(OFFSET($H$3,0,0,'Données projet'!$E$11+1,1))</f>
        <v>593.28343396240075</v>
      </c>
      <c r="BJ149" s="59">
        <f t="shared" si="146"/>
        <v>289.66477662068695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35.923582850146062</v>
      </c>
      <c r="BQ149" s="21">
        <f>EXP(-LN(2)/25)*BQ148+(1-EXP(-LN(2)/25))/(LN(2)/25)*Calculateur!BL149*Calculateur!BN149*VLOOKUP('Données projet'!$B$11,Paramètres!$A$1:$I$89,3,0)*0.475*44/12</f>
        <v>24.531347303895249</v>
      </c>
      <c r="BR149" s="21">
        <f>EXP(-LN(2)/2)*BR148+(1-EXP(-LN(2)/2))/(LN(2)/2)*BL149*BO149*VLOOKUP('Données projet'!$B$11,Paramètres!$A$1:$I$89,3,0)*0.475*44/12</f>
        <v>3.3166371143508293</v>
      </c>
      <c r="BS149" s="22">
        <f t="shared" si="117"/>
        <v>63.771567268392133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2.5579538487363607E-13</v>
      </c>
      <c r="BZ149" s="13">
        <f>BY149*VLOOKUP('Données projet'!$B$12,Paramètres!$A$1:$I$89,3,0)*VLOOKUP('Données projet'!$B$12,Paramètres!$A$1:$I$89,5,0)</f>
        <v>2.7533815227798186E-13</v>
      </c>
      <c r="CA149" s="13">
        <f t="shared" si="147"/>
        <v>3.6763598146902537E-12</v>
      </c>
      <c r="CB149" s="20">
        <f t="shared" si="118"/>
        <v>6.88254062580301E-12</v>
      </c>
      <c r="CC149" s="59">
        <f t="shared" si="119"/>
        <v>293.33333333334019</v>
      </c>
      <c r="CD149" s="59">
        <f ca="1">AVERAGE(OFFSET($CC$3,0,0,'Données projet'!$E$12+1,1))-AVERAGE(OFFSET($H$3,0,0,'Données projet'!$E$12+1,1))</f>
        <v>502.65044103360322</v>
      </c>
      <c r="CE149" s="59">
        <f t="shared" si="148"/>
        <v>321.65762891855167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97.894313828785428</v>
      </c>
      <c r="CL149" s="21">
        <f>EXP(-LN(2)/25)*CL148+(1-EXP(-LN(2)/25))/(LN(2)/25)*Calculateur!CG149*Calculateur!CI149*VLOOKUP('Données projet'!$B$12,Paramètres!$A$1:$I$89,3,0)*0.475*44/12</f>
        <v>17.971626064802432</v>
      </c>
      <c r="CM149" s="21">
        <f>EXP(-LN(2)/2)*CM148+(1-EXP(-LN(2)/2))/(LN(2)/2)*CG149*CJ149*VLOOKUP('Données projet'!$B$12,Paramètres!$A$1:$I$89,3,0)*0.475*44/12</f>
        <v>3.1643163050427643E-2</v>
      </c>
      <c r="CN149" s="22">
        <f t="shared" si="120"/>
        <v>115.8975830566383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239.26156489359892</v>
      </c>
      <c r="T150" s="59">
        <f t="shared" si="142"/>
        <v>213.97034450798111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3.4973565715528285</v>
      </c>
      <c r="AA150" s="21">
        <f>EXP(-LN(2)/25)*AA149+(1-EXP(-LN(2)/25))/(LN(2)/25)*Calculateur!V150*Calculateur!X150*VLOOKUP('Données projet'!$B$9,Paramètres!$A$1:$I$89,3,0)*0.475*44/12</f>
        <v>13.149234868879059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16.646591440431887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7.5999999999999988</v>
      </c>
      <c r="AI150" s="13">
        <f>IF('Données projet'!$A$62&gt;35,AI149+AH150-AQ149,IF(A150&lt;'Données projet'!$A$62,$AF$205^A150,IF(A150='Données projet'!$A$62,'Données projet'!$B$62,AI149+AH150-AQ149)))</f>
        <v>429.36000000000047</v>
      </c>
      <c r="AJ150" s="13">
        <f>AI150*VLOOKUP('Données projet'!$B$10,Paramètres!$A$1:$I$89,3,0)*VLOOKUP('Données projet'!$B$10,Paramètres!$A$1:$I$89,5,0)</f>
        <v>435.37104000000045</v>
      </c>
      <c r="AK150" s="13">
        <f t="shared" si="143"/>
        <v>98.911856202065238</v>
      </c>
      <c r="AL150" s="20">
        <f t="shared" si="112"/>
        <v>930.54271088526423</v>
      </c>
      <c r="AM150" s="59">
        <f t="shared" si="113"/>
        <v>1223.8760442185976</v>
      </c>
      <c r="AN150" s="59">
        <f ca="1">AVERAGE(OFFSET($AM$3,0,0,'Données projet'!$E$10+1,1))-AVERAGE(OFFSET($H$3,0,0,'Données projet'!$E$10+1,1))</f>
        <v>543.88440431478944</v>
      </c>
      <c r="AO150" s="59">
        <f t="shared" si="144"/>
        <v>342.63929463709457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45.026483835369405</v>
      </c>
      <c r="AV150" s="21">
        <f>EXP(-LN(2)/25)*AV149+(1-EXP(-LN(2)/25))/(LN(2)/25)*Calculateur!AQ150*Calculateur!AS150*VLOOKUP('Données projet'!$B$10,Paramètres!$A$1:$I$89,3,0)*0.475*44/12</f>
        <v>18.627225154243988</v>
      </c>
      <c r="AW150" s="21">
        <f>EXP(-LN(2)/2)*AW149+(1-EXP(-LN(2)/2))/(LN(2)/2)*AQ150*AT150*VLOOKUP('Données projet'!$B$10,Paramètres!$A$1:$I$89,3,0)*0.475*44/12</f>
        <v>1.3276174101209881E-6</v>
      </c>
      <c r="AX150" s="21">
        <f t="shared" si="114"/>
        <v>63.653710317230804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7.5191666666666634</v>
      </c>
      <c r="BD150" s="12">
        <f>IF('Données projet'!$A$88&gt;35,BD149+BC150-BL149,IF(A150&lt;'Données projet'!$A$88,$BA$205^A150,IF(A150='Données projet'!$A$88,'Données projet'!$B$88,BD149+BC150-BL149)))</f>
        <v>341.52749999999975</v>
      </c>
      <c r="BE150" s="13">
        <f>BD150*VLOOKUP('Données projet'!$B$11,Paramètres!$A$1:$I$89,3,0)*VLOOKUP('Données projet'!$B$11,Paramètres!$A$1:$I$89,5,0)</f>
        <v>388.9315169999997</v>
      </c>
      <c r="BF150" s="13">
        <f t="shared" si="145"/>
        <v>89.529048562847422</v>
      </c>
      <c r="BG150" s="20">
        <f t="shared" si="115"/>
        <v>833.31881835529202</v>
      </c>
      <c r="BH150" s="59">
        <f t="shared" si="116"/>
        <v>1126.6521516886253</v>
      </c>
      <c r="BI150" s="59">
        <f ca="1">AVERAGE(OFFSET($BH$3,0,0,'Données projet'!$E$11+1,1))-AVERAGE(OFFSET($H$3,0,0,'Données projet'!$E$11+1,1))</f>
        <v>593.28343396240075</v>
      </c>
      <c r="BJ150" s="59">
        <f t="shared" si="146"/>
        <v>289.66477662068695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35.219143301676681</v>
      </c>
      <c r="BQ150" s="21">
        <f>EXP(-LN(2)/25)*BQ149+(1-EXP(-LN(2)/25))/(LN(2)/25)*Calculateur!BL150*Calculateur!BN150*VLOOKUP('Données projet'!$B$11,Paramètres!$A$1:$I$89,3,0)*0.475*44/12</f>
        <v>23.860536321822746</v>
      </c>
      <c r="BR150" s="21">
        <f>EXP(-LN(2)/2)*BR149+(1-EXP(-LN(2)/2))/(LN(2)/2)*BL150*BO150*VLOOKUP('Données projet'!$B$11,Paramètres!$A$1:$I$89,3,0)*0.475*44/12</f>
        <v>2.3452165942924545</v>
      </c>
      <c r="BS150" s="22">
        <f t="shared" si="117"/>
        <v>61.424896217791883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2.5579538487363607E-13</v>
      </c>
      <c r="BZ150" s="13">
        <f>BY150*VLOOKUP('Données projet'!$B$12,Paramètres!$A$1:$I$89,3,0)*VLOOKUP('Données projet'!$B$12,Paramètres!$A$1:$I$89,5,0)</f>
        <v>2.7533815227798186E-13</v>
      </c>
      <c r="CA150" s="13">
        <f t="shared" si="147"/>
        <v>3.6763598146902537E-12</v>
      </c>
      <c r="CB150" s="20">
        <f t="shared" si="118"/>
        <v>6.88254062580301E-12</v>
      </c>
      <c r="CC150" s="59">
        <f t="shared" si="119"/>
        <v>293.33333333334019</v>
      </c>
      <c r="CD150" s="59">
        <f ca="1">AVERAGE(OFFSET($CC$3,0,0,'Données projet'!$E$12+1,1))-AVERAGE(OFFSET($H$3,0,0,'Données projet'!$E$12+1,1))</f>
        <v>502.65044103360322</v>
      </c>
      <c r="CE150" s="59">
        <f t="shared" si="148"/>
        <v>321.65762891855167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95.974666044238546</v>
      </c>
      <c r="CL150" s="21">
        <f>EXP(-LN(2)/25)*CL149+(1-EXP(-LN(2)/25))/(LN(2)/25)*Calculateur!CG150*Calculateur!CI150*VLOOKUP('Données projet'!$B$12,Paramètres!$A$1:$I$89,3,0)*0.475*44/12</f>
        <v>17.480191004973669</v>
      </c>
      <c r="CM150" s="21">
        <f>EXP(-LN(2)/2)*CM149+(1-EXP(-LN(2)/2))/(LN(2)/2)*CG150*CJ150*VLOOKUP('Données projet'!$B$12,Paramètres!$A$1:$I$89,3,0)*0.475*44/12</f>
        <v>2.2375095171148985E-2</v>
      </c>
      <c r="CN150" s="22">
        <f t="shared" si="120"/>
        <v>113.47723214438336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239.26156489359892</v>
      </c>
      <c r="T151" s="59">
        <f t="shared" si="142"/>
        <v>213.97034450798111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3.4287755423615525</v>
      </c>
      <c r="AA151" s="21">
        <f>EXP(-LN(2)/25)*AA150+(1-EXP(-LN(2)/25))/(LN(2)/25)*Calculateur!V151*Calculateur!X151*VLOOKUP('Données projet'!$B$9,Paramètres!$A$1:$I$89,3,0)*0.475*44/12</f>
        <v>12.789668349901353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16.218443892262904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7.5999999999999988</v>
      </c>
      <c r="AI151" s="13">
        <f>IF('Données projet'!$A$62&gt;35,AI150+AH151-AQ150,IF(A151&lt;'Données projet'!$A$62,$AF$205^A151,IF(A151='Données projet'!$A$62,'Données projet'!$B$62,AI150+AH151-AQ150)))</f>
        <v>436.96000000000049</v>
      </c>
      <c r="AJ151" s="13">
        <f>AI151*VLOOKUP('Données projet'!$B$10,Paramètres!$A$1:$I$89,3,0)*VLOOKUP('Données projet'!$B$10,Paramètres!$A$1:$I$89,5,0)</f>
        <v>443.07744000000054</v>
      </c>
      <c r="AK151" s="13">
        <f t="shared" si="143"/>
        <v>100.45729338804762</v>
      </c>
      <c r="AL151" s="20">
        <f t="shared" si="112"/>
        <v>946.65632731751714</v>
      </c>
      <c r="AM151" s="59">
        <f t="shared" si="113"/>
        <v>1239.9896606508505</v>
      </c>
      <c r="AN151" s="59">
        <f ca="1">AVERAGE(OFFSET($AM$3,0,0,'Données projet'!$E$10+1,1))-AVERAGE(OFFSET($H$3,0,0,'Données projet'!$E$10+1,1))</f>
        <v>543.88440431478944</v>
      </c>
      <c r="AO151" s="59">
        <f t="shared" si="144"/>
        <v>342.63929463709457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44.143541950801158</v>
      </c>
      <c r="AV151" s="21">
        <f>EXP(-LN(2)/25)*AV150+(1-EXP(-LN(2)/25))/(LN(2)/25)*Calculateur!AQ151*Calculateur!AS151*VLOOKUP('Données projet'!$B$10,Paramètres!$A$1:$I$89,3,0)*0.475*44/12</f>
        <v>18.117862702837989</v>
      </c>
      <c r="AW151" s="21">
        <f>EXP(-LN(2)/2)*AW150+(1-EXP(-LN(2)/2))/(LN(2)/2)*AQ151*AT151*VLOOKUP('Données projet'!$B$10,Paramètres!$A$1:$I$89,3,0)*0.475*44/12</f>
        <v>9.3876727351787254E-7</v>
      </c>
      <c r="AX151" s="21">
        <f t="shared" si="114"/>
        <v>62.261405592406419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7.5191666666666634</v>
      </c>
      <c r="BD151" s="12">
        <f>IF('Données projet'!$A$88&gt;35,BD150+BC151-BL150,IF(A151&lt;'Données projet'!$A$88,$BA$205^A151,IF(A151='Données projet'!$A$88,'Données projet'!$B$88,BD150+BC151-BL150)))</f>
        <v>349.0466666666664</v>
      </c>
      <c r="BE151" s="13">
        <f>BD151*VLOOKUP('Données projet'!$B$11,Paramètres!$A$1:$I$89,3,0)*VLOOKUP('Données projet'!$B$11,Paramètres!$A$1:$I$89,5,0)</f>
        <v>397.49434399999973</v>
      </c>
      <c r="BF151" s="13">
        <f t="shared" si="145"/>
        <v>91.268496290243391</v>
      </c>
      <c r="BG151" s="20">
        <f t="shared" si="115"/>
        <v>851.26194683884012</v>
      </c>
      <c r="BH151" s="59">
        <f t="shared" si="116"/>
        <v>1144.5952801721735</v>
      </c>
      <c r="BI151" s="59">
        <f ca="1">AVERAGE(OFFSET($BH$3,0,0,'Données projet'!$E$11+1,1))-AVERAGE(OFFSET($H$3,0,0,'Données projet'!$E$11+1,1))</f>
        <v>593.28343396240075</v>
      </c>
      <c r="BJ151" s="59">
        <f t="shared" si="146"/>
        <v>289.66477662068695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34.528517383087085</v>
      </c>
      <c r="BQ151" s="21">
        <f>EXP(-LN(2)/25)*BQ150+(1-EXP(-LN(2)/25))/(LN(2)/25)*Calculateur!BL151*Calculateur!BN151*VLOOKUP('Données projet'!$B$11,Paramètres!$A$1:$I$89,3,0)*0.475*44/12</f>
        <v>23.208068701331431</v>
      </c>
      <c r="BR151" s="21">
        <f>EXP(-LN(2)/2)*BR150+(1-EXP(-LN(2)/2))/(LN(2)/2)*BL151*BO151*VLOOKUP('Données projet'!$B$11,Paramètres!$A$1:$I$89,3,0)*0.475*44/12</f>
        <v>1.6583185571754149</v>
      </c>
      <c r="BS151" s="22">
        <f t="shared" si="117"/>
        <v>59.394904641593932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2.5579538487363607E-13</v>
      </c>
      <c r="BZ151" s="13">
        <f>BY151*VLOOKUP('Données projet'!$B$12,Paramètres!$A$1:$I$89,3,0)*VLOOKUP('Données projet'!$B$12,Paramètres!$A$1:$I$89,5,0)</f>
        <v>2.7533815227798186E-13</v>
      </c>
      <c r="CA151" s="13">
        <f t="shared" si="147"/>
        <v>3.6763598146902537E-12</v>
      </c>
      <c r="CB151" s="20">
        <f t="shared" si="118"/>
        <v>6.88254062580301E-12</v>
      </c>
      <c r="CC151" s="59">
        <f t="shared" si="119"/>
        <v>293.33333333334019</v>
      </c>
      <c r="CD151" s="59">
        <f ca="1">AVERAGE(OFFSET($CC$3,0,0,'Données projet'!$E$12+1,1))-AVERAGE(OFFSET($H$3,0,0,'Données projet'!$E$12+1,1))</f>
        <v>502.65044103360322</v>
      </c>
      <c r="CE151" s="59">
        <f t="shared" si="148"/>
        <v>321.65762891855167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94.092661381877093</v>
      </c>
      <c r="CL151" s="21">
        <f>EXP(-LN(2)/25)*CL150+(1-EXP(-LN(2)/25))/(LN(2)/25)*Calculateur!CG151*Calculateur!CI151*VLOOKUP('Données projet'!$B$12,Paramètres!$A$1:$I$89,3,0)*0.475*44/12</f>
        <v>17.002194262699369</v>
      </c>
      <c r="CM151" s="21">
        <f>EXP(-LN(2)/2)*CM150+(1-EXP(-LN(2)/2))/(LN(2)/2)*CG151*CJ151*VLOOKUP('Données projet'!$B$12,Paramètres!$A$1:$I$89,3,0)*0.475*44/12</f>
        <v>1.5821581525213822E-2</v>
      </c>
      <c r="CN151" s="22">
        <f t="shared" si="120"/>
        <v>111.11067722610167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239.26156489359892</v>
      </c>
      <c r="T152" s="59">
        <f t="shared" si="142"/>
        <v>213.97034450798111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3.36153934532242</v>
      </c>
      <c r="AA152" s="21">
        <f>EXP(-LN(2)/25)*AA151+(1-EXP(-LN(2)/25))/(LN(2)/25)*Calculateur!V152*Calculateur!X152*VLOOKUP('Données projet'!$B$9,Paramètres!$A$1:$I$89,3,0)*0.475*44/12</f>
        <v>12.439934196293873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15.801473541616293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>
        <f>VLOOKUP(A152,'Données projet'!$A$61:$I$81,2,0)</f>
        <v>444.56</v>
      </c>
      <c r="AG152" s="12">
        <f>VLOOKUP(A152,'Données projet'!$A$61:$I$81,9,0)</f>
        <v>7.5999999999999988</v>
      </c>
      <c r="AH152" s="12">
        <f t="array" ref="AH152">INDEX(AG:AG,MIN(IF(ISNUMBER(AG152:AG348),ROW(AG152:AG348),"")))</f>
        <v>7.5999999999999988</v>
      </c>
      <c r="AI152" s="13">
        <f>IF('Données projet'!$A$62&gt;35,AI151+AH152-AQ151,IF(A152&lt;'Données projet'!$A$62,$AF$205^A152,IF(A152='Données projet'!$A$62,'Données projet'!$B$62,AI151+AH152-AQ151)))</f>
        <v>444.56000000000051</v>
      </c>
      <c r="AJ152" s="13">
        <f>AI152*VLOOKUP('Données projet'!$B$10,Paramètres!$A$1:$I$89,3,0)*VLOOKUP('Données projet'!$B$10,Paramètres!$A$1:$I$89,5,0)</f>
        <v>450.78384000000057</v>
      </c>
      <c r="AK152" s="13">
        <f t="shared" si="143"/>
        <v>101.99960478365205</v>
      </c>
      <c r="AL152" s="20">
        <f t="shared" si="112"/>
        <v>962.76449966486143</v>
      </c>
      <c r="AM152" s="59">
        <f t="shared" si="113"/>
        <v>1256.0978329981947</v>
      </c>
      <c r="AN152" s="59">
        <f ca="1">AVERAGE(OFFSET($AM$3,0,0,'Données projet'!$E$10+1,1))-AVERAGE(OFFSET($H$3,0,0,'Données projet'!$E$10+1,1))</f>
        <v>543.88440431478944</v>
      </c>
      <c r="AO152" s="59">
        <f t="shared" si="144"/>
        <v>342.63929463709457</v>
      </c>
      <c r="AP152" s="15">
        <f>IF(ISNA(VLOOKUP(A152,'Données projet'!$A$61:$I$81,3,0)),0,VLOOKUP(A152,'Données projet'!$A$61:$I$81,3,0))</f>
        <v>12</v>
      </c>
      <c r="AQ152" s="15">
        <f>IF(ISNA(VLOOKUP(A152,'Données projet'!$A$61:$I$81,4,0)),0,VLOOKUP(A152,'Données projet'!$A$61:$I$81,4,0))</f>
        <v>176.67000000000002</v>
      </c>
      <c r="AR152" s="16">
        <f>IF(ISNA(VLOOKUP(A152,'Données projet'!$A$61:$I$81,5,0)),0%,VLOOKUP(A152,'Données projet'!$A$61:$I$81,5,0)*VLOOKUP('Données projet'!$B$10,Paramètres!$A$1:$I$89,7,0))</f>
        <v>0.19350000000000001</v>
      </c>
      <c r="AS152" s="16">
        <f>IF(ISNA(VLOOKUP(A152,'Données projet'!$A$61:$I$81,6,0)),0%,VLOOKUP(A152,'Données projet'!$A$61:$I$81,6,0)*VLOOKUP('Données projet'!$B$10,Paramètres!$A$1:$I$89,7,0))</f>
        <v>2.1500000000000002E-2</v>
      </c>
      <c r="AT152" s="16">
        <f>IF(ISNA(VLOOKUP(A152,'Données projet'!$A$61:$I$81,7,0)),0%,VLOOKUP(A152,'Données projet'!$A$61:$I$81,7,0))</f>
        <v>0.05</v>
      </c>
      <c r="AU152" s="21">
        <f>EXP(-LN(2)/35)*AU151+(1-EXP(-LN(2)/35))/(LN(2)/35)*AQ152*AR152*VLOOKUP('Données projet'!$B$10,Paramètres!$A$1:$I$89,3,0)*0.475*44/12</f>
        <v>81.598209022114844</v>
      </c>
      <c r="AV152" s="21">
        <f>EXP(-LN(2)/25)*AV151+(1-EXP(-LN(2)/25))/(LN(2)/25)*Calculateur!AQ152*Calculateur!AS152*VLOOKUP('Données projet'!$B$10,Paramètres!$A$1:$I$89,3,0)*0.475*44/12</f>
        <v>21.863474727947317</v>
      </c>
      <c r="AW152" s="21">
        <f>EXP(-LN(2)/2)*AW151+(1-EXP(-LN(2)/2))/(LN(2)/2)*AQ152*AT152*VLOOKUP('Données projet'!$B$10,Paramètres!$A$1:$I$89,3,0)*0.475*44/12</f>
        <v>8.4513306939777397</v>
      </c>
      <c r="AX152" s="21">
        <f t="shared" si="114"/>
        <v>111.9130144440399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7.5191666666666634</v>
      </c>
      <c r="BD152" s="12">
        <f>IF('Données projet'!$A$88&gt;35,BD151+BC152-BL151,IF(A152&lt;'Données projet'!$A$88,$BA$205^A152,IF(A152='Données projet'!$A$88,'Données projet'!$B$88,BD151+BC152-BL151)))</f>
        <v>356.56583333333305</v>
      </c>
      <c r="BE152" s="13">
        <f>BD152*VLOOKUP('Données projet'!$B$11,Paramètres!$A$1:$I$89,3,0)*VLOOKUP('Données projet'!$B$11,Paramètres!$A$1:$I$89,5,0)</f>
        <v>406.0571709999997</v>
      </c>
      <c r="BF152" s="13">
        <f t="shared" si="145"/>
        <v>93.003587477662336</v>
      </c>
      <c r="BG152" s="20">
        <f t="shared" si="115"/>
        <v>869.19748768192801</v>
      </c>
      <c r="BH152" s="59">
        <f t="shared" si="116"/>
        <v>1162.5308210152614</v>
      </c>
      <c r="BI152" s="59">
        <f ca="1">AVERAGE(OFFSET($BH$3,0,0,'Données projet'!$E$11+1,1))-AVERAGE(OFFSET($H$3,0,0,'Données projet'!$E$11+1,1))</f>
        <v>593.28343396240075</v>
      </c>
      <c r="BJ152" s="59">
        <f t="shared" si="146"/>
        <v>289.66477662068695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33.851434217520818</v>
      </c>
      <c r="BQ152" s="21">
        <f>EXP(-LN(2)/25)*BQ151+(1-EXP(-LN(2)/25))/(LN(2)/25)*Calculateur!BL152*Calculateur!BN152*VLOOKUP('Données projet'!$B$11,Paramètres!$A$1:$I$89,3,0)*0.475*44/12</f>
        <v>22.573442842234233</v>
      </c>
      <c r="BR152" s="21">
        <f>EXP(-LN(2)/2)*BR151+(1-EXP(-LN(2)/2))/(LN(2)/2)*BL152*BO152*VLOOKUP('Données projet'!$B$11,Paramètres!$A$1:$I$89,3,0)*0.475*44/12</f>
        <v>1.1726082971462273</v>
      </c>
      <c r="BS152" s="22">
        <f t="shared" si="117"/>
        <v>57.597485356901274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2.5579538487363607E-13</v>
      </c>
      <c r="BZ152" s="13">
        <f>BY152*VLOOKUP('Données projet'!$B$12,Paramètres!$A$1:$I$89,3,0)*VLOOKUP('Données projet'!$B$12,Paramètres!$A$1:$I$89,5,0)</f>
        <v>2.7533815227798186E-13</v>
      </c>
      <c r="CA152" s="13">
        <f t="shared" si="147"/>
        <v>3.6763598146902537E-12</v>
      </c>
      <c r="CB152" s="20">
        <f t="shared" si="118"/>
        <v>6.88254062580301E-12</v>
      </c>
      <c r="CC152" s="59">
        <f t="shared" si="119"/>
        <v>293.33333333334019</v>
      </c>
      <c r="CD152" s="59">
        <f ca="1">AVERAGE(OFFSET($CC$3,0,0,'Données projet'!$E$12+1,1))-AVERAGE(OFFSET($H$3,0,0,'Données projet'!$E$12+1,1))</f>
        <v>502.65044103360322</v>
      </c>
      <c r="CE152" s="59">
        <f t="shared" si="148"/>
        <v>321.65762891855167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92.247561683035045</v>
      </c>
      <c r="CL152" s="21">
        <f>EXP(-LN(2)/25)*CL151+(1-EXP(-LN(2)/25))/(LN(2)/25)*Calculateur!CG152*Calculateur!CI152*VLOOKUP('Données projet'!$B$12,Paramètres!$A$1:$I$89,3,0)*0.475*44/12</f>
        <v>16.537268366479317</v>
      </c>
      <c r="CM152" s="21">
        <f>EXP(-LN(2)/2)*CM151+(1-EXP(-LN(2)/2))/(LN(2)/2)*CG152*CJ152*VLOOKUP('Données projet'!$B$12,Paramètres!$A$1:$I$89,3,0)*0.475*44/12</f>
        <v>1.1187547585574492E-2</v>
      </c>
      <c r="CN152" s="22">
        <f t="shared" si="120"/>
        <v>108.79601759709995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239.26156489359892</v>
      </c>
      <c r="T153" s="59">
        <f t="shared" si="142"/>
        <v>213.97034450798111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3.2956216090971941</v>
      </c>
      <c r="AA153" s="21">
        <f>EXP(-LN(2)/25)*AA152+(1-EXP(-LN(2)/25))/(LN(2)/25)*Calculateur!V153*Calculateur!X153*VLOOKUP('Données projet'!$B$9,Paramètres!$A$1:$I$89,3,0)*0.475*44/12</f>
        <v>12.099763541508509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15.395385150605703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4.6025000000000063</v>
      </c>
      <c r="AI153" s="13">
        <f>IF('Données projet'!$A$62&gt;35,AI152+AH153-AQ152,IF(A153&lt;'Données projet'!$A$62,$AF$205^A153,IF(A153='Données projet'!$A$62,'Données projet'!$B$62,AI152+AH153-AQ152)))</f>
        <v>272.49250000000052</v>
      </c>
      <c r="AJ153" s="13">
        <f>AI153*VLOOKUP('Données projet'!$B$10,Paramètres!$A$1:$I$89,3,0)*VLOOKUP('Données projet'!$B$10,Paramètres!$A$1:$I$89,5,0)</f>
        <v>276.30739500000055</v>
      </c>
      <c r="AK153" s="13">
        <f t="shared" si="143"/>
        <v>66.186053386507425</v>
      </c>
      <c r="AL153" s="20">
        <f t="shared" si="112"/>
        <v>596.50942260650129</v>
      </c>
      <c r="AM153" s="59">
        <f t="shared" si="113"/>
        <v>889.84275593983466</v>
      </c>
      <c r="AN153" s="59">
        <f ca="1">AVERAGE(OFFSET($AM$3,0,0,'Données projet'!$E$10+1,1))-AVERAGE(OFFSET($H$3,0,0,'Données projet'!$E$10+1,1))</f>
        <v>543.88440431478944</v>
      </c>
      <c r="AO153" s="59">
        <f t="shared" si="144"/>
        <v>342.63929463709457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79.998117913184302</v>
      </c>
      <c r="AV153" s="21">
        <f>EXP(-LN(2)/25)*AV152+(1-EXP(-LN(2)/25))/(LN(2)/25)*Calculateur!AQ153*Calculateur!AS153*VLOOKUP('Données projet'!$B$10,Paramètres!$A$1:$I$89,3,0)*0.475*44/12</f>
        <v>21.26561686176143</v>
      </c>
      <c r="AW153" s="21">
        <f>EXP(-LN(2)/2)*AW152+(1-EXP(-LN(2)/2))/(LN(2)/2)*AQ153*AT153*VLOOKUP('Données projet'!$B$10,Paramètres!$A$1:$I$89,3,0)*0.475*44/12</f>
        <v>5.9759932437616712</v>
      </c>
      <c r="AX153" s="21">
        <f t="shared" si="114"/>
        <v>107.23972801870741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7.5191666666666634</v>
      </c>
      <c r="BD153" s="12">
        <f>IF('Données projet'!$A$88&gt;35,BD152+BC153-BL152,IF(A153&lt;'Données projet'!$A$88,$BA$205^A153,IF(A153='Données projet'!$A$88,'Données projet'!$B$88,BD152+BC153-BL152)))</f>
        <v>364.0849999999997</v>
      </c>
      <c r="BE153" s="13">
        <f>BD153*VLOOKUP('Données projet'!$B$11,Paramètres!$A$1:$I$89,3,0)*VLOOKUP('Données projet'!$B$11,Paramètres!$A$1:$I$89,5,0)</f>
        <v>414.61999799999973</v>
      </c>
      <c r="BF153" s="13">
        <f t="shared" si="145"/>
        <v>94.734424577852963</v>
      </c>
      <c r="BG153" s="20">
        <f t="shared" si="115"/>
        <v>887.12561932309336</v>
      </c>
      <c r="BH153" s="59">
        <f t="shared" si="116"/>
        <v>1180.4589526564266</v>
      </c>
      <c r="BI153" s="59">
        <f ca="1">AVERAGE(OFFSET($BH$3,0,0,'Données projet'!$E$11+1,1))-AVERAGE(OFFSET($H$3,0,0,'Données projet'!$E$11+1,1))</f>
        <v>593.28343396240075</v>
      </c>
      <c r="BJ153" s="59">
        <f t="shared" si="146"/>
        <v>289.66477662068695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33.18762823985135</v>
      </c>
      <c r="BQ153" s="21">
        <f>EXP(-LN(2)/25)*BQ152+(1-EXP(-LN(2)/25))/(LN(2)/25)*Calculateur!BL153*Calculateur!BN153*VLOOKUP('Données projet'!$B$11,Paramètres!$A$1:$I$89,3,0)*0.475*44/12</f>
        <v>21.956170860627569</v>
      </c>
      <c r="BR153" s="21">
        <f>EXP(-LN(2)/2)*BR152+(1-EXP(-LN(2)/2))/(LN(2)/2)*BL153*BO153*VLOOKUP('Données projet'!$B$11,Paramètres!$A$1:$I$89,3,0)*0.475*44/12</f>
        <v>0.82915927858770744</v>
      </c>
      <c r="BS153" s="22">
        <f t="shared" si="117"/>
        <v>55.972958379066625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2.5579538487363607E-13</v>
      </c>
      <c r="BZ153" s="13">
        <f>BY153*VLOOKUP('Données projet'!$B$12,Paramètres!$A$1:$I$89,3,0)*VLOOKUP('Données projet'!$B$12,Paramètres!$A$1:$I$89,5,0)</f>
        <v>2.7533815227798186E-13</v>
      </c>
      <c r="CA153" s="13">
        <f t="shared" si="147"/>
        <v>3.6763598146902537E-12</v>
      </c>
      <c r="CB153" s="20">
        <f t="shared" si="118"/>
        <v>6.88254062580301E-12</v>
      </c>
      <c r="CC153" s="59">
        <f t="shared" si="119"/>
        <v>293.33333333334019</v>
      </c>
      <c r="CD153" s="59">
        <f ca="1">AVERAGE(OFFSET($CC$3,0,0,'Données projet'!$E$12+1,1))-AVERAGE(OFFSET($H$3,0,0,'Données projet'!$E$12+1,1))</f>
        <v>502.65044103360322</v>
      </c>
      <c r="CE153" s="59">
        <f t="shared" si="148"/>
        <v>321.65762891855167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90.438643263887599</v>
      </c>
      <c r="CL153" s="21">
        <f>EXP(-LN(2)/25)*CL152+(1-EXP(-LN(2)/25))/(LN(2)/25)*Calculateur!CG153*Calculateur!CI153*VLOOKUP('Données projet'!$B$12,Paramètres!$A$1:$I$89,3,0)*0.475*44/12</f>
        <v>16.085055893340794</v>
      </c>
      <c r="CM153" s="21">
        <f>EXP(-LN(2)/2)*CM152+(1-EXP(-LN(2)/2))/(LN(2)/2)*CG153*CJ153*VLOOKUP('Données projet'!$B$12,Paramètres!$A$1:$I$89,3,0)*0.475*44/12</f>
        <v>7.9107907626069108E-3</v>
      </c>
      <c r="CN153" s="22">
        <f t="shared" si="120"/>
        <v>106.531609947991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239.26156489359892</v>
      </c>
      <c r="T154" s="59">
        <f t="shared" si="142"/>
        <v>213.97034450798111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3.2309964794734958</v>
      </c>
      <c r="AA154" s="21">
        <f>EXP(-LN(2)/25)*AA153+(1-EXP(-LN(2)/25))/(LN(2)/25)*Calculateur!V154*Calculateur!X154*VLOOKUP('Données projet'!$B$9,Paramètres!$A$1:$I$89,3,0)*0.475*44/12</f>
        <v>11.768894871167047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14.999891350640542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4.6025000000000063</v>
      </c>
      <c r="AI154" s="13">
        <f>IF('Données projet'!$A$62&gt;35,AI153+AH154-AQ153,IF(A154&lt;'Données projet'!$A$62,$AF$205^A154,IF(A154='Données projet'!$A$62,'Données projet'!$B$62,AI153+AH154-AQ153)))</f>
        <v>277.09500000000054</v>
      </c>
      <c r="AJ154" s="13">
        <f>AI154*VLOOKUP('Données projet'!$B$10,Paramètres!$A$1:$I$89,3,0)*VLOOKUP('Données projet'!$B$10,Paramètres!$A$1:$I$89,5,0)</f>
        <v>280.97433000000058</v>
      </c>
      <c r="AK154" s="13">
        <f t="shared" ref="AK154:AK203" si="164">EXP(-1.0587+0.8836*LN(AJ154)+0.284)</f>
        <v>67.172871172715986</v>
      </c>
      <c r="AL154" s="20">
        <f t="shared" ref="AL154:AL203" si="165">(AJ154+AK154)*0.475*44/12</f>
        <v>606.35637537581465</v>
      </c>
      <c r="AM154" s="59">
        <f t="shared" si="113"/>
        <v>899.68970870914791</v>
      </c>
      <c r="AN154" s="59">
        <f ca="1">AVERAGE(OFFSET($AM$3,0,0,'Données projet'!$E$10+1,1))-AVERAGE(OFFSET($H$3,0,0,'Données projet'!$E$10+1,1))</f>
        <v>543.88440431478944</v>
      </c>
      <c r="AO154" s="59">
        <f t="shared" si="144"/>
        <v>342.63929463709457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78.429403614940668</v>
      </c>
      <c r="AV154" s="21">
        <f>EXP(-LN(2)/25)*AV153+(1-EXP(-LN(2)/25))/(LN(2)/25)*Calculateur!AQ154*Calculateur!AS154*VLOOKUP('Données projet'!$B$10,Paramètres!$A$1:$I$89,3,0)*0.475*44/12</f>
        <v>20.684107450366376</v>
      </c>
      <c r="AW154" s="21">
        <f>EXP(-LN(2)/2)*AW153+(1-EXP(-LN(2)/2))/(LN(2)/2)*AQ154*AT154*VLOOKUP('Données projet'!$B$10,Paramètres!$A$1:$I$89,3,0)*0.475*44/12</f>
        <v>4.2256653469888708</v>
      </c>
      <c r="AX154" s="21">
        <f t="shared" ref="AX154:AX203" si="166">SUM(AU154:AW154)</f>
        <v>103.33917641229593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7.5191666666666634</v>
      </c>
      <c r="BD154" s="12">
        <f>IF('Données projet'!$A$88&gt;35,BD153+BC154-BL153,IF(A154&lt;'Données projet'!$A$88,$BA$205^A154,IF(A154='Données projet'!$A$88,'Données projet'!$B$88,BD153+BC154-BL153)))</f>
        <v>371.60416666666634</v>
      </c>
      <c r="BE154" s="13">
        <f>BD154*VLOOKUP('Données projet'!$B$11,Paramètres!$A$1:$I$89,3,0)*VLOOKUP('Données projet'!$B$11,Paramètres!$A$1:$I$89,5,0)</f>
        <v>423.18282499999958</v>
      </c>
      <c r="BF154" s="13">
        <f t="shared" ref="BF154:BF203" si="167">EXP(-1.0587+0.8836*LN(BE154)+0.284)</f>
        <v>96.461105569944294</v>
      </c>
      <c r="BG154" s="20">
        <f t="shared" ref="BG154:BG203" si="168">(BE154+BF154)*0.475*44/12</f>
        <v>905.04651240931889</v>
      </c>
      <c r="BH154" s="59">
        <f t="shared" si="116"/>
        <v>1198.3798457426522</v>
      </c>
      <c r="BI154" s="59">
        <f ca="1">AVERAGE(OFFSET($BH$3,0,0,'Données projet'!$E$11+1,1))-AVERAGE(OFFSET($H$3,0,0,'Données projet'!$E$11+1,1))</f>
        <v>593.28343396240075</v>
      </c>
      <c r="BJ154" s="59">
        <f t="shared" si="146"/>
        <v>289.66477662068695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32.536839092522314</v>
      </c>
      <c r="BQ154" s="21">
        <f>EXP(-LN(2)/25)*BQ153+(1-EXP(-LN(2)/25))/(LN(2)/25)*Calculateur!BL154*Calculateur!BN154*VLOOKUP('Données projet'!$B$11,Paramètres!$A$1:$I$89,3,0)*0.475*44/12</f>
        <v>21.355778213818866</v>
      </c>
      <c r="BR154" s="21">
        <f>EXP(-LN(2)/2)*BR153+(1-EXP(-LN(2)/2))/(LN(2)/2)*BL154*BO154*VLOOKUP('Données projet'!$B$11,Paramètres!$A$1:$I$89,3,0)*0.475*44/12</f>
        <v>0.58630414857311364</v>
      </c>
      <c r="BS154" s="22">
        <f t="shared" ref="BS154:BS203" si="169">SUM(BP154:BR154)</f>
        <v>54.478921454914293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2.5579538487363607E-13</v>
      </c>
      <c r="BZ154" s="13">
        <f>BY154*VLOOKUP('Données projet'!$B$12,Paramètres!$A$1:$I$89,3,0)*VLOOKUP('Données projet'!$B$12,Paramètres!$A$1:$I$89,5,0)</f>
        <v>2.7533815227798186E-13</v>
      </c>
      <c r="CA154" s="13">
        <f t="shared" ref="CA154:CA203" si="170">EXP(-1.0587+0.8836*LN(BZ154)+0.284)</f>
        <v>3.6763598146902537E-12</v>
      </c>
      <c r="CB154" s="20">
        <f t="shared" ref="CB154:CB203" si="171">(BZ154+CA154)*0.475*44/12</f>
        <v>6.88254062580301E-12</v>
      </c>
      <c r="CC154" s="59">
        <f t="shared" si="119"/>
        <v>293.33333333334019</v>
      </c>
      <c r="CD154" s="59">
        <f ca="1">AVERAGE(OFFSET($CC$3,0,0,'Données projet'!$E$12+1,1))-AVERAGE(OFFSET($H$3,0,0,'Données projet'!$E$12+1,1))</f>
        <v>502.65044103360322</v>
      </c>
      <c r="CE154" s="59">
        <f t="shared" si="148"/>
        <v>321.65762891855167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88.665196631608353</v>
      </c>
      <c r="CL154" s="21">
        <f>EXP(-LN(2)/25)*CL153+(1-EXP(-LN(2)/25))/(LN(2)/25)*Calculateur!CG154*Calculateur!CI154*VLOOKUP('Données projet'!$B$12,Paramètres!$A$1:$I$89,3,0)*0.475*44/12</f>
        <v>15.645209194061064</v>
      </c>
      <c r="CM154" s="21">
        <f>EXP(-LN(2)/2)*CM153+(1-EXP(-LN(2)/2))/(LN(2)/2)*CG154*CJ154*VLOOKUP('Données projet'!$B$12,Paramètres!$A$1:$I$89,3,0)*0.475*44/12</f>
        <v>5.5937737927872462E-3</v>
      </c>
      <c r="CN154" s="22">
        <f t="shared" ref="CN154:CN203" si="172">SUM(CK154:CM154)</f>
        <v>104.3159995994622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239.26156489359892</v>
      </c>
      <c r="T155" s="59">
        <f t="shared" si="142"/>
        <v>213.97034450798111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3.1676386092242814</v>
      </c>
      <c r="AA155" s="21">
        <f>EXP(-LN(2)/25)*AA154+(1-EXP(-LN(2)/25))/(LN(2)/25)*Calculateur!V155*Calculateur!X155*VLOOKUP('Données projet'!$B$9,Paramètres!$A$1:$I$89,3,0)*0.475*44/12</f>
        <v>11.447073822015701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14.614712431239983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4.6025000000000063</v>
      </c>
      <c r="AI155" s="13">
        <f>IF('Données projet'!$A$62&gt;35,AI154+AH155-AQ154,IF(A155&lt;'Données projet'!$A$62,$AF$205^A155,IF(A155='Données projet'!$A$62,'Données projet'!$B$62,AI154+AH155-AQ154)))</f>
        <v>281.69750000000056</v>
      </c>
      <c r="AJ155" s="13">
        <f>AI155*VLOOKUP('Données projet'!$B$10,Paramètres!$A$1:$I$89,3,0)*VLOOKUP('Données projet'!$B$10,Paramètres!$A$1:$I$89,5,0)</f>
        <v>285.6412650000006</v>
      </c>
      <c r="AK155" s="13">
        <f t="shared" si="164"/>
        <v>68.157782811843248</v>
      </c>
      <c r="AL155" s="20">
        <f t="shared" si="165"/>
        <v>616.20000827229467</v>
      </c>
      <c r="AM155" s="59">
        <f t="shared" si="113"/>
        <v>909.53334160562804</v>
      </c>
      <c r="AN155" s="59">
        <f ca="1">AVERAGE(OFFSET($AM$3,0,0,'Données projet'!$E$10+1,1))-AVERAGE(OFFSET($H$3,0,0,'Données projet'!$E$10+1,1))</f>
        <v>543.88440431478944</v>
      </c>
      <c r="AO155" s="59">
        <f t="shared" si="144"/>
        <v>342.63929463709457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76.891450847264352</v>
      </c>
      <c r="AV155" s="21">
        <f>EXP(-LN(2)/25)*AV154+(1-EXP(-LN(2)/25))/(LN(2)/25)*Calculateur!AQ155*Calculateur!AS155*VLOOKUP('Données projet'!$B$10,Paramètres!$A$1:$I$89,3,0)*0.475*44/12</f>
        <v>20.118499444406172</v>
      </c>
      <c r="AW155" s="21">
        <f>EXP(-LN(2)/2)*AW154+(1-EXP(-LN(2)/2))/(LN(2)/2)*AQ155*AT155*VLOOKUP('Données projet'!$B$10,Paramètres!$A$1:$I$89,3,0)*0.475*44/12</f>
        <v>2.987996621880836</v>
      </c>
      <c r="AX155" s="21">
        <f t="shared" si="166"/>
        <v>99.99794691355136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7.5191666666666634</v>
      </c>
      <c r="BD155" s="12">
        <f>IF('Données projet'!$A$88&gt;35,BD154+BC155-BL154,IF(A155&lt;'Données projet'!$A$88,$BA$205^A155,IF(A155='Données projet'!$A$88,'Données projet'!$B$88,BD154+BC155-BL154)))</f>
        <v>379.12333333333299</v>
      </c>
      <c r="BE155" s="13">
        <f>BD155*VLOOKUP('Données projet'!$B$11,Paramètres!$A$1:$I$89,3,0)*VLOOKUP('Données projet'!$B$11,Paramètres!$A$1:$I$89,5,0)</f>
        <v>431.74565199999961</v>
      </c>
      <c r="BF155" s="13">
        <f t="shared" si="167"/>
        <v>98.183724241289511</v>
      </c>
      <c r="BG155" s="20">
        <f t="shared" si="168"/>
        <v>922.96033028691181</v>
      </c>
      <c r="BH155" s="59">
        <f t="shared" si="116"/>
        <v>1216.2936636202451</v>
      </c>
      <c r="BI155" s="59">
        <f ca="1">AVERAGE(OFFSET($BH$3,0,0,'Données projet'!$E$11+1,1))-AVERAGE(OFFSET($H$3,0,0,'Données projet'!$E$11+1,1))</f>
        <v>593.28343396240075</v>
      </c>
      <c r="BJ155" s="59">
        <f t="shared" si="146"/>
        <v>289.66477662068695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31.898811523430215</v>
      </c>
      <c r="BQ155" s="21">
        <f>EXP(-LN(2)/25)*BQ154+(1-EXP(-LN(2)/25))/(LN(2)/25)*Calculateur!BL155*Calculateur!BN155*VLOOKUP('Données projet'!$B$11,Paramètres!$A$1:$I$89,3,0)*0.475*44/12</f>
        <v>20.771803335510423</v>
      </c>
      <c r="BR155" s="21">
        <f>EXP(-LN(2)/2)*BR154+(1-EXP(-LN(2)/2))/(LN(2)/2)*BL155*BO155*VLOOKUP('Données projet'!$B$11,Paramètres!$A$1:$I$89,3,0)*0.475*44/12</f>
        <v>0.41457963929385372</v>
      </c>
      <c r="BS155" s="22">
        <f t="shared" si="169"/>
        <v>53.085194498234493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2.5579538487363607E-13</v>
      </c>
      <c r="BZ155" s="13">
        <f>BY155*VLOOKUP('Données projet'!$B$12,Paramètres!$A$1:$I$89,3,0)*VLOOKUP('Données projet'!$B$12,Paramètres!$A$1:$I$89,5,0)</f>
        <v>2.7533815227798186E-13</v>
      </c>
      <c r="CA155" s="13">
        <f t="shared" si="170"/>
        <v>3.6763598146902537E-12</v>
      </c>
      <c r="CB155" s="20">
        <f t="shared" si="171"/>
        <v>6.88254062580301E-12</v>
      </c>
      <c r="CC155" s="59">
        <f t="shared" si="119"/>
        <v>293.33333333334019</v>
      </c>
      <c r="CD155" s="59">
        <f ca="1">AVERAGE(OFFSET($CC$3,0,0,'Données projet'!$E$12+1,1))-AVERAGE(OFFSET($H$3,0,0,'Données projet'!$E$12+1,1))</f>
        <v>502.65044103360322</v>
      </c>
      <c r="CE155" s="59">
        <f t="shared" si="148"/>
        <v>321.65762891855167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86.926526206092461</v>
      </c>
      <c r="CL155" s="21">
        <f>EXP(-LN(2)/25)*CL154+(1-EXP(-LN(2)/25))/(LN(2)/25)*Calculateur!CG155*Calculateur!CI155*VLOOKUP('Données projet'!$B$12,Paramètres!$A$1:$I$89,3,0)*0.475*44/12</f>
        <v>15.21739012590367</v>
      </c>
      <c r="CM155" s="21">
        <f>EXP(-LN(2)/2)*CM154+(1-EXP(-LN(2)/2))/(LN(2)/2)*CG155*CJ155*VLOOKUP('Données projet'!$B$12,Paramètres!$A$1:$I$89,3,0)*0.475*44/12</f>
        <v>3.9553953813034554E-3</v>
      </c>
      <c r="CN155" s="22">
        <f t="shared" si="172"/>
        <v>102.14787172737744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239.26156489359892</v>
      </c>
      <c r="T156" s="59">
        <f t="shared" si="142"/>
        <v>213.97034450798111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3.1055231481661689</v>
      </c>
      <c r="AA156" s="21">
        <f>EXP(-LN(2)/25)*AA155+(1-EXP(-LN(2)/25))/(LN(2)/25)*Calculateur!V156*Calculateur!X156*VLOOKUP('Données projet'!$B$9,Paramètres!$A$1:$I$89,3,0)*0.475*44/12</f>
        <v>11.134052986377233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14.239576134543402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>
        <f>VLOOKUP(A156,'Données projet'!$A$61:$I$81,2,0)</f>
        <v>286.3</v>
      </c>
      <c r="AG156" s="12">
        <f>VLOOKUP(A156,'Données projet'!$A$61:$I$81,9,0)</f>
        <v>4.6025000000000063</v>
      </c>
      <c r="AH156" s="12">
        <f t="array" ref="AH156">INDEX(AG:AG,MIN(IF(ISNUMBER(AG156:AG352),ROW(AG156:AG352),"")))</f>
        <v>4.6025000000000063</v>
      </c>
      <c r="AI156" s="13">
        <f>IF('Données projet'!$A$62&gt;35,AI155+AH156-AQ155,IF(A156&lt;'Données projet'!$A$62,$AF$205^A156,IF(A156='Données projet'!$A$62,'Données projet'!$B$62,AI155+AH156-AQ155)))</f>
        <v>286.30000000000058</v>
      </c>
      <c r="AJ156" s="13">
        <f>AI156*VLOOKUP('Données projet'!$B$10,Paramètres!$A$1:$I$89,3,0)*VLOOKUP('Données projet'!$B$10,Paramètres!$A$1:$I$89,5,0)</f>
        <v>290.30820000000062</v>
      </c>
      <c r="AK156" s="13">
        <f t="shared" si="164"/>
        <v>69.140823042549741</v>
      </c>
      <c r="AL156" s="20">
        <f t="shared" si="165"/>
        <v>626.04038179910856</v>
      </c>
      <c r="AM156" s="59">
        <f t="shared" si="113"/>
        <v>919.37371513244193</v>
      </c>
      <c r="AN156" s="59">
        <f ca="1">AVERAGE(OFFSET($AM$3,0,0,'Données projet'!$E$10+1,1))-AVERAGE(OFFSET($H$3,0,0,'Données projet'!$E$10+1,1))</f>
        <v>543.88440431478944</v>
      </c>
      <c r="AO156" s="59">
        <f t="shared" si="144"/>
        <v>342.63929463709457</v>
      </c>
      <c r="AP156" s="15">
        <f>IF(ISNA(VLOOKUP(A156,'Données projet'!$A$61:$I$81,3,0)),0,VLOOKUP(A156,'Données projet'!$A$61:$I$81,3,0))</f>
        <v>13</v>
      </c>
      <c r="AQ156" s="15">
        <f>IF(ISNA(VLOOKUP(A156,'Données projet'!$A$61:$I$81,4,0)),0,VLOOKUP(A156,'Données projet'!$A$61:$I$81,4,0))</f>
        <v>102.89000000000001</v>
      </c>
      <c r="AR156" s="16">
        <f>IF(ISNA(VLOOKUP(A156,'Données projet'!$A$61:$I$81,5,0)),0%,VLOOKUP(A156,'Données projet'!$A$61:$I$81,5,0)*VLOOKUP('Données projet'!$B$10,Paramètres!$A$1:$I$89,7,0))</f>
        <v>0.19350000000000001</v>
      </c>
      <c r="AS156" s="16">
        <f>IF(ISNA(VLOOKUP(A156,'Données projet'!$A$61:$I$81,6,0)),0%,VLOOKUP(A156,'Données projet'!$A$61:$I$81,6,0)*VLOOKUP('Données projet'!$B$10,Paramètres!$A$1:$I$89,7,0))</f>
        <v>2.1500000000000002E-2</v>
      </c>
      <c r="AT156" s="16">
        <f>IF(ISNA(VLOOKUP(A156,'Données projet'!$A$61:$I$81,7,0)),0%,VLOOKUP(A156,'Données projet'!$A$61:$I$81,7,0))</f>
        <v>0.05</v>
      </c>
      <c r="AU156" s="21">
        <f>EXP(-LN(2)/35)*AU155+(1-EXP(-LN(2)/35))/(LN(2)/35)*AQ156*AR156*VLOOKUP('Données projet'!$B$10,Paramètres!$A$1:$I$89,3,0)*0.475*44/12</f>
        <v>97.700830522028255</v>
      </c>
      <c r="AV156" s="21">
        <f>EXP(-LN(2)/25)*AV155+(1-EXP(-LN(2)/25))/(LN(2)/25)*Calculateur!AQ156*Calculateur!AS156*VLOOKUP('Données projet'!$B$10,Paramètres!$A$1:$I$89,3,0)*0.475*44/12</f>
        <v>22.038280564521617</v>
      </c>
      <c r="AW156" s="21">
        <f>EXP(-LN(2)/2)*AW155+(1-EXP(-LN(2)/2))/(LN(2)/2)*AQ156*AT156*VLOOKUP('Données projet'!$B$10,Paramètres!$A$1:$I$89,3,0)*0.475*44/12</f>
        <v>7.0347625246524803</v>
      </c>
      <c r="AX156" s="21">
        <f t="shared" si="166"/>
        <v>126.77387361120235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7.5191666666666634</v>
      </c>
      <c r="BD156" s="12">
        <f>IF('Données projet'!$A$88&gt;35,BD155+BC156-BL155,IF(A156&lt;'Données projet'!$A$88,$BA$205^A156,IF(A156='Données projet'!$A$88,'Données projet'!$B$88,BD155+BC156-BL155)))</f>
        <v>386.64249999999964</v>
      </c>
      <c r="BE156" s="13">
        <f>BD156*VLOOKUP('Données projet'!$B$11,Paramètres!$A$1:$I$89,3,0)*VLOOKUP('Données projet'!$B$11,Paramètres!$A$1:$I$89,5,0)</f>
        <v>440.30847899999958</v>
      </c>
      <c r="BF156" s="13">
        <f t="shared" si="167"/>
        <v>99.902370446319125</v>
      </c>
      <c r="BG156" s="20">
        <f t="shared" si="168"/>
        <v>940.86722945233839</v>
      </c>
      <c r="BH156" s="59">
        <f t="shared" si="116"/>
        <v>1234.2005627856718</v>
      </c>
      <c r="BI156" s="59">
        <f ca="1">AVERAGE(OFFSET($BH$3,0,0,'Données projet'!$E$11+1,1))-AVERAGE(OFFSET($H$3,0,0,'Données projet'!$E$11+1,1))</f>
        <v>593.28343396240075</v>
      </c>
      <c r="BJ156" s="59">
        <f t="shared" si="146"/>
        <v>289.66477662068695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31.273295285809624</v>
      </c>
      <c r="BQ156" s="21">
        <f>EXP(-LN(2)/25)*BQ155+(1-EXP(-LN(2)/25))/(LN(2)/25)*Calculateur!BL156*Calculateur!BN156*VLOOKUP('Données projet'!$B$11,Paramètres!$A$1:$I$89,3,0)*0.475*44/12</f>
        <v>20.203797280959229</v>
      </c>
      <c r="BR156" s="21">
        <f>EXP(-LN(2)/2)*BR155+(1-EXP(-LN(2)/2))/(LN(2)/2)*BL156*BO156*VLOOKUP('Données projet'!$B$11,Paramètres!$A$1:$I$89,3,0)*0.475*44/12</f>
        <v>0.29315207428655682</v>
      </c>
      <c r="BS156" s="22">
        <f t="shared" si="169"/>
        <v>51.770244641055413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2.5579538487363607E-13</v>
      </c>
      <c r="BZ156" s="13">
        <f>BY156*VLOOKUP('Données projet'!$B$12,Paramètres!$A$1:$I$89,3,0)*VLOOKUP('Données projet'!$B$12,Paramètres!$A$1:$I$89,5,0)</f>
        <v>2.7533815227798186E-13</v>
      </c>
      <c r="CA156" s="13">
        <f t="shared" si="170"/>
        <v>3.6763598146902537E-12</v>
      </c>
      <c r="CB156" s="20">
        <f t="shared" si="171"/>
        <v>6.88254062580301E-12</v>
      </c>
      <c r="CC156" s="59">
        <f t="shared" si="119"/>
        <v>293.33333333334019</v>
      </c>
      <c r="CD156" s="59">
        <f ca="1">AVERAGE(OFFSET($CC$3,0,0,'Données projet'!$E$12+1,1))-AVERAGE(OFFSET($H$3,0,0,'Données projet'!$E$12+1,1))</f>
        <v>502.65044103360322</v>
      </c>
      <c r="CE156" s="59">
        <f t="shared" si="148"/>
        <v>321.65762891855167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85.221950047136687</v>
      </c>
      <c r="CL156" s="21">
        <f>EXP(-LN(2)/25)*CL155+(1-EXP(-LN(2)/25))/(LN(2)/25)*Calculateur!CG156*Calculateur!CI156*VLOOKUP('Données projet'!$B$12,Paramètres!$A$1:$I$89,3,0)*0.475*44/12</f>
        <v>14.801269792663067</v>
      </c>
      <c r="CM156" s="21">
        <f>EXP(-LN(2)/2)*CM155+(1-EXP(-LN(2)/2))/(LN(2)/2)*CG156*CJ156*VLOOKUP('Données projet'!$B$12,Paramètres!$A$1:$I$89,3,0)*0.475*44/12</f>
        <v>2.7968868963936231E-3</v>
      </c>
      <c r="CN156" s="22">
        <f t="shared" si="172"/>
        <v>100.02601672669614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239.26156489359892</v>
      </c>
      <c r="T157" s="59">
        <f t="shared" si="142"/>
        <v>213.97034450798111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3.0446257334127158</v>
      </c>
      <c r="AA157" s="21">
        <f>EXP(-LN(2)/25)*AA156+(1-EXP(-LN(2)/25))/(LN(2)/25)*Calculateur!V157*Calculateur!X157*VLOOKUP('Données projet'!$B$9,Paramètres!$A$1:$I$89,3,0)*0.475*44/12</f>
        <v>10.829591721950347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13.874217455363063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2.7775000000000034</v>
      </c>
      <c r="AI157" s="13">
        <f>IF('Données projet'!$A$62&gt;35,AI156+AH157-AQ156,IF(A157&lt;'Données projet'!$A$62,$AF$205^A157,IF(A157='Données projet'!$A$62,'Données projet'!$B$62,AI156+AH157-AQ156)))</f>
        <v>186.18750000000054</v>
      </c>
      <c r="AJ157" s="13">
        <f>AI157*VLOOKUP('Données projet'!$B$10,Paramètres!$A$1:$I$89,3,0)*VLOOKUP('Données projet'!$B$10,Paramètres!$A$1:$I$89,5,0)</f>
        <v>188.79412500000055</v>
      </c>
      <c r="AK157" s="13">
        <f t="shared" si="164"/>
        <v>47.273252299627856</v>
      </c>
      <c r="AL157" s="20">
        <f t="shared" si="165"/>
        <v>411.15068213018611</v>
      </c>
      <c r="AM157" s="59">
        <f t="shared" si="113"/>
        <v>704.48401546351943</v>
      </c>
      <c r="AN157" s="59">
        <f ca="1">AVERAGE(OFFSET($AM$3,0,0,'Données projet'!$E$10+1,1))-AVERAGE(OFFSET($H$3,0,0,'Données projet'!$E$10+1,1))</f>
        <v>543.88440431478944</v>
      </c>
      <c r="AO157" s="59">
        <f t="shared" si="144"/>
        <v>342.63929463709457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95.784976827113709</v>
      </c>
      <c r="AV157" s="21">
        <f>EXP(-LN(2)/25)*AV156+(1-EXP(-LN(2)/25))/(LN(2)/25)*Calculateur!AQ157*Calculateur!AS157*VLOOKUP('Données projet'!$B$10,Paramètres!$A$1:$I$89,3,0)*0.475*44/12</f>
        <v>21.43564262354197</v>
      </c>
      <c r="AW157" s="21">
        <f>EXP(-LN(2)/2)*AW156+(1-EXP(-LN(2)/2))/(LN(2)/2)*AQ157*AT157*VLOOKUP('Données projet'!$B$10,Paramètres!$A$1:$I$89,3,0)*0.475*44/12</f>
        <v>4.9743282852187667</v>
      </c>
      <c r="AX157" s="21">
        <f t="shared" si="166"/>
        <v>122.19494773587444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7.5191666666666634</v>
      </c>
      <c r="BD157" s="12">
        <f>IF('Données projet'!$A$88&gt;35,BD156+BC157-BL156,IF(A157&lt;'Données projet'!$A$88,$BA$205^A157,IF(A157='Données projet'!$A$88,'Données projet'!$B$88,BD156+BC157-BL156)))</f>
        <v>394.16166666666629</v>
      </c>
      <c r="BE157" s="13">
        <f>BD157*VLOOKUP('Données projet'!$B$11,Paramètres!$A$1:$I$89,3,0)*VLOOKUP('Données projet'!$B$11,Paramètres!$A$1:$I$89,5,0)</f>
        <v>448.87130599999961</v>
      </c>
      <c r="BF157" s="13">
        <f t="shared" si="167"/>
        <v>101.6171303446886</v>
      </c>
      <c r="BG157" s="20">
        <f t="shared" si="168"/>
        <v>958.76735996699881</v>
      </c>
      <c r="BH157" s="59">
        <f t="shared" si="116"/>
        <v>1252.1006933003321</v>
      </c>
      <c r="BI157" s="59">
        <f ca="1">AVERAGE(OFFSET($BH$3,0,0,'Données projet'!$E$11+1,1))-AVERAGE(OFFSET($H$3,0,0,'Données projet'!$E$11+1,1))</f>
        <v>593.28343396240075</v>
      </c>
      <c r="BJ157" s="59">
        <f t="shared" si="146"/>
        <v>289.66477662068695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30.660045040081538</v>
      </c>
      <c r="BQ157" s="21">
        <f>EXP(-LN(2)/25)*BQ156+(1-EXP(-LN(2)/25))/(LN(2)/25)*Calculateur!BL157*Calculateur!BN157*VLOOKUP('Données projet'!$B$11,Paramètres!$A$1:$I$89,3,0)*0.475*44/12</f>
        <v>19.651323381839877</v>
      </c>
      <c r="BR157" s="21">
        <f>EXP(-LN(2)/2)*BR156+(1-EXP(-LN(2)/2))/(LN(2)/2)*BL157*BO157*VLOOKUP('Données projet'!$B$11,Paramètres!$A$1:$I$89,3,0)*0.475*44/12</f>
        <v>0.20728981964692686</v>
      </c>
      <c r="BS157" s="22">
        <f t="shared" si="169"/>
        <v>50.518658241568339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2.5579538487363607E-13</v>
      </c>
      <c r="BZ157" s="13">
        <f>BY157*VLOOKUP('Données projet'!$B$12,Paramètres!$A$1:$I$89,3,0)*VLOOKUP('Données projet'!$B$12,Paramètres!$A$1:$I$89,5,0)</f>
        <v>2.7533815227798186E-13</v>
      </c>
      <c r="CA157" s="13">
        <f t="shared" si="170"/>
        <v>3.6763598146902537E-12</v>
      </c>
      <c r="CB157" s="20">
        <f t="shared" si="171"/>
        <v>6.88254062580301E-12</v>
      </c>
      <c r="CC157" s="59">
        <f t="shared" si="119"/>
        <v>293.33333333334019</v>
      </c>
      <c r="CD157" s="59">
        <f ca="1">AVERAGE(OFFSET($CC$3,0,0,'Données projet'!$E$12+1,1))-AVERAGE(OFFSET($H$3,0,0,'Données projet'!$E$12+1,1))</f>
        <v>502.65044103360322</v>
      </c>
      <c r="CE157" s="59">
        <f t="shared" si="148"/>
        <v>321.65762891855167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83.550799586969248</v>
      </c>
      <c r="CL157" s="21">
        <f>EXP(-LN(2)/25)*CL156+(1-EXP(-LN(2)/25))/(LN(2)/25)*Calculateur!CG157*Calculateur!CI157*VLOOKUP('Données projet'!$B$12,Paramètres!$A$1:$I$89,3,0)*0.475*44/12</f>
        <v>14.396528291817747</v>
      </c>
      <c r="CM157" s="21">
        <f>EXP(-LN(2)/2)*CM156+(1-EXP(-LN(2)/2))/(LN(2)/2)*CG157*CJ157*VLOOKUP('Données projet'!$B$12,Paramètres!$A$1:$I$89,3,0)*0.475*44/12</f>
        <v>1.9776976906517277E-3</v>
      </c>
      <c r="CN157" s="22">
        <f t="shared" si="172"/>
        <v>97.949305576477641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239.26156489359892</v>
      </c>
      <c r="T158" s="59">
        <f t="shared" si="142"/>
        <v>213.97034450798111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2.9849224798188225</v>
      </c>
      <c r="AA158" s="21">
        <f>EXP(-LN(2)/25)*AA157+(1-EXP(-LN(2)/25))/(LN(2)/25)*Calculateur!V158*Calculateur!X158*VLOOKUP('Données projet'!$B$9,Paramètres!$A$1:$I$89,3,0)*0.475*44/12</f>
        <v>10.533455966810138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13.51837844662896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2.7775000000000034</v>
      </c>
      <c r="AI158" s="13">
        <f>IF('Données projet'!$A$62&gt;35,AI157+AH158-AQ157,IF(A158&lt;'Données projet'!$A$62,$AF$205^A158,IF(A158='Données projet'!$A$62,'Données projet'!$B$62,AI157+AH158-AQ157)))</f>
        <v>188.96500000000054</v>
      </c>
      <c r="AJ158" s="13">
        <f>AI158*VLOOKUP('Données projet'!$B$10,Paramètres!$A$1:$I$89,3,0)*VLOOKUP('Données projet'!$B$10,Paramètres!$A$1:$I$89,5,0)</f>
        <v>191.61051000000057</v>
      </c>
      <c r="AK158" s="13">
        <f t="shared" si="164"/>
        <v>47.895838643848393</v>
      </c>
      <c r="AL158" s="20">
        <f t="shared" si="165"/>
        <v>417.14022388803693</v>
      </c>
      <c r="AM158" s="59">
        <f t="shared" si="113"/>
        <v>710.47355722137024</v>
      </c>
      <c r="AN158" s="59">
        <f ca="1">AVERAGE(OFFSET($AM$3,0,0,'Données projet'!$E$10+1,1))-AVERAGE(OFFSET($H$3,0,0,'Données projet'!$E$10+1,1))</f>
        <v>543.88440431478944</v>
      </c>
      <c r="AO158" s="59">
        <f t="shared" si="144"/>
        <v>342.63929463709457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93.906691854601078</v>
      </c>
      <c r="AV158" s="21">
        <f>EXP(-LN(2)/25)*AV157+(1-EXP(-LN(2)/25))/(LN(2)/25)*Calculateur!AQ158*Calculateur!AS158*VLOOKUP('Données projet'!$B$10,Paramètres!$A$1:$I$89,3,0)*0.475*44/12</f>
        <v>20.84948384874976</v>
      </c>
      <c r="AW158" s="21">
        <f>EXP(-LN(2)/2)*AW157+(1-EXP(-LN(2)/2))/(LN(2)/2)*AQ158*AT158*VLOOKUP('Données projet'!$B$10,Paramètres!$A$1:$I$89,3,0)*0.475*44/12</f>
        <v>3.517381262326241</v>
      </c>
      <c r="AX158" s="21">
        <f t="shared" si="166"/>
        <v>118.27355696567707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7.5191666666666634</v>
      </c>
      <c r="BD158" s="12">
        <f>IF('Données projet'!$A$88&gt;35,BD157+BC158-BL157,IF(A158&lt;'Données projet'!$A$88,$BA$205^A158,IF(A158='Données projet'!$A$88,'Données projet'!$B$88,BD157+BC158-BL157)))</f>
        <v>401.68083333333294</v>
      </c>
      <c r="BE158" s="13">
        <f>BD158*VLOOKUP('Données projet'!$B$11,Paramètres!$A$1:$I$89,3,0)*VLOOKUP('Données projet'!$B$11,Paramètres!$A$1:$I$89,5,0)</f>
        <v>457.43413299999958</v>
      </c>
      <c r="BF158" s="13">
        <f t="shared" si="167"/>
        <v>103.32808662074075</v>
      </c>
      <c r="BG158" s="20">
        <f t="shared" si="168"/>
        <v>976.66086583945616</v>
      </c>
      <c r="BH158" s="59">
        <f t="shared" si="116"/>
        <v>1269.9941991727894</v>
      </c>
      <c r="BI158" s="59">
        <f ca="1">AVERAGE(OFFSET($BH$3,0,0,'Données projet'!$E$11+1,1))-AVERAGE(OFFSET($H$3,0,0,'Données projet'!$E$11+1,1))</f>
        <v>593.28343396240075</v>
      </c>
      <c r="BJ158" s="59">
        <f t="shared" si="146"/>
        <v>289.66477662068695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30.058820257626465</v>
      </c>
      <c r="BQ158" s="21">
        <f>EXP(-LN(2)/25)*BQ157+(1-EXP(-LN(2)/25))/(LN(2)/25)*Calculateur!BL158*Calculateur!BN158*VLOOKUP('Données projet'!$B$11,Paramètres!$A$1:$I$89,3,0)*0.475*44/12</f>
        <v>19.113956910545284</v>
      </c>
      <c r="BR158" s="21">
        <f>EXP(-LN(2)/2)*BR157+(1-EXP(-LN(2)/2))/(LN(2)/2)*BL158*BO158*VLOOKUP('Données projet'!$B$11,Paramètres!$A$1:$I$89,3,0)*0.475*44/12</f>
        <v>0.14657603714327841</v>
      </c>
      <c r="BS158" s="22">
        <f t="shared" si="169"/>
        <v>49.319353205315025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2.5579538487363607E-13</v>
      </c>
      <c r="BZ158" s="13">
        <f>BY158*VLOOKUP('Données projet'!$B$12,Paramètres!$A$1:$I$89,3,0)*VLOOKUP('Données projet'!$B$12,Paramètres!$A$1:$I$89,5,0)</f>
        <v>2.7533815227798186E-13</v>
      </c>
      <c r="CA158" s="13">
        <f t="shared" si="170"/>
        <v>3.6763598146902537E-12</v>
      </c>
      <c r="CB158" s="20">
        <f t="shared" si="171"/>
        <v>6.88254062580301E-12</v>
      </c>
      <c r="CC158" s="59">
        <f t="shared" si="119"/>
        <v>293.33333333334019</v>
      </c>
      <c r="CD158" s="59">
        <f ca="1">AVERAGE(OFFSET($CC$3,0,0,'Données projet'!$E$12+1,1))-AVERAGE(OFFSET($H$3,0,0,'Données projet'!$E$12+1,1))</f>
        <v>502.65044103360322</v>
      </c>
      <c r="CE158" s="59">
        <f t="shared" si="148"/>
        <v>321.65762891855167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81.912419368024558</v>
      </c>
      <c r="CL158" s="21">
        <f>EXP(-LN(2)/25)*CL157+(1-EXP(-LN(2)/25))/(LN(2)/25)*Calculateur!CG158*Calculateur!CI158*VLOOKUP('Données projet'!$B$12,Paramètres!$A$1:$I$89,3,0)*0.475*44/12</f>
        <v>14.002854468597471</v>
      </c>
      <c r="CM158" s="21">
        <f>EXP(-LN(2)/2)*CM157+(1-EXP(-LN(2)/2))/(LN(2)/2)*CG158*CJ158*VLOOKUP('Données projet'!$B$12,Paramètres!$A$1:$I$89,3,0)*0.475*44/12</f>
        <v>1.3984434481968116E-3</v>
      </c>
      <c r="CN158" s="22">
        <f t="shared" si="172"/>
        <v>95.91667228007023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239.26156489359892</v>
      </c>
      <c r="T159" s="59">
        <f t="shared" si="142"/>
        <v>213.97034450798111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2.9263899706125165</v>
      </c>
      <c r="AA159" s="21">
        <f>EXP(-LN(2)/25)*AA158+(1-EXP(-LN(2)/25))/(LN(2)/25)*Calculateur!V159*Calculateur!X159*VLOOKUP('Données projet'!$B$9,Paramètres!$A$1:$I$89,3,0)*0.475*44/12</f>
        <v>10.24541805946734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13.171808030079857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2.7775000000000034</v>
      </c>
      <c r="AI159" s="13">
        <f>IF('Données projet'!$A$62&gt;35,AI158+AH159-AQ158,IF(A159&lt;'Données projet'!$A$62,$AF$205^A159,IF(A159='Données projet'!$A$62,'Données projet'!$B$62,AI158+AH159-AQ158)))</f>
        <v>191.74250000000055</v>
      </c>
      <c r="AJ159" s="13">
        <f>AI159*VLOOKUP('Données projet'!$B$10,Paramètres!$A$1:$I$89,3,0)*VLOOKUP('Données projet'!$B$10,Paramètres!$A$1:$I$89,5,0)</f>
        <v>194.42689500000057</v>
      </c>
      <c r="AK159" s="13">
        <f t="shared" si="164"/>
        <v>48.517360672692156</v>
      </c>
      <c r="AL159" s="20">
        <f t="shared" si="165"/>
        <v>423.12791196327316</v>
      </c>
      <c r="AM159" s="59">
        <f t="shared" si="113"/>
        <v>716.46124529660642</v>
      </c>
      <c r="AN159" s="59">
        <f ca="1">AVERAGE(OFFSET($AM$3,0,0,'Données projet'!$E$10+1,1))-AVERAGE(OFFSET($H$3,0,0,'Données projet'!$E$10+1,1))</f>
        <v>543.88440431478944</v>
      </c>
      <c r="AO159" s="59">
        <f t="shared" si="144"/>
        <v>342.63929463709457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92.065238904758701</v>
      </c>
      <c r="AV159" s="21">
        <f>EXP(-LN(2)/25)*AV158+(1-EXP(-LN(2)/25))/(LN(2)/25)*Calculateur!AQ159*Calculateur!AS159*VLOOKUP('Données projet'!$B$10,Paramètres!$A$1:$I$89,3,0)*0.475*44/12</f>
        <v>20.279353616478993</v>
      </c>
      <c r="AW159" s="21">
        <f>EXP(-LN(2)/2)*AW158+(1-EXP(-LN(2)/2))/(LN(2)/2)*AQ159*AT159*VLOOKUP('Données projet'!$B$10,Paramètres!$A$1:$I$89,3,0)*0.475*44/12</f>
        <v>2.4871641426093838</v>
      </c>
      <c r="AX159" s="21">
        <f t="shared" si="166"/>
        <v>114.83175666384709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>
        <f>VLOOKUP(A159,'Données projet'!$A$87:$I$107,2,0)</f>
        <v>409.2</v>
      </c>
      <c r="BB159" s="12">
        <f>VLOOKUP(A159,'Données projet'!$A$87:$I$107,9,0)</f>
        <v>7.5191666666666634</v>
      </c>
      <c r="BC159" s="12">
        <f t="array" ref="BC159">INDEX(BB:BB,MIN(IF(ISNUMBER(BB159:BB355),ROW(BB159:BB355),"")))</f>
        <v>7.5191666666666634</v>
      </c>
      <c r="BD159" s="12">
        <f>IF('Données projet'!$A$88&gt;35,BD158+BC159-BL158,IF(A159&lt;'Données projet'!$A$88,$BA$205^A159,IF(A159='Données projet'!$A$88,'Données projet'!$B$88,BD158+BC159-BL158)))</f>
        <v>409.19999999999959</v>
      </c>
      <c r="BE159" s="13">
        <f>BD159*VLOOKUP('Données projet'!$B$11,Paramètres!$A$1:$I$89,3,0)*VLOOKUP('Données projet'!$B$11,Paramètres!$A$1:$I$89,5,0)</f>
        <v>465.99695999999949</v>
      </c>
      <c r="BF159" s="13">
        <f t="shared" si="167"/>
        <v>105.03531868607018</v>
      </c>
      <c r="BG159" s="20">
        <f t="shared" si="168"/>
        <v>994.54788537823799</v>
      </c>
      <c r="BH159" s="59">
        <f t="shared" si="116"/>
        <v>1287.8812187115714</v>
      </c>
      <c r="BI159" s="59">
        <f ca="1">AVERAGE(OFFSET($BH$3,0,0,'Données projet'!$E$11+1,1))-AVERAGE(OFFSET($H$3,0,0,'Données projet'!$E$11+1,1))</f>
        <v>593.28343396240075</v>
      </c>
      <c r="BJ159" s="59">
        <f t="shared" si="146"/>
        <v>289.66477662068695</v>
      </c>
      <c r="BK159" s="15">
        <f>IF(ISNA(VLOOKUP(A159,'Données projet'!$A$87:$I$107,3,0)),0,VLOOKUP(A159,'Données projet'!$A$87:$I$107,3,0))</f>
        <v>11</v>
      </c>
      <c r="BL159" s="15">
        <f>IF(ISNA(VLOOKUP(A159,'Données projet'!$A$87:$I$107,4,0)),0,VLOOKUP(A159,'Données projet'!$A$87:$I$107,4,0))</f>
        <v>65.69</v>
      </c>
      <c r="BM159" s="16">
        <f>IF(ISNA(VLOOKUP(A159,'Données projet'!$A$87:$I$107,5,0)),0%,VLOOKUP(A159,'Données projet'!$A$87:$I$107,5,0)*VLOOKUP('Données projet'!$B$11,Paramètres!$A$1:$I$89,7,0))</f>
        <v>0.215</v>
      </c>
      <c r="BN159" s="16">
        <f>IF(ISNA(VLOOKUP(A159,'Données projet'!$A$87:$I$107,6,0)),0%,VLOOKUP(A159,'Données projet'!$A$87:$I$107,6,0)*VLOOKUP('Données projet'!$B$11,Paramètres!$A$1:$I$89,7,0))</f>
        <v>8.6000000000000007E-2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47.249406988988127</v>
      </c>
      <c r="BQ159" s="21">
        <f>EXP(-LN(2)/25)*BQ158+(1-EXP(-LN(2)/25))/(LN(2)/25)*Calculateur!BL159*Calculateur!BN159*VLOOKUP('Données projet'!$B$11,Paramètres!$A$1:$I$89,3,0)*0.475*44/12</f>
        <v>25.675290810367677</v>
      </c>
      <c r="BR159" s="21">
        <f>EXP(-LN(2)/2)*BR158+(1-EXP(-LN(2)/2))/(LN(2)/2)*BL159*BO159*VLOOKUP('Données projet'!$B$11,Paramètres!$A$1:$I$89,3,0)*0.475*44/12</f>
        <v>0.10364490982346343</v>
      </c>
      <c r="BS159" s="22">
        <f t="shared" si="169"/>
        <v>73.02834270917927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2.5579538487363607E-13</v>
      </c>
      <c r="BZ159" s="13">
        <f>BY159*VLOOKUP('Données projet'!$B$12,Paramètres!$A$1:$I$89,3,0)*VLOOKUP('Données projet'!$B$12,Paramètres!$A$1:$I$89,5,0)</f>
        <v>2.7533815227798186E-13</v>
      </c>
      <c r="CA159" s="13">
        <f t="shared" si="170"/>
        <v>3.6763598146902537E-12</v>
      </c>
      <c r="CB159" s="20">
        <f t="shared" si="171"/>
        <v>6.88254062580301E-12</v>
      </c>
      <c r="CC159" s="59">
        <f t="shared" si="119"/>
        <v>293.33333333334019</v>
      </c>
      <c r="CD159" s="59">
        <f ca="1">AVERAGE(OFFSET($CC$3,0,0,'Données projet'!$E$12+1,1))-AVERAGE(OFFSET($H$3,0,0,'Données projet'!$E$12+1,1))</f>
        <v>502.65044103360322</v>
      </c>
      <c r="CE159" s="59">
        <f t="shared" si="148"/>
        <v>321.65762891855167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80.306166785860114</v>
      </c>
      <c r="CL159" s="21">
        <f>EXP(-LN(2)/25)*CL158+(1-EXP(-LN(2)/25))/(LN(2)/25)*Calculateur!CG159*Calculateur!CI159*VLOOKUP('Données projet'!$B$12,Paramètres!$A$1:$I$89,3,0)*0.475*44/12</f>
        <v>13.619945676775561</v>
      </c>
      <c r="CM159" s="21">
        <f>EXP(-LN(2)/2)*CM158+(1-EXP(-LN(2)/2))/(LN(2)/2)*CG159*CJ159*VLOOKUP('Données projet'!$B$12,Paramètres!$A$1:$I$89,3,0)*0.475*44/12</f>
        <v>9.8884884532586385E-4</v>
      </c>
      <c r="CN159" s="22">
        <f t="shared" si="172"/>
        <v>93.927101311480996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239.26156489359892</v>
      </c>
      <c r="T160" s="59">
        <f t="shared" si="142"/>
        <v>213.97034450798111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2.8690052482104407</v>
      </c>
      <c r="AA160" s="21">
        <f>EXP(-LN(2)/25)*AA159+(1-EXP(-LN(2)/25))/(LN(2)/25)*Calculateur!V160*Calculateur!X160*VLOOKUP('Données projet'!$B$9,Paramètres!$A$1:$I$89,3,0)*0.475*44/12</f>
        <v>9.9652565638480866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12.834261812058527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>
        <f>VLOOKUP(A160,'Données projet'!$A$61:$I$81,2,0)</f>
        <v>194.52</v>
      </c>
      <c r="AG160" s="12">
        <f>VLOOKUP(A160,'Données projet'!$A$61:$I$81,9,0)</f>
        <v>2.7775000000000034</v>
      </c>
      <c r="AH160" s="12">
        <f t="array" ref="AH160">INDEX(AG:AG,MIN(IF(ISNUMBER(AG160:AG356),ROW(AG160:AG356),"")))</f>
        <v>2.7775000000000034</v>
      </c>
      <c r="AI160" s="13">
        <f>IF('Données projet'!$A$62&gt;35,AI159+AH160-AQ159,IF(A160&lt;'Données projet'!$A$62,$AF$205^A160,IF(A160='Données projet'!$A$62,'Données projet'!$B$62,AI159+AH160-AQ159)))</f>
        <v>194.52000000000055</v>
      </c>
      <c r="AJ160" s="13">
        <f>AI160*VLOOKUP('Données projet'!$B$10,Paramètres!$A$1:$I$89,3,0)*VLOOKUP('Données projet'!$B$10,Paramètres!$A$1:$I$89,5,0)</f>
        <v>197.24328000000057</v>
      </c>
      <c r="AK160" s="13">
        <f t="shared" si="164"/>
        <v>49.137835584650027</v>
      </c>
      <c r="AL160" s="20">
        <f t="shared" si="165"/>
        <v>429.11377630993303</v>
      </c>
      <c r="AM160" s="59">
        <f t="shared" si="113"/>
        <v>722.44710964326634</v>
      </c>
      <c r="AN160" s="59">
        <f ca="1">AVERAGE(OFFSET($AM$3,0,0,'Données projet'!$E$10+1,1))-AVERAGE(OFFSET($H$3,0,0,'Données projet'!$E$10+1,1))</f>
        <v>543.88440431478944</v>
      </c>
      <c r="AO160" s="59">
        <f t="shared" si="144"/>
        <v>342.63929463709457</v>
      </c>
      <c r="AP160" s="15">
        <f>IF(ISNA(VLOOKUP(A160,'Données projet'!$A$61:$I$81,3,0)),0,VLOOKUP(A160,'Données projet'!$A$61:$I$81,3,0))</f>
        <v>14</v>
      </c>
      <c r="AQ160" s="15">
        <f>IF(ISNA(VLOOKUP(A160,'Données projet'!$A$61:$I$81,4,0)),0,VLOOKUP(A160,'Données projet'!$A$61:$I$81,4,0))</f>
        <v>67.13000000000001</v>
      </c>
      <c r="AR160" s="16">
        <f>IF(ISNA(VLOOKUP(A160,'Données projet'!$A$61:$I$81,5,0)),0%,VLOOKUP(A160,'Données projet'!$A$61:$I$81,5,0)*VLOOKUP('Données projet'!$B$10,Paramètres!$A$1:$I$89,7,0))</f>
        <v>0.19350000000000001</v>
      </c>
      <c r="AS160" s="16">
        <f>IF(ISNA(VLOOKUP(A160,'Données projet'!$A$61:$I$81,6,0)),0%,VLOOKUP(A160,'Données projet'!$A$61:$I$81,6,0)*VLOOKUP('Données projet'!$B$10,Paramètres!$A$1:$I$89,7,0))</f>
        <v>2.1500000000000002E-2</v>
      </c>
      <c r="AT160" s="16">
        <f>IF(ISNA(VLOOKUP(A160,'Données projet'!$A$61:$I$81,7,0)),0%,VLOOKUP(A160,'Données projet'!$A$61:$I$81,7,0))</f>
        <v>0.05</v>
      </c>
      <c r="AU160" s="21">
        <f>EXP(-LN(2)/35)*AU159+(1-EXP(-LN(2)/35))/(LN(2)/35)*AQ160*AR160*VLOOKUP('Données projet'!$B$10,Paramètres!$A$1:$I$89,3,0)*0.475*44/12</f>
        <v>104.82061007073936</v>
      </c>
      <c r="AV160" s="21">
        <f>EXP(-LN(2)/25)*AV159+(1-EXP(-LN(2)/25))/(LN(2)/25)*Calculateur!AQ160*Calculateur!AS160*VLOOKUP('Données projet'!$B$10,Paramètres!$A$1:$I$89,3,0)*0.475*44/12</f>
        <v>21.336300654969527</v>
      </c>
      <c r="AW160" s="21">
        <f>EXP(-LN(2)/2)*AW159+(1-EXP(-LN(2)/2))/(LN(2)/2)*AQ160*AT160*VLOOKUP('Données projet'!$B$10,Paramètres!$A$1:$I$89,3,0)*0.475*44/12</f>
        <v>4.9699759932803289</v>
      </c>
      <c r="AX160" s="21">
        <f t="shared" si="166"/>
        <v>131.12688671898923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7.6783333333333319</v>
      </c>
      <c r="BD160" s="12">
        <f>IF('Données projet'!$A$88&gt;35,BD159+BC160-BL159,IF(A160&lt;'Données projet'!$A$88,$BA$205^A160,IF(A160='Données projet'!$A$88,'Données projet'!$B$88,BD159+BC160-BL159)))</f>
        <v>351.18833333333293</v>
      </c>
      <c r="BE160" s="13">
        <f>BD160*VLOOKUP('Données projet'!$B$11,Paramètres!$A$1:$I$89,3,0)*VLOOKUP('Données projet'!$B$11,Paramètres!$A$1:$I$89,5,0)</f>
        <v>399.93327399999959</v>
      </c>
      <c r="BF160" s="13">
        <f t="shared" si="167"/>
        <v>91.763137417414484</v>
      </c>
      <c r="BG160" s="20">
        <f t="shared" si="168"/>
        <v>856.37124988532958</v>
      </c>
      <c r="BH160" s="59">
        <f t="shared" si="116"/>
        <v>1149.7045832186629</v>
      </c>
      <c r="BI160" s="59">
        <f ca="1">AVERAGE(OFFSET($BH$3,0,0,'Données projet'!$E$11+1,1))-AVERAGE(OFFSET($H$3,0,0,'Données projet'!$E$11+1,1))</f>
        <v>593.28343396240075</v>
      </c>
      <c r="BJ160" s="59">
        <f t="shared" si="146"/>
        <v>289.66477662068695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46.322874937226665</v>
      </c>
      <c r="BQ160" s="21">
        <f>EXP(-LN(2)/25)*BQ159+(1-EXP(-LN(2)/25))/(LN(2)/25)*Calculateur!BL160*Calculateur!BN160*VLOOKUP('Données projet'!$B$11,Paramètres!$A$1:$I$89,3,0)*0.475*44/12</f>
        <v>24.973198632953313</v>
      </c>
      <c r="BR160" s="21">
        <f>EXP(-LN(2)/2)*BR159+(1-EXP(-LN(2)/2))/(LN(2)/2)*BL160*BO160*VLOOKUP('Données projet'!$B$11,Paramètres!$A$1:$I$89,3,0)*0.475*44/12</f>
        <v>7.3288018571639205E-2</v>
      </c>
      <c r="BS160" s="22">
        <f t="shared" si="169"/>
        <v>71.369361588751616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2.5579538487363607E-13</v>
      </c>
      <c r="BZ160" s="13">
        <f>BY160*VLOOKUP('Données projet'!$B$12,Paramètres!$A$1:$I$89,3,0)*VLOOKUP('Données projet'!$B$12,Paramètres!$A$1:$I$89,5,0)</f>
        <v>2.7533815227798186E-13</v>
      </c>
      <c r="CA160" s="13">
        <f t="shared" si="170"/>
        <v>3.6763598146902537E-12</v>
      </c>
      <c r="CB160" s="20">
        <f t="shared" si="171"/>
        <v>6.88254062580301E-12</v>
      </c>
      <c r="CC160" s="59">
        <f t="shared" si="119"/>
        <v>293.33333333334019</v>
      </c>
      <c r="CD160" s="59">
        <f ca="1">AVERAGE(OFFSET($CC$3,0,0,'Données projet'!$E$12+1,1))-AVERAGE(OFFSET($H$3,0,0,'Données projet'!$E$12+1,1))</f>
        <v>502.65044103360322</v>
      </c>
      <c r="CE160" s="59">
        <f t="shared" si="148"/>
        <v>321.65762891855167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78.731411837114578</v>
      </c>
      <c r="CL160" s="21">
        <f>EXP(-LN(2)/25)*CL159+(1-EXP(-LN(2)/25))/(LN(2)/25)*Calculateur!CG160*Calculateur!CI160*VLOOKUP('Données projet'!$B$12,Paramètres!$A$1:$I$89,3,0)*0.475*44/12</f>
        <v>13.24750754600232</v>
      </c>
      <c r="CM160" s="21">
        <f>EXP(-LN(2)/2)*CM159+(1-EXP(-LN(2)/2))/(LN(2)/2)*CG160*CJ160*VLOOKUP('Données projet'!$B$12,Paramètres!$A$1:$I$89,3,0)*0.475*44/12</f>
        <v>6.9922172409840578E-4</v>
      </c>
      <c r="CN160" s="22">
        <f t="shared" si="172"/>
        <v>91.979618604841008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239.26156489359892</v>
      </c>
      <c r="T161" s="59">
        <f t="shared" si="142"/>
        <v>213.97034450798111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2.8127458052134449</v>
      </c>
      <c r="AA161" s="21">
        <f>EXP(-LN(2)/25)*AA160+(1-EXP(-LN(2)/25))/(LN(2)/25)*Calculateur!V161*Calculateur!X161*VLOOKUP('Données projet'!$B$9,Paramètres!$A$1:$I$89,3,0)*0.475*44/12</f>
        <v>9.6927560990595936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12.505501904273039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1.7174999999999976</v>
      </c>
      <c r="AI161" s="13">
        <f>IF('Données projet'!$A$62&gt;35,AI160+AH161-AQ160,IF(A161&lt;'Données projet'!$A$62,$AF$205^A161,IF(A161='Données projet'!$A$62,'Données projet'!$B$62,AI160+AH161-AQ160)))</f>
        <v>129.10750000000053</v>
      </c>
      <c r="AJ161" s="13">
        <f>AI161*VLOOKUP('Données projet'!$B$10,Paramètres!$A$1:$I$89,3,0)*VLOOKUP('Données projet'!$B$10,Paramètres!$A$1:$I$89,5,0)</f>
        <v>130.91500500000055</v>
      </c>
      <c r="AK161" s="13">
        <f t="shared" si="164"/>
        <v>34.207703737999708</v>
      </c>
      <c r="AL161" s="20">
        <f t="shared" si="165"/>
        <v>287.58871771868377</v>
      </c>
      <c r="AM161" s="59">
        <f t="shared" si="113"/>
        <v>580.92205105201708</v>
      </c>
      <c r="AN161" s="59">
        <f ca="1">AVERAGE(OFFSET($AM$3,0,0,'Données projet'!$E$10+1,1))-AVERAGE(OFFSET($H$3,0,0,'Données projet'!$E$10+1,1))</f>
        <v>543.88440431478944</v>
      </c>
      <c r="AO161" s="59">
        <f t="shared" si="144"/>
        <v>342.63929463709457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102.76514184151132</v>
      </c>
      <c r="AV161" s="21">
        <f>EXP(-LN(2)/25)*AV160+(1-EXP(-LN(2)/25))/(LN(2)/25)*Calculateur!AQ161*Calculateur!AS161*VLOOKUP('Données projet'!$B$10,Paramètres!$A$1:$I$89,3,0)*0.475*44/12</f>
        <v>20.752858391532097</v>
      </c>
      <c r="AW161" s="21">
        <f>EXP(-LN(2)/2)*AW160+(1-EXP(-LN(2)/2))/(LN(2)/2)*AQ161*AT161*VLOOKUP('Données projet'!$B$10,Paramètres!$A$1:$I$89,3,0)*0.475*44/12</f>
        <v>3.5143037271828681</v>
      </c>
      <c r="AX161" s="21">
        <f t="shared" si="166"/>
        <v>127.03230396022629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7.6783333333333319</v>
      </c>
      <c r="BD161" s="12">
        <f>IF('Données projet'!$A$88&gt;35,BD160+BC161-BL160,IF(A161&lt;'Données projet'!$A$88,$BA$205^A161,IF(A161='Données projet'!$A$88,'Données projet'!$B$88,BD160+BC161-BL160)))</f>
        <v>358.86666666666628</v>
      </c>
      <c r="BE161" s="13">
        <f>BD161*VLOOKUP('Données projet'!$B$11,Paramètres!$A$1:$I$89,3,0)*VLOOKUP('Données projet'!$B$11,Paramètres!$A$1:$I$89,5,0)</f>
        <v>408.67735999999957</v>
      </c>
      <c r="BF161" s="13">
        <f t="shared" si="167"/>
        <v>93.533663431059196</v>
      </c>
      <c r="BG161" s="20">
        <f t="shared" si="168"/>
        <v>874.68419914242725</v>
      </c>
      <c r="BH161" s="59">
        <f t="shared" si="116"/>
        <v>1168.0175324757606</v>
      </c>
      <c r="BI161" s="59">
        <f ca="1">AVERAGE(OFFSET($BH$3,0,0,'Données projet'!$E$11+1,1))-AVERAGE(OFFSET($H$3,0,0,'Données projet'!$E$11+1,1))</f>
        <v>593.28343396240075</v>
      </c>
      <c r="BJ161" s="59">
        <f t="shared" si="146"/>
        <v>289.66477662068695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45.414511613871497</v>
      </c>
      <c r="BQ161" s="21">
        <f>EXP(-LN(2)/25)*BQ160+(1-EXP(-LN(2)/25))/(LN(2)/25)*Calculateur!BL161*Calculateur!BN161*VLOOKUP('Données projet'!$B$11,Paramètres!$A$1:$I$89,3,0)*0.475*44/12</f>
        <v>24.290305203051766</v>
      </c>
      <c r="BR161" s="21">
        <f>EXP(-LN(2)/2)*BR160+(1-EXP(-LN(2)/2))/(LN(2)/2)*BL161*BO161*VLOOKUP('Données projet'!$B$11,Paramètres!$A$1:$I$89,3,0)*0.475*44/12</f>
        <v>5.1822454911731715E-2</v>
      </c>
      <c r="BS161" s="22">
        <f t="shared" si="169"/>
        <v>69.756639271834985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2.5579538487363607E-13</v>
      </c>
      <c r="BZ161" s="13">
        <f>BY161*VLOOKUP('Données projet'!$B$12,Paramètres!$A$1:$I$89,3,0)*VLOOKUP('Données projet'!$B$12,Paramètres!$A$1:$I$89,5,0)</f>
        <v>2.7533815227798186E-13</v>
      </c>
      <c r="CA161" s="13">
        <f t="shared" si="170"/>
        <v>3.6763598146902537E-12</v>
      </c>
      <c r="CB161" s="20">
        <f t="shared" si="171"/>
        <v>6.88254062580301E-12</v>
      </c>
      <c r="CC161" s="59">
        <f t="shared" si="119"/>
        <v>293.33333333334019</v>
      </c>
      <c r="CD161" s="59">
        <f ca="1">AVERAGE(OFFSET($CC$3,0,0,'Données projet'!$E$12+1,1))-AVERAGE(OFFSET($H$3,0,0,'Données projet'!$E$12+1,1))</f>
        <v>502.65044103360322</v>
      </c>
      <c r="CE161" s="59">
        <f t="shared" si="148"/>
        <v>321.65762891855167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77.187536872408259</v>
      </c>
      <c r="CL161" s="21">
        <f>EXP(-LN(2)/25)*CL160+(1-EXP(-LN(2)/25))/(LN(2)/25)*Calculateur!CG161*Calculateur!CI161*VLOOKUP('Données projet'!$B$12,Paramètres!$A$1:$I$89,3,0)*0.475*44/12</f>
        <v>12.885253755500742</v>
      </c>
      <c r="CM161" s="21">
        <f>EXP(-LN(2)/2)*CM160+(1-EXP(-LN(2)/2))/(LN(2)/2)*CG161*CJ161*VLOOKUP('Données projet'!$B$12,Paramètres!$A$1:$I$89,3,0)*0.475*44/12</f>
        <v>4.9442442266293192E-4</v>
      </c>
      <c r="CN161" s="22">
        <f t="shared" si="172"/>
        <v>90.07328505233167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239.26156489359892</v>
      </c>
      <c r="T162" s="59">
        <f t="shared" si="142"/>
        <v>213.97034450798111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2.7575895755787485</v>
      </c>
      <c r="AA162" s="21">
        <f>EXP(-LN(2)/25)*AA161+(1-EXP(-LN(2)/25))/(LN(2)/25)*Calculateur!V162*Calculateur!X162*VLOOKUP('Données projet'!$B$9,Paramètres!$A$1:$I$89,3,0)*0.475*44/12</f>
        <v>9.4277071738109193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12.185296749389668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1.7174999999999976</v>
      </c>
      <c r="AI162" s="13">
        <f>IF('Données projet'!$A$62&gt;35,AI161+AH162-AQ161,IF(A162&lt;'Données projet'!$A$62,$AF$205^A162,IF(A162='Données projet'!$A$62,'Données projet'!$B$62,AI161+AH162-AQ161)))</f>
        <v>130.82500000000053</v>
      </c>
      <c r="AJ162" s="13">
        <f>AI162*VLOOKUP('Données projet'!$B$10,Paramètres!$A$1:$I$89,3,0)*VLOOKUP('Données projet'!$B$10,Paramètres!$A$1:$I$89,5,0)</f>
        <v>132.65655000000055</v>
      </c>
      <c r="AK162" s="13">
        <f t="shared" si="164"/>
        <v>34.609485468565666</v>
      </c>
      <c r="AL162" s="20">
        <f t="shared" si="165"/>
        <v>291.32167844108614</v>
      </c>
      <c r="AM162" s="59">
        <f t="shared" si="113"/>
        <v>584.65501177441945</v>
      </c>
      <c r="AN162" s="59">
        <f ca="1">AVERAGE(OFFSET($AM$3,0,0,'Données projet'!$E$10+1,1))-AVERAGE(OFFSET($H$3,0,0,'Données projet'!$E$10+1,1))</f>
        <v>543.88440431478944</v>
      </c>
      <c r="AO162" s="59">
        <f t="shared" si="144"/>
        <v>342.63929463709457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100.74998009054661</v>
      </c>
      <c r="AV162" s="21">
        <f>EXP(-LN(2)/25)*AV161+(1-EXP(-LN(2)/25))/(LN(2)/25)*Calculateur!AQ162*Calculateur!AS162*VLOOKUP('Données projet'!$B$10,Paramètres!$A$1:$I$89,3,0)*0.475*44/12</f>
        <v>20.185370387470261</v>
      </c>
      <c r="AW162" s="21">
        <f>EXP(-LN(2)/2)*AW161+(1-EXP(-LN(2)/2))/(LN(2)/2)*AQ162*AT162*VLOOKUP('Données projet'!$B$10,Paramètres!$A$1:$I$89,3,0)*0.475*44/12</f>
        <v>2.4849879966401649</v>
      </c>
      <c r="AX162" s="21">
        <f t="shared" si="166"/>
        <v>123.42033847465704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7.6783333333333319</v>
      </c>
      <c r="BD162" s="12">
        <f>IF('Données projet'!$A$88&gt;35,BD161+BC162-BL161,IF(A162&lt;'Données projet'!$A$88,$BA$205^A162,IF(A162='Données projet'!$A$88,'Données projet'!$B$88,BD161+BC162-BL161)))</f>
        <v>366.54499999999962</v>
      </c>
      <c r="BE162" s="13">
        <f>BD162*VLOOKUP('Données projet'!$B$11,Paramètres!$A$1:$I$89,3,0)*VLOOKUP('Données projet'!$B$11,Paramètres!$A$1:$I$89,5,0)</f>
        <v>417.42144599999961</v>
      </c>
      <c r="BF162" s="13">
        <f t="shared" si="167"/>
        <v>95.299785078044607</v>
      </c>
      <c r="BG162" s="20">
        <f t="shared" si="168"/>
        <v>892.98947746092699</v>
      </c>
      <c r="BH162" s="59">
        <f t="shared" si="116"/>
        <v>1186.3228107942602</v>
      </c>
      <c r="BI162" s="59">
        <f ca="1">AVERAGE(OFFSET($BH$3,0,0,'Données projet'!$E$11+1,1))-AVERAGE(OFFSET($H$3,0,0,'Données projet'!$E$11+1,1))</f>
        <v>593.28343396240075</v>
      </c>
      <c r="BJ162" s="59">
        <f t="shared" si="146"/>
        <v>289.66477662068695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44.523960741240401</v>
      </c>
      <c r="BQ162" s="21">
        <f>EXP(-LN(2)/25)*BQ161+(1-EXP(-LN(2)/25))/(LN(2)/25)*Calculateur!BL162*Calculateur!BN162*VLOOKUP('Données projet'!$B$11,Paramètres!$A$1:$I$89,3,0)*0.475*44/12</f>
        <v>23.626085529902682</v>
      </c>
      <c r="BR162" s="21">
        <f>EXP(-LN(2)/2)*BR161+(1-EXP(-LN(2)/2))/(LN(2)/2)*BL162*BO162*VLOOKUP('Données projet'!$B$11,Paramètres!$A$1:$I$89,3,0)*0.475*44/12</f>
        <v>3.6644009285819602E-2</v>
      </c>
      <c r="BS162" s="22">
        <f t="shared" si="169"/>
        <v>68.186690280428905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2.5579538487363607E-13</v>
      </c>
      <c r="BZ162" s="13">
        <f>BY162*VLOOKUP('Données projet'!$B$12,Paramètres!$A$1:$I$89,3,0)*VLOOKUP('Données projet'!$B$12,Paramètres!$A$1:$I$89,5,0)</f>
        <v>2.7533815227798186E-13</v>
      </c>
      <c r="CA162" s="13">
        <f t="shared" si="170"/>
        <v>3.6763598146902537E-12</v>
      </c>
      <c r="CB162" s="20">
        <f t="shared" si="171"/>
        <v>6.88254062580301E-12</v>
      </c>
      <c r="CC162" s="59">
        <f t="shared" si="119"/>
        <v>293.33333333334019</v>
      </c>
      <c r="CD162" s="59">
        <f ca="1">AVERAGE(OFFSET($CC$3,0,0,'Données projet'!$E$12+1,1))-AVERAGE(OFFSET($H$3,0,0,'Données projet'!$E$12+1,1))</f>
        <v>502.65044103360322</v>
      </c>
      <c r="CE162" s="59">
        <f t="shared" si="148"/>
        <v>321.65762891855167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75.673936354089079</v>
      </c>
      <c r="CL162" s="21">
        <f>EXP(-LN(2)/25)*CL161+(1-EXP(-LN(2)/25))/(LN(2)/25)*Calculateur!CG162*Calculateur!CI162*VLOOKUP('Données projet'!$B$12,Paramètres!$A$1:$I$89,3,0)*0.475*44/12</f>
        <v>12.532905813950528</v>
      </c>
      <c r="CM162" s="21">
        <f>EXP(-LN(2)/2)*CM161+(1-EXP(-LN(2)/2))/(LN(2)/2)*CG162*CJ162*VLOOKUP('Données projet'!$B$12,Paramètres!$A$1:$I$89,3,0)*0.475*44/12</f>
        <v>3.4961086204920289E-4</v>
      </c>
      <c r="CN162" s="22">
        <f t="shared" si="172"/>
        <v>88.207191778901645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239.26156489359892</v>
      </c>
      <c r="T163" s="59">
        <f t="shared" si="142"/>
        <v>213.97034450798111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2.70351492596521</v>
      </c>
      <c r="AA163" s="21">
        <f>EXP(-LN(2)/25)*AA162+(1-EXP(-LN(2)/25))/(LN(2)/25)*Calculateur!V163*Calculateur!X163*VLOOKUP('Données projet'!$B$9,Paramètres!$A$1:$I$89,3,0)*0.475*44/12</f>
        <v>9.1699060253614864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11.873420951326697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1.7174999999999976</v>
      </c>
      <c r="AI163" s="13">
        <f>IF('Données projet'!$A$62&gt;35,AI162+AH163-AQ162,IF(A163&lt;'Données projet'!$A$62,$AF$205^A163,IF(A163='Données projet'!$A$62,'Données projet'!$B$62,AI162+AH163-AQ162)))</f>
        <v>132.54250000000053</v>
      </c>
      <c r="AJ163" s="13">
        <f>AI163*VLOOKUP('Données projet'!$B$10,Paramètres!$A$1:$I$89,3,0)*VLOOKUP('Données projet'!$B$10,Paramètres!$A$1:$I$89,5,0)</f>
        <v>134.39809500000052</v>
      </c>
      <c r="AK163" s="13">
        <f t="shared" si="164"/>
        <v>35.010653676519837</v>
      </c>
      <c r="AL163" s="20">
        <f t="shared" si="165"/>
        <v>295.05357061160629</v>
      </c>
      <c r="AM163" s="59">
        <f t="shared" si="113"/>
        <v>588.3869039449396</v>
      </c>
      <c r="AN163" s="59">
        <f ca="1">AVERAGE(OFFSET($AM$3,0,0,'Données projet'!$E$10+1,1))-AVERAGE(OFFSET($H$3,0,0,'Données projet'!$E$10+1,1))</f>
        <v>543.88440431478944</v>
      </c>
      <c r="AO163" s="59">
        <f t="shared" si="144"/>
        <v>342.63929463709457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98.774334432391029</v>
      </c>
      <c r="AV163" s="21">
        <f>EXP(-LN(2)/25)*AV162+(1-EXP(-LN(2)/25))/(LN(2)/25)*Calculateur!AQ163*Calculateur!AS163*VLOOKUP('Données projet'!$B$10,Paramètres!$A$1:$I$89,3,0)*0.475*44/12</f>
        <v>19.633400372722392</v>
      </c>
      <c r="AW163" s="21">
        <f>EXP(-LN(2)/2)*AW162+(1-EXP(-LN(2)/2))/(LN(2)/2)*AQ163*AT163*VLOOKUP('Données projet'!$B$10,Paramètres!$A$1:$I$89,3,0)*0.475*44/12</f>
        <v>1.7571518635914343</v>
      </c>
      <c r="AX163" s="21">
        <f t="shared" si="166"/>
        <v>120.16488666870485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7.6783333333333319</v>
      </c>
      <c r="BD163" s="12">
        <f>IF('Données projet'!$A$88&gt;35,BD162+BC163-BL162,IF(A163&lt;'Données projet'!$A$88,$BA$205^A163,IF(A163='Données projet'!$A$88,'Données projet'!$B$88,BD162+BC163-BL162)))</f>
        <v>374.22333333333296</v>
      </c>
      <c r="BE163" s="13">
        <f>BD163*VLOOKUP('Données projet'!$B$11,Paramètres!$A$1:$I$89,3,0)*VLOOKUP('Données projet'!$B$11,Paramètres!$A$1:$I$89,5,0)</f>
        <v>426.16553199999959</v>
      </c>
      <c r="BF163" s="13">
        <f t="shared" si="167"/>
        <v>97.061605249450551</v>
      </c>
      <c r="BG163" s="20">
        <f t="shared" si="168"/>
        <v>911.28726404279223</v>
      </c>
      <c r="BH163" s="59">
        <f t="shared" si="116"/>
        <v>1204.6205973761255</v>
      </c>
      <c r="BI163" s="59">
        <f ca="1">AVERAGE(OFFSET($BH$3,0,0,'Données projet'!$E$11+1,1))-AVERAGE(OFFSET($H$3,0,0,'Données projet'!$E$11+1,1))</f>
        <v>593.28343396240075</v>
      </c>
      <c r="BJ163" s="59">
        <f t="shared" si="146"/>
        <v>289.66477662068695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43.650873028039207</v>
      </c>
      <c r="BQ163" s="21">
        <f>EXP(-LN(2)/25)*BQ162+(1-EXP(-LN(2)/25))/(LN(2)/25)*Calculateur!BL163*Calculateur!BN163*VLOOKUP('Données projet'!$B$11,Paramètres!$A$1:$I$89,3,0)*0.475*44/12</f>
        <v>22.980028978645652</v>
      </c>
      <c r="BR163" s="21">
        <f>EXP(-LN(2)/2)*BR162+(1-EXP(-LN(2)/2))/(LN(2)/2)*BL163*BO163*VLOOKUP('Données projet'!$B$11,Paramètres!$A$1:$I$89,3,0)*0.475*44/12</f>
        <v>2.5911227455865857E-2</v>
      </c>
      <c r="BS163" s="22">
        <f t="shared" si="169"/>
        <v>66.656813234140728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2.5579538487363607E-13</v>
      </c>
      <c r="BZ163" s="13">
        <f>BY163*VLOOKUP('Données projet'!$B$12,Paramètres!$A$1:$I$89,3,0)*VLOOKUP('Données projet'!$B$12,Paramètres!$A$1:$I$89,5,0)</f>
        <v>2.7533815227798186E-13</v>
      </c>
      <c r="CA163" s="13">
        <f t="shared" si="170"/>
        <v>3.6763598146902537E-12</v>
      </c>
      <c r="CB163" s="20">
        <f t="shared" si="171"/>
        <v>6.88254062580301E-12</v>
      </c>
      <c r="CC163" s="59">
        <f t="shared" si="119"/>
        <v>293.33333333334019</v>
      </c>
      <c r="CD163" s="59">
        <f ca="1">AVERAGE(OFFSET($CC$3,0,0,'Données projet'!$E$12+1,1))-AVERAGE(OFFSET($H$3,0,0,'Données projet'!$E$12+1,1))</f>
        <v>502.65044103360322</v>
      </c>
      <c r="CE163" s="59">
        <f t="shared" si="148"/>
        <v>321.65762891855167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74.19001661872899</v>
      </c>
      <c r="CL163" s="21">
        <f>EXP(-LN(2)/25)*CL162+(1-EXP(-LN(2)/25))/(LN(2)/25)*Calculateur!CG163*Calculateur!CI163*VLOOKUP('Données projet'!$B$12,Paramètres!$A$1:$I$89,3,0)*0.475*44/12</f>
        <v>12.190192845391179</v>
      </c>
      <c r="CM163" s="21">
        <f>EXP(-LN(2)/2)*CM162+(1-EXP(-LN(2)/2))/(LN(2)/2)*CG163*CJ163*VLOOKUP('Données projet'!$B$12,Paramètres!$A$1:$I$89,3,0)*0.475*44/12</f>
        <v>2.4721221133146596E-4</v>
      </c>
      <c r="CN163" s="22">
        <f t="shared" si="172"/>
        <v>86.380456676331505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239.26156489359892</v>
      </c>
      <c r="T164" s="59">
        <f t="shared" si="142"/>
        <v>213.97034450798111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2.6505006472483137</v>
      </c>
      <c r="AA164" s="21">
        <f>EXP(-LN(2)/25)*AA163+(1-EXP(-LN(2)/25))/(LN(2)/25)*Calculateur!V164*Calculateur!X164*VLOOKUP('Données projet'!$B$9,Paramètres!$A$1:$I$89,3,0)*0.475*44/12</f>
        <v>8.9191544628735766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11.569655110121889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>
        <f>VLOOKUP(A164,'Données projet'!$A$61:$I$81,2,0)</f>
        <v>134.26</v>
      </c>
      <c r="AG164" s="12">
        <f>VLOOKUP(A164,'Données projet'!$A$61:$I$81,9,0)</f>
        <v>1.7174999999999976</v>
      </c>
      <c r="AH164" s="12">
        <f t="array" ref="AH164">INDEX(AG:AG,MIN(IF(ISNUMBER(AG164:AG360),ROW(AG164:AG360),"")))</f>
        <v>1.7174999999999976</v>
      </c>
      <c r="AI164" s="13">
        <f>IF('Données projet'!$A$62&gt;35,AI163+AH164-AQ163,IF(A164&lt;'Données projet'!$A$62,$AF$205^A164,IF(A164='Données projet'!$A$62,'Données projet'!$B$62,AI163+AH164-AQ163)))</f>
        <v>134.26000000000053</v>
      </c>
      <c r="AJ164" s="13">
        <f>AI164*VLOOKUP('Données projet'!$B$10,Paramètres!$A$1:$I$89,3,0)*VLOOKUP('Données projet'!$B$10,Paramètres!$A$1:$I$89,5,0)</f>
        <v>136.13964000000055</v>
      </c>
      <c r="AK164" s="13">
        <f t="shared" si="164"/>
        <v>35.41121723115419</v>
      </c>
      <c r="AL164" s="20">
        <f t="shared" si="165"/>
        <v>298.78440967759451</v>
      </c>
      <c r="AM164" s="59">
        <f t="shared" si="113"/>
        <v>592.11774301092782</v>
      </c>
      <c r="AN164" s="59">
        <f ca="1">AVERAGE(OFFSET($AM$3,0,0,'Données projet'!$E$10+1,1))-AVERAGE(OFFSET($H$3,0,0,'Données projet'!$E$10+1,1))</f>
        <v>543.88440431478944</v>
      </c>
      <c r="AO164" s="59">
        <f t="shared" si="144"/>
        <v>342.63929463709457</v>
      </c>
      <c r="AP164" s="15">
        <f>IF(ISNA(VLOOKUP(A164,'Données projet'!$A$61:$I$81,3,0)),0,VLOOKUP(A164,'Données projet'!$A$61:$I$81,3,0))</f>
        <v>15</v>
      </c>
      <c r="AQ164" s="15">
        <f>IF(ISNA(VLOOKUP(A164,'Données projet'!$A$61:$I$81,4,0)),0,VLOOKUP(A164,'Données projet'!$A$61:$I$81,4,0))</f>
        <v>134.26</v>
      </c>
      <c r="AR164" s="16">
        <f>IF(ISNA(VLOOKUP(A164,'Données projet'!$A$61:$I$81,5,0)),0%,VLOOKUP(A164,'Données projet'!$A$61:$I$81,5,0)*VLOOKUP('Données projet'!$B$10,Paramètres!$A$1:$I$89,7,0))</f>
        <v>0.19350000000000001</v>
      </c>
      <c r="AS164" s="16">
        <f>IF(ISNA(VLOOKUP(A164,'Données projet'!$A$61:$I$81,6,0)),0%,VLOOKUP(A164,'Données projet'!$A$61:$I$81,6,0)*VLOOKUP('Données projet'!$B$10,Paramètres!$A$1:$I$89,7,0))</f>
        <v>2.1500000000000002E-2</v>
      </c>
      <c r="AT164" s="16">
        <f>IF(ISNA(VLOOKUP(A164,'Données projet'!$A$61:$I$81,7,0)),0%,VLOOKUP(A164,'Données projet'!$A$61:$I$81,7,0))</f>
        <v>0.05</v>
      </c>
      <c r="AU164" s="21">
        <f>EXP(-LN(2)/35)*AU163+(1-EXP(-LN(2)/35))/(LN(2)/35)*AQ164*AR164*VLOOKUP('Données projet'!$B$10,Paramètres!$A$1:$I$89,3,0)*0.475*44/12</f>
        <v>125.95885867387103</v>
      </c>
      <c r="AV164" s="21">
        <f>EXP(-LN(2)/25)*AV163+(1-EXP(-LN(2)/25))/(LN(2)/25)*Calculateur!AQ164*Calculateur!AS164*VLOOKUP('Données projet'!$B$10,Paramètres!$A$1:$I$89,3,0)*0.475*44/12</f>
        <v>22.31949806621067</v>
      </c>
      <c r="AW164" s="21">
        <f>EXP(-LN(2)/2)*AW163+(1-EXP(-LN(2)/2))/(LN(2)/2)*AQ164*AT164*VLOOKUP('Données projet'!$B$10,Paramètres!$A$1:$I$89,3,0)*0.475*44/12</f>
        <v>7.6650647225544972</v>
      </c>
      <c r="AX164" s="21">
        <f t="shared" si="166"/>
        <v>155.94342146263619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7.6783333333333319</v>
      </c>
      <c r="BD164" s="12">
        <f>IF('Données projet'!$A$88&gt;35,BD163+BC164-BL163,IF(A164&lt;'Données projet'!$A$88,$BA$205^A164,IF(A164='Données projet'!$A$88,'Données projet'!$B$88,BD163+BC164-BL163)))</f>
        <v>381.9016666666663</v>
      </c>
      <c r="BE164" s="13">
        <f>BD164*VLOOKUP('Données projet'!$B$11,Paramètres!$A$1:$I$89,3,0)*VLOOKUP('Données projet'!$B$11,Paramètres!$A$1:$I$89,5,0)</f>
        <v>434.90961799999963</v>
      </c>
      <c r="BF164" s="13">
        <f t="shared" si="167"/>
        <v>98.819222372764287</v>
      </c>
      <c r="BG164" s="20">
        <f t="shared" si="168"/>
        <v>929.57773031589704</v>
      </c>
      <c r="BH164" s="59">
        <f t="shared" si="116"/>
        <v>1222.9110636492303</v>
      </c>
      <c r="BI164" s="59">
        <f ca="1">AVERAGE(OFFSET($BH$3,0,0,'Données projet'!$E$11+1,1))-AVERAGE(OFFSET($H$3,0,0,'Données projet'!$E$11+1,1))</f>
        <v>593.28343396240075</v>
      </c>
      <c r="BJ164" s="59">
        <f t="shared" si="146"/>
        <v>289.66477662068695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42.794906032362967</v>
      </c>
      <c r="BQ164" s="21">
        <f>EXP(-LN(2)/25)*BQ163+(1-EXP(-LN(2)/25))/(LN(2)/25)*Calculateur!BL164*Calculateur!BN164*VLOOKUP('Données projet'!$B$11,Paramètres!$A$1:$I$89,3,0)*0.475*44/12</f>
        <v>22.351638877757384</v>
      </c>
      <c r="BR164" s="21">
        <f>EXP(-LN(2)/2)*BR163+(1-EXP(-LN(2)/2))/(LN(2)/2)*BL164*BO164*VLOOKUP('Données projet'!$B$11,Paramètres!$A$1:$I$89,3,0)*0.475*44/12</f>
        <v>1.8322004642909801E-2</v>
      </c>
      <c r="BS164" s="22">
        <f t="shared" si="169"/>
        <v>65.164866914763266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2.5579538487363607E-13</v>
      </c>
      <c r="BZ164" s="13">
        <f>BY164*VLOOKUP('Données projet'!$B$12,Paramètres!$A$1:$I$89,3,0)*VLOOKUP('Données projet'!$B$12,Paramètres!$A$1:$I$89,5,0)</f>
        <v>2.7533815227798186E-13</v>
      </c>
      <c r="CA164" s="13">
        <f t="shared" si="170"/>
        <v>3.6763598146902537E-12</v>
      </c>
      <c r="CB164" s="20">
        <f t="shared" si="171"/>
        <v>6.88254062580301E-12</v>
      </c>
      <c r="CC164" s="59">
        <f t="shared" si="119"/>
        <v>293.33333333334019</v>
      </c>
      <c r="CD164" s="59">
        <f ca="1">AVERAGE(OFFSET($CC$3,0,0,'Données projet'!$E$12+1,1))-AVERAGE(OFFSET($H$3,0,0,'Données projet'!$E$12+1,1))</f>
        <v>502.65044103360322</v>
      </c>
      <c r="CE164" s="59">
        <f t="shared" si="148"/>
        <v>321.65762891855167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72.735195644277638</v>
      </c>
      <c r="CL164" s="21">
        <f>EXP(-LN(2)/25)*CL163+(1-EXP(-LN(2)/25))/(LN(2)/25)*Calculateur!CG164*Calculateur!CI164*VLOOKUP('Données projet'!$B$12,Paramètres!$A$1:$I$89,3,0)*0.475*44/12</f>
        <v>11.856851380979576</v>
      </c>
      <c r="CM164" s="21">
        <f>EXP(-LN(2)/2)*CM163+(1-EXP(-LN(2)/2))/(LN(2)/2)*CG164*CJ164*VLOOKUP('Données projet'!$B$12,Paramètres!$A$1:$I$89,3,0)*0.475*44/12</f>
        <v>1.7480543102460145E-4</v>
      </c>
      <c r="CN164" s="22">
        <f t="shared" si="172"/>
        <v>84.592221830688246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239.26156489359892</v>
      </c>
      <c r="T165" s="59">
        <f t="shared" si="142"/>
        <v>213.97034450798111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2.5985259462015384</v>
      </c>
      <c r="AA165" s="21">
        <f>EXP(-LN(2)/25)*AA164+(1-EXP(-LN(2)/25))/(LN(2)/25)*Calculateur!V165*Calculateur!X165*VLOOKUP('Données projet'!$B$9,Paramètres!$A$1:$I$89,3,0)*0.475*44/12</f>
        <v>8.6752597150483499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11.273785661249889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5.4001247917767614E-13</v>
      </c>
      <c r="AJ165" s="13">
        <f>AI165*VLOOKUP('Données projet'!$B$10,Paramètres!$A$1:$I$89,3,0)*VLOOKUP('Données projet'!$B$10,Paramètres!$A$1:$I$89,5,0)</f>
        <v>5.4757265388616366E-13</v>
      </c>
      <c r="AK165" s="13">
        <f t="shared" si="164"/>
        <v>6.7489963942904795E-12</v>
      </c>
      <c r="AL165" s="20">
        <f t="shared" si="165"/>
        <v>1.2708191092240986E-11</v>
      </c>
      <c r="AM165" s="59">
        <f t="shared" si="113"/>
        <v>293.33333333334605</v>
      </c>
      <c r="AN165" s="59">
        <f ca="1">AVERAGE(OFFSET($AM$3,0,0,'Données projet'!$E$10+1,1))-AVERAGE(OFFSET($H$3,0,0,'Données projet'!$E$10+1,1))</f>
        <v>543.88440431478944</v>
      </c>
      <c r="AO165" s="59">
        <f t="shared" si="144"/>
        <v>342.63929463709457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123.48888228259415</v>
      </c>
      <c r="AV165" s="21">
        <f>EXP(-LN(2)/25)*AV164+(1-EXP(-LN(2)/25))/(LN(2)/25)*Calculateur!AQ165*Calculateur!AS165*VLOOKUP('Données projet'!$B$10,Paramètres!$A$1:$I$89,3,0)*0.475*44/12</f>
        <v>21.709170217858748</v>
      </c>
      <c r="AW165" s="21">
        <f>EXP(-LN(2)/2)*AW164+(1-EXP(-LN(2)/2))/(LN(2)/2)*AQ165*AT165*VLOOKUP('Données projet'!$B$10,Paramètres!$A$1:$I$89,3,0)*0.475*44/12</f>
        <v>5.4200192435520682</v>
      </c>
      <c r="AX165" s="21">
        <f t="shared" si="166"/>
        <v>150.61807174400496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7.6783333333333319</v>
      </c>
      <c r="BD165" s="12">
        <f>IF('Données projet'!$A$88&gt;35,BD164+BC165-BL164,IF(A165&lt;'Données projet'!$A$88,$BA$205^A165,IF(A165='Données projet'!$A$88,'Données projet'!$B$88,BD164+BC165-BL164)))</f>
        <v>389.57999999999964</v>
      </c>
      <c r="BE165" s="13">
        <f>BD165*VLOOKUP('Données projet'!$B$11,Paramètres!$A$1:$I$89,3,0)*VLOOKUP('Données projet'!$B$11,Paramètres!$A$1:$I$89,5,0)</f>
        <v>443.65370399999966</v>
      </c>
      <c r="BF165" s="13">
        <f t="shared" si="167"/>
        <v>100.57273069130399</v>
      </c>
      <c r="BG165" s="20">
        <f t="shared" si="168"/>
        <v>947.86104042068712</v>
      </c>
      <c r="BH165" s="59">
        <f t="shared" si="116"/>
        <v>1241.1943737540205</v>
      </c>
      <c r="BI165" s="59">
        <f ca="1">AVERAGE(OFFSET($BH$3,0,0,'Données projet'!$E$11+1,1))-AVERAGE(OFFSET($H$3,0,0,'Données projet'!$E$11+1,1))</f>
        <v>593.28343396240075</v>
      </c>
      <c r="BJ165" s="59">
        <f t="shared" si="146"/>
        <v>289.66477662068695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41.955724027383617</v>
      </c>
      <c r="BQ165" s="21">
        <f>EXP(-LN(2)/25)*BQ164+(1-EXP(-LN(2)/25))/(LN(2)/25)*Calculateur!BL165*Calculateur!BN165*VLOOKUP('Données projet'!$B$11,Paramètres!$A$1:$I$89,3,0)*0.475*44/12</f>
        <v>21.740432137223504</v>
      </c>
      <c r="BR165" s="21">
        <f>EXP(-LN(2)/2)*BR164+(1-EXP(-LN(2)/2))/(LN(2)/2)*BL165*BO165*VLOOKUP('Données projet'!$B$11,Paramètres!$A$1:$I$89,3,0)*0.475*44/12</f>
        <v>1.2955613727932929E-2</v>
      </c>
      <c r="BS165" s="22">
        <f t="shared" si="169"/>
        <v>63.70911177833505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2.5579538487363607E-13</v>
      </c>
      <c r="BZ165" s="13">
        <f>BY165*VLOOKUP('Données projet'!$B$12,Paramètres!$A$1:$I$89,3,0)*VLOOKUP('Données projet'!$B$12,Paramètres!$A$1:$I$89,5,0)</f>
        <v>2.7533815227798186E-13</v>
      </c>
      <c r="CA165" s="13">
        <f t="shared" si="170"/>
        <v>3.6763598146902537E-12</v>
      </c>
      <c r="CB165" s="20">
        <f t="shared" si="171"/>
        <v>6.88254062580301E-12</v>
      </c>
      <c r="CC165" s="59">
        <f t="shared" si="119"/>
        <v>293.33333333334019</v>
      </c>
      <c r="CD165" s="59">
        <f ca="1">AVERAGE(OFFSET($CC$3,0,0,'Données projet'!$E$12+1,1))-AVERAGE(OFFSET($H$3,0,0,'Données projet'!$E$12+1,1))</f>
        <v>502.65044103360322</v>
      </c>
      <c r="CE165" s="59">
        <f t="shared" si="148"/>
        <v>321.65762891855167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71.308902821782112</v>
      </c>
      <c r="CL165" s="21">
        <f>EXP(-LN(2)/25)*CL164+(1-EXP(-LN(2)/25))/(LN(2)/25)*Calculateur!CG165*Calculateur!CI165*VLOOKUP('Données projet'!$B$12,Paramètres!$A$1:$I$89,3,0)*0.475*44/12</f>
        <v>11.532625156441974</v>
      </c>
      <c r="CM165" s="21">
        <f>EXP(-LN(2)/2)*CM164+(1-EXP(-LN(2)/2))/(LN(2)/2)*CG165*CJ165*VLOOKUP('Données projet'!$B$12,Paramètres!$A$1:$I$89,3,0)*0.475*44/12</f>
        <v>1.2360610566573298E-4</v>
      </c>
      <c r="CN165" s="22">
        <f t="shared" si="172"/>
        <v>82.841651584329753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239.26156489359892</v>
      </c>
      <c r="T166" s="59">
        <f t="shared" si="142"/>
        <v>213.97034450798111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2.5475704373408532</v>
      </c>
      <c r="AA166" s="21">
        <f>EXP(-LN(2)/25)*AA165+(1-EXP(-LN(2)/25))/(LN(2)/25)*Calculateur!V166*Calculateur!X166*VLOOKUP('Données projet'!$B$9,Paramètres!$A$1:$I$89,3,0)*0.475*44/12</f>
        <v>8.4380342819282728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10.985604719269126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5.4001247917767614E-13</v>
      </c>
      <c r="AJ166" s="13">
        <f>AI166*VLOOKUP('Données projet'!$B$10,Paramètres!$A$1:$I$89,3,0)*VLOOKUP('Données projet'!$B$10,Paramètres!$A$1:$I$89,5,0)</f>
        <v>5.4757265388616366E-13</v>
      </c>
      <c r="AK166" s="13">
        <f t="shared" si="164"/>
        <v>6.7489963942904795E-12</v>
      </c>
      <c r="AL166" s="20">
        <f t="shared" si="165"/>
        <v>1.2708191092240986E-11</v>
      </c>
      <c r="AM166" s="59">
        <f t="shared" si="113"/>
        <v>293.33333333334605</v>
      </c>
      <c r="AN166" s="59">
        <f ca="1">AVERAGE(OFFSET($AM$3,0,0,'Données projet'!$E$10+1,1))-AVERAGE(OFFSET($H$3,0,0,'Données projet'!$E$10+1,1))</f>
        <v>543.88440431478944</v>
      </c>
      <c r="AO166" s="59">
        <f t="shared" si="144"/>
        <v>342.63929463709457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121.06734062181336</v>
      </c>
      <c r="AV166" s="21">
        <f>EXP(-LN(2)/25)*AV165+(1-EXP(-LN(2)/25))/(LN(2)/25)*Calculateur!AQ166*Calculateur!AS166*VLOOKUP('Données projet'!$B$10,Paramètres!$A$1:$I$89,3,0)*0.475*44/12</f>
        <v>21.115531816615757</v>
      </c>
      <c r="AW166" s="21">
        <f>EXP(-LN(2)/2)*AW165+(1-EXP(-LN(2)/2))/(LN(2)/2)*AQ166*AT166*VLOOKUP('Données projet'!$B$10,Paramètres!$A$1:$I$89,3,0)*0.475*44/12</f>
        <v>3.8325323612772495</v>
      </c>
      <c r="AX166" s="21">
        <f t="shared" si="166"/>
        <v>146.01540479970637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7.6783333333333319</v>
      </c>
      <c r="BD166" s="12">
        <f>IF('Données projet'!$A$88&gt;35,BD165+BC166-BL165,IF(A166&lt;'Données projet'!$A$88,$BA$205^A166,IF(A166='Données projet'!$A$88,'Données projet'!$B$88,BD165+BC166-BL165)))</f>
        <v>397.25833333333298</v>
      </c>
      <c r="BE166" s="13">
        <f>BD166*VLOOKUP('Données projet'!$B$11,Paramètres!$A$1:$I$89,3,0)*VLOOKUP('Données projet'!$B$11,Paramètres!$A$1:$I$89,5,0)</f>
        <v>452.39778999999959</v>
      </c>
      <c r="BF166" s="13">
        <f t="shared" si="167"/>
        <v>102.32222052098986</v>
      </c>
      <c r="BG166" s="20">
        <f t="shared" si="168"/>
        <v>966.13735165739001</v>
      </c>
      <c r="BH166" s="59">
        <f t="shared" si="116"/>
        <v>1259.4706849907234</v>
      </c>
      <c r="BI166" s="59">
        <f ca="1">AVERAGE(OFFSET($BH$3,0,0,'Données projet'!$E$11+1,1))-AVERAGE(OFFSET($H$3,0,0,'Données projet'!$E$11+1,1))</f>
        <v>593.28343396240075</v>
      </c>
      <c r="BJ166" s="59">
        <f t="shared" si="146"/>
        <v>289.66477662068695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41.132997869671435</v>
      </c>
      <c r="BQ166" s="21">
        <f>EXP(-LN(2)/25)*BQ165+(1-EXP(-LN(2)/25))/(LN(2)/25)*Calculateur!BL166*Calculateur!BN166*VLOOKUP('Données projet'!$B$11,Paramètres!$A$1:$I$89,3,0)*0.475*44/12</f>
        <v>21.14593887715149</v>
      </c>
      <c r="BR166" s="21">
        <f>EXP(-LN(2)/2)*BR165+(1-EXP(-LN(2)/2))/(LN(2)/2)*BL166*BO166*VLOOKUP('Données projet'!$B$11,Paramètres!$A$1:$I$89,3,0)*0.475*44/12</f>
        <v>9.1610023214549006E-3</v>
      </c>
      <c r="BS166" s="22">
        <f t="shared" si="169"/>
        <v>62.288097749144377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2.5579538487363607E-13</v>
      </c>
      <c r="BZ166" s="13">
        <f>BY166*VLOOKUP('Données projet'!$B$12,Paramètres!$A$1:$I$89,3,0)*VLOOKUP('Données projet'!$B$12,Paramètres!$A$1:$I$89,5,0)</f>
        <v>2.7533815227798186E-13</v>
      </c>
      <c r="CA166" s="13">
        <f t="shared" si="170"/>
        <v>3.6763598146902537E-12</v>
      </c>
      <c r="CB166" s="20">
        <f t="shared" si="171"/>
        <v>6.88254062580301E-12</v>
      </c>
      <c r="CC166" s="59">
        <f t="shared" si="119"/>
        <v>293.33333333334019</v>
      </c>
      <c r="CD166" s="59">
        <f ca="1">AVERAGE(OFFSET($CC$3,0,0,'Données projet'!$E$12+1,1))-AVERAGE(OFFSET($H$3,0,0,'Données projet'!$E$12+1,1))</f>
        <v>502.65044103360322</v>
      </c>
      <c r="CE166" s="59">
        <f t="shared" si="148"/>
        <v>321.65762891855167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69.910578731583001</v>
      </c>
      <c r="CL166" s="21">
        <f>EXP(-LN(2)/25)*CL165+(1-EXP(-LN(2)/25))/(LN(2)/25)*Calculateur!CG166*Calculateur!CI166*VLOOKUP('Données projet'!$B$12,Paramètres!$A$1:$I$89,3,0)*0.475*44/12</f>
        <v>11.217264915064669</v>
      </c>
      <c r="CM166" s="21">
        <f>EXP(-LN(2)/2)*CM165+(1-EXP(-LN(2)/2))/(LN(2)/2)*CG166*CJ166*VLOOKUP('Données projet'!$B$12,Paramètres!$A$1:$I$89,3,0)*0.475*44/12</f>
        <v>8.7402715512300723E-5</v>
      </c>
      <c r="CN166" s="22">
        <f t="shared" si="172"/>
        <v>81.127931049363184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239.26156489359892</v>
      </c>
      <c r="T167" s="59">
        <f t="shared" si="142"/>
        <v>213.97034450798111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2.4976141349291345</v>
      </c>
      <c r="AA167" s="21">
        <f>EXP(-LN(2)/25)*AA166+(1-EXP(-LN(2)/25))/(LN(2)/25)*Calculateur!V167*Calculateur!X167*VLOOKUP('Données projet'!$B$9,Paramètres!$A$1:$I$89,3,0)*0.475*44/12</f>
        <v>8.2072957907520063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10.704909925681141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5.4001247917767614E-13</v>
      </c>
      <c r="AJ167" s="13">
        <f>AI167*VLOOKUP('Données projet'!$B$10,Paramètres!$A$1:$I$89,3,0)*VLOOKUP('Données projet'!$B$10,Paramètres!$A$1:$I$89,5,0)</f>
        <v>5.4757265388616366E-13</v>
      </c>
      <c r="AK167" s="13">
        <f t="shared" si="164"/>
        <v>6.7489963942904795E-12</v>
      </c>
      <c r="AL167" s="20">
        <f t="shared" si="165"/>
        <v>1.2708191092240986E-11</v>
      </c>
      <c r="AM167" s="59">
        <f t="shared" si="113"/>
        <v>293.33333333334605</v>
      </c>
      <c r="AN167" s="59">
        <f ca="1">AVERAGE(OFFSET($AM$3,0,0,'Données projet'!$E$10+1,1))-AVERAGE(OFFSET($H$3,0,0,'Données projet'!$E$10+1,1))</f>
        <v>543.88440431478944</v>
      </c>
      <c r="AO167" s="59">
        <f t="shared" si="144"/>
        <v>342.63929463709457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118.69328391600591</v>
      </c>
      <c r="AV167" s="21">
        <f>EXP(-LN(2)/25)*AV166+(1-EXP(-LN(2)/25))/(LN(2)/25)*Calculateur!AQ167*Calculateur!AS167*VLOOKUP('Données projet'!$B$10,Paramètres!$A$1:$I$89,3,0)*0.475*44/12</f>
        <v>20.538126488672841</v>
      </c>
      <c r="AW167" s="21">
        <f>EXP(-LN(2)/2)*AW166+(1-EXP(-LN(2)/2))/(LN(2)/2)*AQ167*AT167*VLOOKUP('Données projet'!$B$10,Paramètres!$A$1:$I$89,3,0)*0.475*44/12</f>
        <v>2.7100096217760345</v>
      </c>
      <c r="AX167" s="21">
        <f t="shared" si="166"/>
        <v>141.94142002645478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7.6783333333333319</v>
      </c>
      <c r="BD167" s="12">
        <f>IF('Données projet'!$A$88&gt;35,BD166+BC167-BL166,IF(A167&lt;'Données projet'!$A$88,$BA$205^A167,IF(A167='Données projet'!$A$88,'Données projet'!$B$88,BD166+BC167-BL166)))</f>
        <v>404.93666666666633</v>
      </c>
      <c r="BE167" s="13">
        <f>BD167*VLOOKUP('Données projet'!$B$11,Paramètres!$A$1:$I$89,3,0)*VLOOKUP('Données projet'!$B$11,Paramètres!$A$1:$I$89,5,0)</f>
        <v>461.14187599999957</v>
      </c>
      <c r="BF167" s="13">
        <f t="shared" si="167"/>
        <v>104.06777848670333</v>
      </c>
      <c r="BG167" s="20">
        <f t="shared" si="168"/>
        <v>984.40681489767428</v>
      </c>
      <c r="BH167" s="59">
        <f t="shared" si="116"/>
        <v>1277.7401482310077</v>
      </c>
      <c r="BI167" s="59">
        <f ca="1">AVERAGE(OFFSET($BH$3,0,0,'Données projet'!$E$11+1,1))-AVERAGE(OFFSET($H$3,0,0,'Données projet'!$E$11+1,1))</f>
        <v>593.28343396240075</v>
      </c>
      <c r="BJ167" s="59">
        <f t="shared" si="146"/>
        <v>289.66477662068695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40.326404870098578</v>
      </c>
      <c r="BQ167" s="21">
        <f>EXP(-LN(2)/25)*BQ166+(1-EXP(-LN(2)/25))/(LN(2)/25)*Calculateur!BL167*Calculateur!BN167*VLOOKUP('Données projet'!$B$11,Paramètres!$A$1:$I$89,3,0)*0.475*44/12</f>
        <v>20.567702066539187</v>
      </c>
      <c r="BR167" s="21">
        <f>EXP(-LN(2)/2)*BR166+(1-EXP(-LN(2)/2))/(LN(2)/2)*BL167*BO167*VLOOKUP('Données projet'!$B$11,Paramètres!$A$1:$I$89,3,0)*0.475*44/12</f>
        <v>6.4778068639664644E-3</v>
      </c>
      <c r="BS167" s="22">
        <f t="shared" si="169"/>
        <v>60.900584743501739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2.5579538487363607E-13</v>
      </c>
      <c r="BZ167" s="13">
        <f>BY167*VLOOKUP('Données projet'!$B$12,Paramètres!$A$1:$I$89,3,0)*VLOOKUP('Données projet'!$B$12,Paramètres!$A$1:$I$89,5,0)</f>
        <v>2.7533815227798186E-13</v>
      </c>
      <c r="CA167" s="13">
        <f t="shared" si="170"/>
        <v>3.6763598146902537E-12</v>
      </c>
      <c r="CB167" s="20">
        <f t="shared" si="171"/>
        <v>6.88254062580301E-12</v>
      </c>
      <c r="CC167" s="59">
        <f t="shared" si="119"/>
        <v>293.33333333334019</v>
      </c>
      <c r="CD167" s="59">
        <f ca="1">AVERAGE(OFFSET($CC$3,0,0,'Données projet'!$E$12+1,1))-AVERAGE(OFFSET($H$3,0,0,'Données projet'!$E$12+1,1))</f>
        <v>502.65044103360322</v>
      </c>
      <c r="CE167" s="59">
        <f t="shared" si="148"/>
        <v>321.65762891855167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68.539674923899213</v>
      </c>
      <c r="CL167" s="21">
        <f>EXP(-LN(2)/25)*CL166+(1-EXP(-LN(2)/25))/(LN(2)/25)*Calculateur!CG167*Calculateur!CI167*VLOOKUP('Données projet'!$B$12,Paramètres!$A$1:$I$89,3,0)*0.475*44/12</f>
        <v>10.910528216071901</v>
      </c>
      <c r="CM167" s="21">
        <f>EXP(-LN(2)/2)*CM166+(1-EXP(-LN(2)/2))/(LN(2)/2)*CG167*CJ167*VLOOKUP('Données projet'!$B$12,Paramètres!$A$1:$I$89,3,0)*0.475*44/12</f>
        <v>6.1803052832866491E-5</v>
      </c>
      <c r="CN167" s="22">
        <f t="shared" si="172"/>
        <v>79.450264943023939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239.26156489359892</v>
      </c>
      <c r="T168" s="59">
        <f t="shared" si="142"/>
        <v>213.97034450798111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2.4486374451373738</v>
      </c>
      <c r="AA168" s="21">
        <f>EXP(-LN(2)/25)*AA167+(1-EXP(-LN(2)/25))/(LN(2)/25)*Calculateur!V168*Calculateur!X168*VLOOKUP('Données projet'!$B$9,Paramètres!$A$1:$I$89,3,0)*0.475*44/12</f>
        <v>7.9828668557509648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10.431504300888339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5.4001247917767614E-13</v>
      </c>
      <c r="AJ168" s="13">
        <f>AI168*VLOOKUP('Données projet'!$B$10,Paramètres!$A$1:$I$89,3,0)*VLOOKUP('Données projet'!$B$10,Paramètres!$A$1:$I$89,5,0)</f>
        <v>5.4757265388616366E-13</v>
      </c>
      <c r="AK168" s="13">
        <f t="shared" si="164"/>
        <v>6.7489963942904795E-12</v>
      </c>
      <c r="AL168" s="20">
        <f t="shared" si="165"/>
        <v>1.2708191092240986E-11</v>
      </c>
      <c r="AM168" s="59">
        <f t="shared" si="113"/>
        <v>293.33333333334605</v>
      </c>
      <c r="AN168" s="59">
        <f ca="1">AVERAGE(OFFSET($AM$3,0,0,'Données projet'!$E$10+1,1))-AVERAGE(OFFSET($H$3,0,0,'Données projet'!$E$10+1,1))</f>
        <v>543.88440431478944</v>
      </c>
      <c r="AO168" s="59">
        <f t="shared" si="144"/>
        <v>342.63929463709457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116.36578101416774</v>
      </c>
      <c r="AV168" s="21">
        <f>EXP(-LN(2)/25)*AV167+(1-EXP(-LN(2)/25))/(LN(2)/25)*Calculateur!AQ168*Calculateur!AS168*VLOOKUP('Données projet'!$B$10,Paramètres!$A$1:$I$89,3,0)*0.475*44/12</f>
        <v>19.976510339786952</v>
      </c>
      <c r="AW168" s="21">
        <f>EXP(-LN(2)/2)*AW167+(1-EXP(-LN(2)/2))/(LN(2)/2)*AQ168*AT168*VLOOKUP('Données projet'!$B$10,Paramètres!$A$1:$I$89,3,0)*0.475*44/12</f>
        <v>1.916266180638625</v>
      </c>
      <c r="AX168" s="21">
        <f t="shared" si="166"/>
        <v>138.25855753459331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7.6783333333333319</v>
      </c>
      <c r="BD168" s="12">
        <f>IF('Données projet'!$A$88&gt;35,BD167+BC168-BL167,IF(A168&lt;'Données projet'!$A$88,$BA$205^A168,IF(A168='Données projet'!$A$88,'Données projet'!$B$88,BD167+BC168-BL167)))</f>
        <v>412.61499999999967</v>
      </c>
      <c r="BE168" s="13">
        <f>BD168*VLOOKUP('Données projet'!$B$11,Paramètres!$A$1:$I$89,3,0)*VLOOKUP('Données projet'!$B$11,Paramètres!$A$1:$I$89,5,0)</f>
        <v>469.88596199999961</v>
      </c>
      <c r="BF168" s="13">
        <f t="shared" si="167"/>
        <v>105.80948774021181</v>
      </c>
      <c r="BG168" s="20">
        <f t="shared" si="168"/>
        <v>1002.6695749642014</v>
      </c>
      <c r="BH168" s="59">
        <f t="shared" si="116"/>
        <v>1296.0029082975348</v>
      </c>
      <c r="BI168" s="59">
        <f ca="1">AVERAGE(OFFSET($BH$3,0,0,'Données projet'!$E$11+1,1))-AVERAGE(OFFSET($H$3,0,0,'Données projet'!$E$11+1,1))</f>
        <v>593.28343396240075</v>
      </c>
      <c r="BJ168" s="59">
        <f t="shared" si="146"/>
        <v>289.66477662068695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39.535628667274196</v>
      </c>
      <c r="BQ168" s="21">
        <f>EXP(-LN(2)/25)*BQ167+(1-EXP(-LN(2)/25))/(LN(2)/25)*Calculateur!BL168*Calculateur!BN168*VLOOKUP('Données projet'!$B$11,Paramètres!$A$1:$I$89,3,0)*0.475*44/12</f>
        <v>20.005277171921229</v>
      </c>
      <c r="BR168" s="21">
        <f>EXP(-LN(2)/2)*BR167+(1-EXP(-LN(2)/2))/(LN(2)/2)*BL168*BO168*VLOOKUP('Données projet'!$B$11,Paramètres!$A$1:$I$89,3,0)*0.475*44/12</f>
        <v>4.5805011607274503E-3</v>
      </c>
      <c r="BS168" s="22">
        <f t="shared" si="169"/>
        <v>59.545486340356149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2.5579538487363607E-13</v>
      </c>
      <c r="BZ168" s="13">
        <f>BY168*VLOOKUP('Données projet'!$B$12,Paramètres!$A$1:$I$89,3,0)*VLOOKUP('Données projet'!$B$12,Paramètres!$A$1:$I$89,5,0)</f>
        <v>2.7533815227798186E-13</v>
      </c>
      <c r="CA168" s="13">
        <f t="shared" si="170"/>
        <v>3.6763598146902537E-12</v>
      </c>
      <c r="CB168" s="20">
        <f t="shared" si="171"/>
        <v>6.88254062580301E-12</v>
      </c>
      <c r="CC168" s="59">
        <f t="shared" si="119"/>
        <v>293.33333333334019</v>
      </c>
      <c r="CD168" s="59">
        <f ca="1">AVERAGE(OFFSET($CC$3,0,0,'Données projet'!$E$12+1,1))-AVERAGE(OFFSET($H$3,0,0,'Données projet'!$E$12+1,1))</f>
        <v>502.65044103360322</v>
      </c>
      <c r="CE168" s="59">
        <f t="shared" si="148"/>
        <v>321.65762891855167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67.195653703715351</v>
      </c>
      <c r="CL168" s="21">
        <f>EXP(-LN(2)/25)*CL167+(1-EXP(-LN(2)/25))/(LN(2)/25)*Calculateur!CG168*Calculateur!CI168*VLOOKUP('Données projet'!$B$12,Paramètres!$A$1:$I$89,3,0)*0.475*44/12</f>
        <v>10.612179248243672</v>
      </c>
      <c r="CM168" s="21">
        <f>EXP(-LN(2)/2)*CM167+(1-EXP(-LN(2)/2))/(LN(2)/2)*CG168*CJ168*VLOOKUP('Données projet'!$B$12,Paramètres!$A$1:$I$89,3,0)*0.475*44/12</f>
        <v>4.3701357756150361E-5</v>
      </c>
      <c r="CN168" s="22">
        <f t="shared" si="172"/>
        <v>77.807876653316782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239.26156489359892</v>
      </c>
      <c r="T169" s="59">
        <f t="shared" si="142"/>
        <v>213.97034450798111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2.4006211583595984</v>
      </c>
      <c r="AA169" s="21">
        <f>EXP(-LN(2)/25)*AA168+(1-EXP(-LN(2)/25))/(LN(2)/25)*Calculateur!V169*Calculateur!X169*VLOOKUP('Données projet'!$B$9,Paramètres!$A$1:$I$89,3,0)*0.475*44/12</f>
        <v>7.7645749417797321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10.16519610013933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5.4001247917767614E-13</v>
      </c>
      <c r="AJ169" s="13">
        <f>AI169*VLOOKUP('Données projet'!$B$10,Paramètres!$A$1:$I$89,3,0)*VLOOKUP('Données projet'!$B$10,Paramètres!$A$1:$I$89,5,0)</f>
        <v>5.4757265388616366E-13</v>
      </c>
      <c r="AK169" s="13">
        <f t="shared" si="164"/>
        <v>6.7489963942904795E-12</v>
      </c>
      <c r="AL169" s="20">
        <f t="shared" si="165"/>
        <v>1.2708191092240986E-11</v>
      </c>
      <c r="AM169" s="59">
        <f t="shared" si="113"/>
        <v>293.33333333334605</v>
      </c>
      <c r="AN169" s="59">
        <f ca="1">AVERAGE(OFFSET($AM$3,0,0,'Données projet'!$E$10+1,1))-AVERAGE(OFFSET($H$3,0,0,'Données projet'!$E$10+1,1))</f>
        <v>543.88440431478944</v>
      </c>
      <c r="AO169" s="59">
        <f t="shared" si="144"/>
        <v>342.63929463709457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114.08391902459802</v>
      </c>
      <c r="AV169" s="21">
        <f>EXP(-LN(2)/25)*AV168+(1-EXP(-LN(2)/25))/(LN(2)/25)*Calculateur!AQ169*Calculateur!AS169*VLOOKUP('Données projet'!$B$10,Paramètres!$A$1:$I$89,3,0)*0.475*44/12</f>
        <v>19.430251614026457</v>
      </c>
      <c r="AW169" s="21">
        <f>EXP(-LN(2)/2)*AW168+(1-EXP(-LN(2)/2))/(LN(2)/2)*AQ169*AT169*VLOOKUP('Données projet'!$B$10,Paramètres!$A$1:$I$89,3,0)*0.475*44/12</f>
        <v>1.3550048108880175</v>
      </c>
      <c r="AX169" s="21">
        <f t="shared" si="166"/>
        <v>134.86917544951248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7.6783333333333319</v>
      </c>
      <c r="BD169" s="12">
        <f>IF('Données projet'!$A$88&gt;35,BD168+BC169-BL168,IF(A169&lt;'Données projet'!$A$88,$BA$205^A169,IF(A169='Données projet'!$A$88,'Données projet'!$B$88,BD168+BC169-BL168)))</f>
        <v>420.29333333333301</v>
      </c>
      <c r="BE169" s="13">
        <f>BD169*VLOOKUP('Données projet'!$B$11,Paramètres!$A$1:$I$89,3,0)*VLOOKUP('Données projet'!$B$11,Paramètres!$A$1:$I$89,5,0)</f>
        <v>478.63004799999959</v>
      </c>
      <c r="BF169" s="13">
        <f t="shared" si="167"/>
        <v>107.54742816141284</v>
      </c>
      <c r="BG169" s="20">
        <f t="shared" si="168"/>
        <v>1020.9257709811267</v>
      </c>
      <c r="BH169" s="59">
        <f t="shared" si="116"/>
        <v>1314.25910431446</v>
      </c>
      <c r="BI169" s="59">
        <f ca="1">AVERAGE(OFFSET($BH$3,0,0,'Données projet'!$E$11+1,1))-AVERAGE(OFFSET($H$3,0,0,'Données projet'!$E$11+1,1))</f>
        <v>593.28343396240075</v>
      </c>
      <c r="BJ169" s="59">
        <f t="shared" si="146"/>
        <v>289.66477662068695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38.76035910346134</v>
      </c>
      <c r="BQ169" s="21">
        <f>EXP(-LN(2)/25)*BQ168+(1-EXP(-LN(2)/25))/(LN(2)/25)*Calculateur!BL169*Calculateur!BN169*VLOOKUP('Données projet'!$B$11,Paramètres!$A$1:$I$89,3,0)*0.475*44/12</f>
        <v>19.45823181562324</v>
      </c>
      <c r="BR169" s="21">
        <f>EXP(-LN(2)/2)*BR168+(1-EXP(-LN(2)/2))/(LN(2)/2)*BL169*BO169*VLOOKUP('Données projet'!$B$11,Paramètres!$A$1:$I$89,3,0)*0.475*44/12</f>
        <v>3.2389034319832322E-3</v>
      </c>
      <c r="BS169" s="22">
        <f t="shared" si="169"/>
        <v>58.221829822516561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2.5579538487363607E-13</v>
      </c>
      <c r="BZ169" s="13">
        <f>BY169*VLOOKUP('Données projet'!$B$12,Paramètres!$A$1:$I$89,3,0)*VLOOKUP('Données projet'!$B$12,Paramètres!$A$1:$I$89,5,0)</f>
        <v>2.7533815227798186E-13</v>
      </c>
      <c r="CA169" s="13">
        <f t="shared" si="170"/>
        <v>3.6763598146902537E-12</v>
      </c>
      <c r="CB169" s="20">
        <f t="shared" si="171"/>
        <v>6.88254062580301E-12</v>
      </c>
      <c r="CC169" s="59">
        <f t="shared" si="119"/>
        <v>293.33333333334019</v>
      </c>
      <c r="CD169" s="59">
        <f ca="1">AVERAGE(OFFSET($CC$3,0,0,'Données projet'!$E$12+1,1))-AVERAGE(OFFSET($H$3,0,0,'Données projet'!$E$12+1,1))</f>
        <v>502.65044103360322</v>
      </c>
      <c r="CE169" s="59">
        <f t="shared" si="148"/>
        <v>321.65762891855167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65.877987919887289</v>
      </c>
      <c r="CL169" s="21">
        <f>EXP(-LN(2)/25)*CL168+(1-EXP(-LN(2)/25))/(LN(2)/25)*Calculateur!CG169*Calculateur!CI169*VLOOKUP('Données projet'!$B$12,Paramètres!$A$1:$I$89,3,0)*0.475*44/12</f>
        <v>10.321988648630196</v>
      </c>
      <c r="CM169" s="21">
        <f>EXP(-LN(2)/2)*CM168+(1-EXP(-LN(2)/2))/(LN(2)/2)*CG169*CJ169*VLOOKUP('Données projet'!$B$12,Paramètres!$A$1:$I$89,3,0)*0.475*44/12</f>
        <v>3.0901526416433245E-5</v>
      </c>
      <c r="CN169" s="22">
        <f t="shared" si="172"/>
        <v>76.2000074700439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239.26156489359892</v>
      </c>
      <c r="T170" s="59">
        <f t="shared" si="142"/>
        <v>213.97034450798111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2.3535464416784921</v>
      </c>
      <c r="AA170" s="21">
        <f>EXP(-LN(2)/25)*AA169+(1-EXP(-LN(2)/25))/(LN(2)/25)*Calculateur!V170*Calculateur!X170*VLOOKUP('Données projet'!$B$9,Paramètres!$A$1:$I$89,3,0)*0.475*44/12</f>
        <v>7.5522522316755154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9.905798673354008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5.4001247917767614E-13</v>
      </c>
      <c r="AJ170" s="13">
        <f>AI170*VLOOKUP('Données projet'!$B$10,Paramètres!$A$1:$I$89,3,0)*VLOOKUP('Données projet'!$B$10,Paramètres!$A$1:$I$89,5,0)</f>
        <v>5.4757265388616366E-13</v>
      </c>
      <c r="AK170" s="13">
        <f t="shared" si="164"/>
        <v>6.7489963942904795E-12</v>
      </c>
      <c r="AL170" s="20">
        <f t="shared" si="165"/>
        <v>1.2708191092240986E-11</v>
      </c>
      <c r="AM170" s="59">
        <f t="shared" si="113"/>
        <v>293.33333333334605</v>
      </c>
      <c r="AN170" s="59">
        <f ca="1">AVERAGE(OFFSET($AM$3,0,0,'Données projet'!$E$10+1,1))-AVERAGE(OFFSET($H$3,0,0,'Données projet'!$E$10+1,1))</f>
        <v>543.88440431478944</v>
      </c>
      <c r="AO170" s="59">
        <f t="shared" si="144"/>
        <v>342.63929463709457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111.84680295684538</v>
      </c>
      <c r="AV170" s="21">
        <f>EXP(-LN(2)/25)*AV169+(1-EXP(-LN(2)/25))/(LN(2)/25)*Calculateur!AQ170*Calculateur!AS170*VLOOKUP('Données projet'!$B$10,Paramètres!$A$1:$I$89,3,0)*0.475*44/12</f>
        <v>18.898930361848379</v>
      </c>
      <c r="AW170" s="21">
        <f>EXP(-LN(2)/2)*AW169+(1-EXP(-LN(2)/2))/(LN(2)/2)*AQ170*AT170*VLOOKUP('Données projet'!$B$10,Paramètres!$A$1:$I$89,3,0)*0.475*44/12</f>
        <v>0.95813309031931271</v>
      </c>
      <c r="AX170" s="21">
        <f t="shared" si="166"/>
        <v>131.70386640901307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7.6783333333333319</v>
      </c>
      <c r="BD170" s="12">
        <f>IF('Données projet'!$A$88&gt;35,BD169+BC170-BL169,IF(A170&lt;'Données projet'!$A$88,$BA$205^A170,IF(A170='Données projet'!$A$88,'Données projet'!$B$88,BD169+BC170-BL169)))</f>
        <v>427.97166666666635</v>
      </c>
      <c r="BE170" s="13">
        <f>BD170*VLOOKUP('Données projet'!$B$11,Paramètres!$A$1:$I$89,3,0)*VLOOKUP('Données projet'!$B$11,Paramètres!$A$1:$I$89,5,0)</f>
        <v>487.37413399999963</v>
      </c>
      <c r="BF170" s="13">
        <f t="shared" si="167"/>
        <v>109.28167654445673</v>
      </c>
      <c r="BG170" s="20">
        <f t="shared" si="168"/>
        <v>1039.1755366982613</v>
      </c>
      <c r="BH170" s="59">
        <f t="shared" si="116"/>
        <v>1332.5088700315946</v>
      </c>
      <c r="BI170" s="59">
        <f ca="1">AVERAGE(OFFSET($BH$3,0,0,'Données projet'!$E$11+1,1))-AVERAGE(OFFSET($H$3,0,0,'Données projet'!$E$11+1,1))</f>
        <v>593.28343396240075</v>
      </c>
      <c r="BJ170" s="59">
        <f t="shared" si="146"/>
        <v>289.66477662068695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38.000292102927112</v>
      </c>
      <c r="BQ170" s="21">
        <f>EXP(-LN(2)/25)*BQ169+(1-EXP(-LN(2)/25))/(LN(2)/25)*Calculateur!BL170*Calculateur!BN170*VLOOKUP('Données projet'!$B$11,Paramètres!$A$1:$I$89,3,0)*0.475*44/12</f>
        <v>18.926145443361083</v>
      </c>
      <c r="BR170" s="21">
        <f>EXP(-LN(2)/2)*BR169+(1-EXP(-LN(2)/2))/(LN(2)/2)*BL170*BO170*VLOOKUP('Données projet'!$B$11,Paramètres!$A$1:$I$89,3,0)*0.475*44/12</f>
        <v>2.2902505803637251E-3</v>
      </c>
      <c r="BS170" s="22">
        <f t="shared" si="169"/>
        <v>56.928727796868564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2.5579538487363607E-13</v>
      </c>
      <c r="BZ170" s="13">
        <f>BY170*VLOOKUP('Données projet'!$B$12,Paramètres!$A$1:$I$89,3,0)*VLOOKUP('Données projet'!$B$12,Paramètres!$A$1:$I$89,5,0)</f>
        <v>2.7533815227798186E-13</v>
      </c>
      <c r="CA170" s="13">
        <f t="shared" si="170"/>
        <v>3.6763598146902537E-12</v>
      </c>
      <c r="CB170" s="20">
        <f t="shared" si="171"/>
        <v>6.88254062580301E-12</v>
      </c>
      <c r="CC170" s="59">
        <f t="shared" si="119"/>
        <v>293.33333333334019</v>
      </c>
      <c r="CD170" s="59">
        <f ca="1">AVERAGE(OFFSET($CC$3,0,0,'Données projet'!$E$12+1,1))-AVERAGE(OFFSET($H$3,0,0,'Données projet'!$E$12+1,1))</f>
        <v>502.65044103360322</v>
      </c>
      <c r="CE170" s="59">
        <f t="shared" si="148"/>
        <v>321.65762891855167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64.586160758383329</v>
      </c>
      <c r="CL170" s="21">
        <f>EXP(-LN(2)/25)*CL169+(1-EXP(-LN(2)/25))/(LN(2)/25)*Calculateur!CG170*Calculateur!CI170*VLOOKUP('Données projet'!$B$12,Paramètres!$A$1:$I$89,3,0)*0.475*44/12</f>
        <v>10.039733326223612</v>
      </c>
      <c r="CM170" s="21">
        <f>EXP(-LN(2)/2)*CM169+(1-EXP(-LN(2)/2))/(LN(2)/2)*CG170*CJ170*VLOOKUP('Données projet'!$B$12,Paramètres!$A$1:$I$89,3,0)*0.475*44/12</f>
        <v>2.1850678878075181E-5</v>
      </c>
      <c r="CN170" s="22">
        <f t="shared" si="172"/>
        <v>74.625915935285818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239.26156489359892</v>
      </c>
      <c r="T171" s="59">
        <f t="shared" si="142"/>
        <v>213.97034450798111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2.3073948314787605</v>
      </c>
      <c r="AA171" s="21">
        <f>EXP(-LN(2)/25)*AA170+(1-EXP(-LN(2)/25))/(LN(2)/25)*Calculateur!V171*Calculateur!X171*VLOOKUP('Données projet'!$B$9,Paramètres!$A$1:$I$89,3,0)*0.475*44/12</f>
        <v>7.3457354972446645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9.6531303287234245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5.4001247917767614E-13</v>
      </c>
      <c r="AJ171" s="13">
        <f>AI171*VLOOKUP('Données projet'!$B$10,Paramètres!$A$1:$I$89,3,0)*VLOOKUP('Données projet'!$B$10,Paramètres!$A$1:$I$89,5,0)</f>
        <v>5.4757265388616366E-13</v>
      </c>
      <c r="AK171" s="13">
        <f t="shared" si="164"/>
        <v>6.7489963942904795E-12</v>
      </c>
      <c r="AL171" s="20">
        <f t="shared" si="165"/>
        <v>1.2708191092240986E-11</v>
      </c>
      <c r="AM171" s="59">
        <f t="shared" si="113"/>
        <v>293.33333333334605</v>
      </c>
      <c r="AN171" s="59">
        <f ca="1">AVERAGE(OFFSET($AM$3,0,0,'Données projet'!$E$10+1,1))-AVERAGE(OFFSET($H$3,0,0,'Données projet'!$E$10+1,1))</f>
        <v>543.88440431478944</v>
      </c>
      <c r="AO171" s="59">
        <f t="shared" si="144"/>
        <v>342.63929463709457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109.65355537067529</v>
      </c>
      <c r="AV171" s="21">
        <f>EXP(-LN(2)/25)*AV170+(1-EXP(-LN(2)/25))/(LN(2)/25)*Calculateur!AQ171*Calculateur!AS171*VLOOKUP('Données projet'!$B$10,Paramètres!$A$1:$I$89,3,0)*0.475*44/12</f>
        <v>18.382138117252083</v>
      </c>
      <c r="AW171" s="21">
        <f>EXP(-LN(2)/2)*AW170+(1-EXP(-LN(2)/2))/(LN(2)/2)*AQ171*AT171*VLOOKUP('Données projet'!$B$10,Paramètres!$A$1:$I$89,3,0)*0.475*44/12</f>
        <v>0.67750240544400886</v>
      </c>
      <c r="AX171" s="21">
        <f t="shared" si="166"/>
        <v>128.71319589337139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>
        <f>VLOOKUP(A171,'Données projet'!$A$87:$I$107,2,0)</f>
        <v>435.65</v>
      </c>
      <c r="BB171" s="12">
        <f>VLOOKUP(A171,'Données projet'!$A$87:$I$107,9,0)</f>
        <v>7.6783333333333319</v>
      </c>
      <c r="BC171" s="12">
        <f t="array" ref="BC171">INDEX(BB:BB,MIN(IF(ISNUMBER(BB171:BB367),ROW(BB171:BB367),"")))</f>
        <v>7.6783333333333319</v>
      </c>
      <c r="BD171" s="12">
        <f>IF('Données projet'!$A$88&gt;35,BD170+BC171-BL170,IF(A171&lt;'Données projet'!$A$88,$BA$205^A171,IF(A171='Données projet'!$A$88,'Données projet'!$B$88,BD170+BC171-BL170)))</f>
        <v>435.64999999999969</v>
      </c>
      <c r="BE171" s="13">
        <f>BD171*VLOOKUP('Données projet'!$B$11,Paramètres!$A$1:$I$89,3,0)*VLOOKUP('Données projet'!$B$11,Paramètres!$A$1:$I$89,5,0)</f>
        <v>496.11821999999967</v>
      </c>
      <c r="BF171" s="13">
        <f t="shared" si="167"/>
        <v>111.01230677013324</v>
      </c>
      <c r="BG171" s="20">
        <f t="shared" si="168"/>
        <v>1057.4190007913146</v>
      </c>
      <c r="BH171" s="59">
        <f t="shared" si="116"/>
        <v>1350.7523341246479</v>
      </c>
      <c r="BI171" s="59">
        <f ca="1">AVERAGE(OFFSET($BH$3,0,0,'Données projet'!$E$11+1,1))-AVERAGE(OFFSET($H$3,0,0,'Données projet'!$E$11+1,1))</f>
        <v>593.28343396240075</v>
      </c>
      <c r="BJ171" s="59">
        <f t="shared" si="146"/>
        <v>289.66477662068695</v>
      </c>
      <c r="BK171" s="15">
        <f>IF(ISNA(VLOOKUP(A171,'Données projet'!$A$87:$I$107,3,0)),0,VLOOKUP(A171,'Données projet'!$A$87:$I$107,3,0))</f>
        <v>12</v>
      </c>
      <c r="BL171" s="15">
        <f>IF(ISNA(VLOOKUP(A171,'Données projet'!$A$87:$I$107,4,0)),0,VLOOKUP(A171,'Données projet'!$A$87:$I$107,4,0))</f>
        <v>71.37</v>
      </c>
      <c r="BM171" s="16">
        <f>IF(ISNA(VLOOKUP(A171,'Données projet'!$A$87:$I$107,5,0)),0%,VLOOKUP(A171,'Données projet'!$A$87:$I$107,5,0)*VLOOKUP('Données projet'!$B$11,Paramètres!$A$1:$I$89,7,0))</f>
        <v>0.215</v>
      </c>
      <c r="BN171" s="16">
        <f>IF(ISNA(VLOOKUP(A171,'Données projet'!$A$87:$I$107,6,0)),0%,VLOOKUP(A171,'Données projet'!$A$87:$I$107,6,0)*VLOOKUP('Données projet'!$B$11,Paramètres!$A$1:$I$89,7,0))</f>
        <v>8.6000000000000007E-2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56.572531902042613</v>
      </c>
      <c r="BQ171" s="21">
        <f>EXP(-LN(2)/25)*BQ170+(1-EXP(-LN(2)/25))/(LN(2)/25)*Calculateur!BL171*Calculateur!BN171*VLOOKUP('Données projet'!$B$11,Paramètres!$A$1:$I$89,3,0)*0.475*44/12</f>
        <v>26.105145951252659</v>
      </c>
      <c r="BR171" s="21">
        <f>EXP(-LN(2)/2)*BR170+(1-EXP(-LN(2)/2))/(LN(2)/2)*BL171*BO171*VLOOKUP('Données projet'!$B$11,Paramètres!$A$1:$I$89,3,0)*0.475*44/12</f>
        <v>1.6194517159916161E-3</v>
      </c>
      <c r="BS171" s="22">
        <f t="shared" si="169"/>
        <v>82.679297305011275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2.5579538487363607E-13</v>
      </c>
      <c r="BZ171" s="13">
        <f>BY171*VLOOKUP('Données projet'!$B$12,Paramètres!$A$1:$I$89,3,0)*VLOOKUP('Données projet'!$B$12,Paramètres!$A$1:$I$89,5,0)</f>
        <v>2.7533815227798186E-13</v>
      </c>
      <c r="CA171" s="13">
        <f t="shared" si="170"/>
        <v>3.6763598146902537E-12</v>
      </c>
      <c r="CB171" s="20">
        <f t="shared" si="171"/>
        <v>6.88254062580301E-12</v>
      </c>
      <c r="CC171" s="59">
        <f t="shared" si="119"/>
        <v>293.33333333334019</v>
      </c>
      <c r="CD171" s="59">
        <f ca="1">AVERAGE(OFFSET($CC$3,0,0,'Données projet'!$E$12+1,1))-AVERAGE(OFFSET($H$3,0,0,'Données projet'!$E$12+1,1))</f>
        <v>502.65044103360322</v>
      </c>
      <c r="CE171" s="59">
        <f t="shared" si="148"/>
        <v>321.65762891855167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63.319665539579695</v>
      </c>
      <c r="CL171" s="21">
        <f>EXP(-LN(2)/25)*CL170+(1-EXP(-LN(2)/25))/(LN(2)/25)*Calculateur!CG171*Calculateur!CI171*VLOOKUP('Données projet'!$B$12,Paramètres!$A$1:$I$89,3,0)*0.475*44/12</f>
        <v>9.7651962904513976</v>
      </c>
      <c r="CM171" s="21">
        <f>EXP(-LN(2)/2)*CM170+(1-EXP(-LN(2)/2))/(LN(2)/2)*CG171*CJ171*VLOOKUP('Données projet'!$B$12,Paramètres!$A$1:$I$89,3,0)*0.475*44/12</f>
        <v>1.5450763208216623E-5</v>
      </c>
      <c r="CN171" s="22">
        <f t="shared" si="172"/>
        <v>73.084877280794302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239.26156489359892</v>
      </c>
      <c r="T172" s="59">
        <f t="shared" si="142"/>
        <v>213.97034450798111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2.2621482262053427</v>
      </c>
      <c r="AA172" s="21">
        <f>EXP(-LN(2)/25)*AA171+(1-EXP(-LN(2)/25))/(LN(2)/25)*Calculateur!V172*Calculateur!X172*VLOOKUP('Données projet'!$B$9,Paramètres!$A$1:$I$89,3,0)*0.475*44/12</f>
        <v>7.1448659737770681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9.4070141999824113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5.4001247917767614E-13</v>
      </c>
      <c r="AJ172" s="13">
        <f>AI172*VLOOKUP('Données projet'!$B$10,Paramètres!$A$1:$I$89,3,0)*VLOOKUP('Données projet'!$B$10,Paramètres!$A$1:$I$89,5,0)</f>
        <v>5.4757265388616366E-13</v>
      </c>
      <c r="AK172" s="13">
        <f t="shared" si="164"/>
        <v>6.7489963942904795E-12</v>
      </c>
      <c r="AL172" s="20">
        <f t="shared" si="165"/>
        <v>1.2708191092240986E-11</v>
      </c>
      <c r="AM172" s="59">
        <f t="shared" si="113"/>
        <v>293.33333333334605</v>
      </c>
      <c r="AN172" s="59">
        <f ca="1">AVERAGE(OFFSET($AM$3,0,0,'Données projet'!$E$10+1,1))-AVERAGE(OFFSET($H$3,0,0,'Données projet'!$E$10+1,1))</f>
        <v>543.88440431478944</v>
      </c>
      <c r="AO172" s="59">
        <f t="shared" si="144"/>
        <v>342.63929463709457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107.50331603192107</v>
      </c>
      <c r="AV172" s="21">
        <f>EXP(-LN(2)/25)*AV171+(1-EXP(-LN(2)/25))/(LN(2)/25)*Calculateur!AQ172*Calculateur!AS172*VLOOKUP('Données projet'!$B$10,Paramètres!$A$1:$I$89,3,0)*0.475*44/12</f>
        <v>17.879477583761194</v>
      </c>
      <c r="AW172" s="21">
        <f>EXP(-LN(2)/2)*AW171+(1-EXP(-LN(2)/2))/(LN(2)/2)*AQ172*AT172*VLOOKUP('Données projet'!$B$10,Paramètres!$A$1:$I$89,3,0)*0.475*44/12</f>
        <v>0.47906654515965641</v>
      </c>
      <c r="AX172" s="21">
        <f t="shared" si="166"/>
        <v>125.86186016084191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7.688333333333337</v>
      </c>
      <c r="BD172" s="12">
        <f>IF('Données projet'!$A$88&gt;35,BD171+BC172-BL171,IF(A172&lt;'Données projet'!$A$88,$BA$205^A172,IF(A172='Données projet'!$A$88,'Données projet'!$B$88,BD171+BC172-BL171)))</f>
        <v>371.96833333333302</v>
      </c>
      <c r="BE172" s="13">
        <f>BD172*VLOOKUP('Données projet'!$B$11,Paramètres!$A$1:$I$89,3,0)*VLOOKUP('Données projet'!$B$11,Paramètres!$A$1:$I$89,5,0)</f>
        <v>423.59753799999964</v>
      </c>
      <c r="BF172" s="13">
        <f t="shared" si="167"/>
        <v>96.544627937527807</v>
      </c>
      <c r="BG172" s="20">
        <f t="shared" si="168"/>
        <v>905.91427234119362</v>
      </c>
      <c r="BH172" s="59">
        <f t="shared" si="116"/>
        <v>1199.247605674527</v>
      </c>
      <c r="BI172" s="59">
        <f ca="1">AVERAGE(OFFSET($BH$3,0,0,'Données projet'!$E$11+1,1))-AVERAGE(OFFSET($H$3,0,0,'Données projet'!$E$11+1,1))</f>
        <v>593.28343396240075</v>
      </c>
      <c r="BJ172" s="59">
        <f t="shared" si="146"/>
        <v>289.66477662068695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55.463179057280847</v>
      </c>
      <c r="BQ172" s="21">
        <f>EXP(-LN(2)/25)*BQ171+(1-EXP(-LN(2)/25))/(LN(2)/25)*Calculateur!BL172*Calculateur!BN172*VLOOKUP('Données projet'!$B$11,Paramètres!$A$1:$I$89,3,0)*0.475*44/12</f>
        <v>25.391299362405693</v>
      </c>
      <c r="BR172" s="21">
        <f>EXP(-LN(2)/2)*BR171+(1-EXP(-LN(2)/2))/(LN(2)/2)*BL172*BO172*VLOOKUP('Données projet'!$B$11,Paramètres!$A$1:$I$89,3,0)*0.475*44/12</f>
        <v>1.1451252901818626E-3</v>
      </c>
      <c r="BS172" s="22">
        <f t="shared" si="169"/>
        <v>80.855623544976723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2.5579538487363607E-13</v>
      </c>
      <c r="BZ172" s="13">
        <f>BY172*VLOOKUP('Données projet'!$B$12,Paramètres!$A$1:$I$89,3,0)*VLOOKUP('Données projet'!$B$12,Paramètres!$A$1:$I$89,5,0)</f>
        <v>2.7533815227798186E-13</v>
      </c>
      <c r="CA172" s="13">
        <f t="shared" si="170"/>
        <v>3.6763598146902537E-12</v>
      </c>
      <c r="CB172" s="20">
        <f t="shared" si="171"/>
        <v>6.88254062580301E-12</v>
      </c>
      <c r="CC172" s="59">
        <f t="shared" si="119"/>
        <v>293.33333333334019</v>
      </c>
      <c r="CD172" s="59">
        <f ca="1">AVERAGE(OFFSET($CC$3,0,0,'Données projet'!$E$12+1,1))-AVERAGE(OFFSET($H$3,0,0,'Données projet'!$E$12+1,1))</f>
        <v>502.65044103360322</v>
      </c>
      <c r="CE172" s="59">
        <f t="shared" si="148"/>
        <v>321.65762891855167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62.07800551953099</v>
      </c>
      <c r="CL172" s="21">
        <f>EXP(-LN(2)/25)*CL171+(1-EXP(-LN(2)/25))/(LN(2)/25)*Calculateur!CG172*Calculateur!CI172*VLOOKUP('Données projet'!$B$12,Paramètres!$A$1:$I$89,3,0)*0.475*44/12</f>
        <v>9.4981664843596505</v>
      </c>
      <c r="CM172" s="21">
        <f>EXP(-LN(2)/2)*CM171+(1-EXP(-LN(2)/2))/(LN(2)/2)*CG172*CJ172*VLOOKUP('Données projet'!$B$12,Paramètres!$A$1:$I$89,3,0)*0.475*44/12</f>
        <v>1.092533943903759E-5</v>
      </c>
      <c r="CN172" s="22">
        <f t="shared" si="172"/>
        <v>71.576182929230072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239.26156489359892</v>
      </c>
      <c r="T173" s="59">
        <f t="shared" si="142"/>
        <v>213.97034450798111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2.2177888792636327</v>
      </c>
      <c r="AA173" s="21">
        <f>EXP(-LN(2)/25)*AA172+(1-EXP(-LN(2)/25))/(LN(2)/25)*Calculateur!V173*Calculateur!X173*VLOOKUP('Données projet'!$B$9,Paramètres!$A$1:$I$89,3,0)*0.475*44/12</f>
        <v>6.9494892379919628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9.167278117255595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5.4001247917767614E-13</v>
      </c>
      <c r="AJ173" s="13">
        <f>AI173*VLOOKUP('Données projet'!$B$10,Paramètres!$A$1:$I$89,3,0)*VLOOKUP('Données projet'!$B$10,Paramètres!$A$1:$I$89,5,0)</f>
        <v>5.4757265388616366E-13</v>
      </c>
      <c r="AK173" s="13">
        <f t="shared" si="164"/>
        <v>6.7489963942904795E-12</v>
      </c>
      <c r="AL173" s="20">
        <f t="shared" si="165"/>
        <v>1.2708191092240986E-11</v>
      </c>
      <c r="AM173" s="59">
        <f t="shared" si="113"/>
        <v>293.33333333334605</v>
      </c>
      <c r="AN173" s="59">
        <f ca="1">AVERAGE(OFFSET($AM$3,0,0,'Données projet'!$E$10+1,1))-AVERAGE(OFFSET($H$3,0,0,'Données projet'!$E$10+1,1))</f>
        <v>543.88440431478944</v>
      </c>
      <c r="AO173" s="59">
        <f t="shared" si="144"/>
        <v>342.63929463709457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105.39524157508333</v>
      </c>
      <c r="AV173" s="21">
        <f>EXP(-LN(2)/25)*AV172+(1-EXP(-LN(2)/25))/(LN(2)/25)*Calculateur!AQ173*Calculateur!AS173*VLOOKUP('Données projet'!$B$10,Paramètres!$A$1:$I$89,3,0)*0.475*44/12</f>
        <v>17.390562328992381</v>
      </c>
      <c r="AW173" s="21">
        <f>EXP(-LN(2)/2)*AW172+(1-EXP(-LN(2)/2))/(LN(2)/2)*AQ173*AT173*VLOOKUP('Données projet'!$B$10,Paramètres!$A$1:$I$89,3,0)*0.475*44/12</f>
        <v>0.33875120272200449</v>
      </c>
      <c r="AX173" s="21">
        <f t="shared" si="166"/>
        <v>123.12455510679773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7.688333333333337</v>
      </c>
      <c r="BD173" s="12">
        <f>IF('Données projet'!$A$88&gt;35,BD172+BC173-BL172,IF(A173&lt;'Données projet'!$A$88,$BA$205^A173,IF(A173='Données projet'!$A$88,'Données projet'!$B$88,BD172+BC173-BL172)))</f>
        <v>379.65666666666635</v>
      </c>
      <c r="BE173" s="13">
        <f>BD173*VLOOKUP('Données projet'!$B$11,Paramètres!$A$1:$I$89,3,0)*VLOOKUP('Données projet'!$B$11,Paramètres!$A$1:$I$89,5,0)</f>
        <v>432.35301199999964</v>
      </c>
      <c r="BF173" s="13">
        <f t="shared" si="167"/>
        <v>98.305757408394228</v>
      </c>
      <c r="BG173" s="20">
        <f t="shared" si="168"/>
        <v>924.23069005295258</v>
      </c>
      <c r="BH173" s="59">
        <f t="shared" si="116"/>
        <v>1217.564023386286</v>
      </c>
      <c r="BI173" s="59">
        <f ca="1">AVERAGE(OFFSET($BH$3,0,0,'Données projet'!$E$11+1,1))-AVERAGE(OFFSET($H$3,0,0,'Données projet'!$E$11+1,1))</f>
        <v>593.28343396240075</v>
      </c>
      <c r="BJ173" s="59">
        <f t="shared" si="146"/>
        <v>289.66477662068695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54.375579945166436</v>
      </c>
      <c r="BQ173" s="21">
        <f>EXP(-LN(2)/25)*BQ172+(1-EXP(-LN(2)/25))/(LN(2)/25)*Calculateur!BL173*Calculateur!BN173*VLOOKUP('Données projet'!$B$11,Paramètres!$A$1:$I$89,3,0)*0.475*44/12</f>
        <v>24.696972946070307</v>
      </c>
      <c r="BR173" s="21">
        <f>EXP(-LN(2)/2)*BR172+(1-EXP(-LN(2)/2))/(LN(2)/2)*BL173*BO173*VLOOKUP('Données projet'!$B$11,Paramètres!$A$1:$I$89,3,0)*0.475*44/12</f>
        <v>8.0972585799580804E-4</v>
      </c>
      <c r="BS173" s="22">
        <f t="shared" si="169"/>
        <v>79.07336261709473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2.5579538487363607E-13</v>
      </c>
      <c r="BZ173" s="13">
        <f>BY173*VLOOKUP('Données projet'!$B$12,Paramètres!$A$1:$I$89,3,0)*VLOOKUP('Données projet'!$B$12,Paramètres!$A$1:$I$89,5,0)</f>
        <v>2.7533815227798186E-13</v>
      </c>
      <c r="CA173" s="13">
        <f t="shared" si="170"/>
        <v>3.6763598146902537E-12</v>
      </c>
      <c r="CB173" s="20">
        <f t="shared" si="171"/>
        <v>6.88254062580301E-12</v>
      </c>
      <c r="CC173" s="59">
        <f t="shared" si="119"/>
        <v>293.33333333334019</v>
      </c>
      <c r="CD173" s="59">
        <f ca="1">AVERAGE(OFFSET($CC$3,0,0,'Données projet'!$E$12+1,1))-AVERAGE(OFFSET($H$3,0,0,'Données projet'!$E$12+1,1))</f>
        <v>502.65044103360322</v>
      </c>
      <c r="CE173" s="59">
        <f t="shared" si="148"/>
        <v>321.65762891855167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60.860693695137613</v>
      </c>
      <c r="CL173" s="21">
        <f>EXP(-LN(2)/25)*CL172+(1-EXP(-LN(2)/25))/(LN(2)/25)*Calculateur!CG173*Calculateur!CI173*VLOOKUP('Données projet'!$B$12,Paramètres!$A$1:$I$89,3,0)*0.475*44/12</f>
        <v>9.2384386223579682</v>
      </c>
      <c r="CM173" s="21">
        <f>EXP(-LN(2)/2)*CM172+(1-EXP(-LN(2)/2))/(LN(2)/2)*CG173*CJ173*VLOOKUP('Données projet'!$B$12,Paramètres!$A$1:$I$89,3,0)*0.475*44/12</f>
        <v>7.7253816041083113E-6</v>
      </c>
      <c r="CN173" s="22">
        <f t="shared" si="172"/>
        <v>70.099140042877195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239.26156489359892</v>
      </c>
      <c r="T174" s="59">
        <f t="shared" si="142"/>
        <v>213.97034450798111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2.1742993920589195</v>
      </c>
      <c r="AA174" s="21">
        <f>EXP(-LN(2)/25)*AA173+(1-EXP(-LN(2)/25))/(LN(2)/25)*Calculateur!V174*Calculateur!X174*VLOOKUP('Données projet'!$B$9,Paramètres!$A$1:$I$89,3,0)*0.475*44/12</f>
        <v>6.7594550893213166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8.9337544813802356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5.4001247917767614E-13</v>
      </c>
      <c r="AJ174" s="13">
        <f>AI174*VLOOKUP('Données projet'!$B$10,Paramètres!$A$1:$I$89,3,0)*VLOOKUP('Données projet'!$B$10,Paramètres!$A$1:$I$89,5,0)</f>
        <v>5.4757265388616366E-13</v>
      </c>
      <c r="AK174" s="13">
        <f t="shared" si="164"/>
        <v>6.7489963942904795E-12</v>
      </c>
      <c r="AL174" s="20">
        <f t="shared" si="165"/>
        <v>1.2708191092240986E-11</v>
      </c>
      <c r="AM174" s="59">
        <f t="shared" si="113"/>
        <v>293.33333333334605</v>
      </c>
      <c r="AN174" s="59">
        <f ca="1">AVERAGE(OFFSET($AM$3,0,0,'Données projet'!$E$10+1,1))-AVERAGE(OFFSET($H$3,0,0,'Données projet'!$E$10+1,1))</f>
        <v>543.88440431478944</v>
      </c>
      <c r="AO174" s="59">
        <f t="shared" si="144"/>
        <v>342.63929463709457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103.32850517254572</v>
      </c>
      <c r="AV174" s="21">
        <f>EXP(-LN(2)/25)*AV173+(1-EXP(-LN(2)/25))/(LN(2)/25)*Calculateur!AQ174*Calculateur!AS174*VLOOKUP('Données projet'!$B$10,Paramètres!$A$1:$I$89,3,0)*0.475*44/12</f>
        <v>16.915016487576157</v>
      </c>
      <c r="AW174" s="21">
        <f>EXP(-LN(2)/2)*AW173+(1-EXP(-LN(2)/2))/(LN(2)/2)*AQ174*AT174*VLOOKUP('Données projet'!$B$10,Paramètres!$A$1:$I$89,3,0)*0.475*44/12</f>
        <v>0.23953327257982823</v>
      </c>
      <c r="AX174" s="21">
        <f t="shared" si="166"/>
        <v>120.48305493270171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7.688333333333337</v>
      </c>
      <c r="BD174" s="12">
        <f>IF('Données projet'!$A$88&gt;35,BD173+BC174-BL173,IF(A174&lt;'Données projet'!$A$88,$BA$205^A174,IF(A174='Données projet'!$A$88,'Données projet'!$B$88,BD173+BC174-BL173)))</f>
        <v>387.34499999999969</v>
      </c>
      <c r="BE174" s="13">
        <f>BD174*VLOOKUP('Données projet'!$B$11,Paramètres!$A$1:$I$89,3,0)*VLOOKUP('Données projet'!$B$11,Paramètres!$A$1:$I$89,5,0)</f>
        <v>441.10848599999963</v>
      </c>
      <c r="BF174" s="13">
        <f t="shared" si="167"/>
        <v>100.06274015592311</v>
      </c>
      <c r="BG174" s="20">
        <f t="shared" si="168"/>
        <v>942.53988555489889</v>
      </c>
      <c r="BH174" s="59">
        <f t="shared" si="116"/>
        <v>1235.8732188882323</v>
      </c>
      <c r="BI174" s="59">
        <f ca="1">AVERAGE(OFFSET($BH$3,0,0,'Données projet'!$E$11+1,1))-AVERAGE(OFFSET($H$3,0,0,'Données projet'!$E$11+1,1))</f>
        <v>593.28343396240075</v>
      </c>
      <c r="BJ174" s="59">
        <f t="shared" si="146"/>
        <v>289.66477662068695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53.309307988270632</v>
      </c>
      <c r="BQ174" s="21">
        <f>EXP(-LN(2)/25)*BQ173+(1-EXP(-LN(2)/25))/(LN(2)/25)*Calculateur!BL174*Calculateur!BN174*VLOOKUP('Données projet'!$B$11,Paramètres!$A$1:$I$89,3,0)*0.475*44/12</f>
        <v>24.021632922102654</v>
      </c>
      <c r="BR174" s="21">
        <f>EXP(-LN(2)/2)*BR173+(1-EXP(-LN(2)/2))/(LN(2)/2)*BL174*BO174*VLOOKUP('Données projet'!$B$11,Paramètres!$A$1:$I$89,3,0)*0.475*44/12</f>
        <v>5.7256264509093129E-4</v>
      </c>
      <c r="BS174" s="22">
        <f t="shared" si="169"/>
        <v>77.331513473018376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2.5579538487363607E-13</v>
      </c>
      <c r="BZ174" s="13">
        <f>BY174*VLOOKUP('Données projet'!$B$12,Paramètres!$A$1:$I$89,3,0)*VLOOKUP('Données projet'!$B$12,Paramètres!$A$1:$I$89,5,0)</f>
        <v>2.7533815227798186E-13</v>
      </c>
      <c r="CA174" s="13">
        <f t="shared" si="170"/>
        <v>3.6763598146902537E-12</v>
      </c>
      <c r="CB174" s="20">
        <f t="shared" si="171"/>
        <v>6.88254062580301E-12</v>
      </c>
      <c r="CC174" s="59">
        <f t="shared" si="119"/>
        <v>293.33333333334019</v>
      </c>
      <c r="CD174" s="59">
        <f ca="1">AVERAGE(OFFSET($CC$3,0,0,'Données projet'!$E$12+1,1))-AVERAGE(OFFSET($H$3,0,0,'Données projet'!$E$12+1,1))</f>
        <v>502.65044103360322</v>
      </c>
      <c r="CE174" s="59">
        <f t="shared" si="148"/>
        <v>321.65762891855167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59.667252613133691</v>
      </c>
      <c r="CL174" s="21">
        <f>EXP(-LN(2)/25)*CL173+(1-EXP(-LN(2)/25))/(LN(2)/25)*Calculateur!CG174*Calculateur!CI174*VLOOKUP('Données projet'!$B$12,Paramètres!$A$1:$I$89,3,0)*0.475*44/12</f>
        <v>8.985813032401218</v>
      </c>
      <c r="CM174" s="21">
        <f>EXP(-LN(2)/2)*CM173+(1-EXP(-LN(2)/2))/(LN(2)/2)*CG174*CJ174*VLOOKUP('Données projet'!$B$12,Paramètres!$A$1:$I$89,3,0)*0.475*44/12</f>
        <v>5.4626697195187952E-6</v>
      </c>
      <c r="CN174" s="22">
        <f t="shared" si="172"/>
        <v>68.653071108204628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239.26156489359892</v>
      </c>
      <c r="T175" s="59">
        <f t="shared" si="142"/>
        <v>213.97034450798111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2.1316627071723229</v>
      </c>
      <c r="AA175" s="21">
        <f>EXP(-LN(2)/25)*AA174+(1-EXP(-LN(2)/25))/(LN(2)/25)*Calculateur!V175*Calculateur!X175*VLOOKUP('Données projet'!$B$9,Paramètres!$A$1:$I$89,3,0)*0.475*44/12</f>
        <v>6.5746174344395314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8.7062801416118543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5.4001247917767614E-13</v>
      </c>
      <c r="AJ175" s="13">
        <f>AI175*VLOOKUP('Données projet'!$B$10,Paramètres!$A$1:$I$89,3,0)*VLOOKUP('Données projet'!$B$10,Paramètres!$A$1:$I$89,5,0)</f>
        <v>5.4757265388616366E-13</v>
      </c>
      <c r="AK175" s="13">
        <f t="shared" si="164"/>
        <v>6.7489963942904795E-12</v>
      </c>
      <c r="AL175" s="20">
        <f t="shared" si="165"/>
        <v>1.2708191092240986E-11</v>
      </c>
      <c r="AM175" s="59">
        <f t="shared" si="113"/>
        <v>293.33333333334605</v>
      </c>
      <c r="AN175" s="59">
        <f ca="1">AVERAGE(OFFSET($AM$3,0,0,'Données projet'!$E$10+1,1))-AVERAGE(OFFSET($H$3,0,0,'Données projet'!$E$10+1,1))</f>
        <v>543.88440431478944</v>
      </c>
      <c r="AO175" s="59">
        <f t="shared" si="144"/>
        <v>342.63929463709457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101.30229621027713</v>
      </c>
      <c r="AV175" s="21">
        <f>EXP(-LN(2)/25)*AV174+(1-EXP(-LN(2)/25))/(LN(2)/25)*Calculateur!AQ175*Calculateur!AS175*VLOOKUP('Données projet'!$B$10,Paramètres!$A$1:$I$89,3,0)*0.475*44/12</f>
        <v>16.452474472201331</v>
      </c>
      <c r="AW175" s="21">
        <f>EXP(-LN(2)/2)*AW174+(1-EXP(-LN(2)/2))/(LN(2)/2)*AQ175*AT175*VLOOKUP('Données projet'!$B$10,Paramètres!$A$1:$I$89,3,0)*0.475*44/12</f>
        <v>0.16937560136100227</v>
      </c>
      <c r="AX175" s="21">
        <f t="shared" si="166"/>
        <v>117.92414628383946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7.688333333333337</v>
      </c>
      <c r="BD175" s="12">
        <f>IF('Données projet'!$A$88&gt;35,BD174+BC175-BL174,IF(A175&lt;'Données projet'!$A$88,$BA$205^A175,IF(A175='Données projet'!$A$88,'Données projet'!$B$88,BD174+BC175-BL174)))</f>
        <v>395.03333333333302</v>
      </c>
      <c r="BE175" s="13">
        <f>BD175*VLOOKUP('Données projet'!$B$11,Paramètres!$A$1:$I$89,3,0)*VLOOKUP('Données projet'!$B$11,Paramètres!$A$1:$I$89,5,0)</f>
        <v>449.86395999999962</v>
      </c>
      <c r="BF175" s="13">
        <f t="shared" si="167"/>
        <v>101.81566797428304</v>
      </c>
      <c r="BG175" s="20">
        <f t="shared" si="168"/>
        <v>960.84201872187566</v>
      </c>
      <c r="BH175" s="59">
        <f t="shared" si="116"/>
        <v>1254.175352055209</v>
      </c>
      <c r="BI175" s="59">
        <f ca="1">AVERAGE(OFFSET($BH$3,0,0,'Données projet'!$E$11+1,1))-AVERAGE(OFFSET($H$3,0,0,'Données projet'!$E$11+1,1))</f>
        <v>593.28343396240075</v>
      </c>
      <c r="BJ175" s="59">
        <f t="shared" si="146"/>
        <v>289.66477662068695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52.263944974087885</v>
      </c>
      <c r="BQ175" s="21">
        <f>EXP(-LN(2)/25)*BQ174+(1-EXP(-LN(2)/25))/(LN(2)/25)*Calculateur!BL175*Calculateur!BN175*VLOOKUP('Données projet'!$B$11,Paramètres!$A$1:$I$89,3,0)*0.475*44/12</f>
        <v>23.364760106604983</v>
      </c>
      <c r="BR175" s="21">
        <f>EXP(-LN(2)/2)*BR174+(1-EXP(-LN(2)/2))/(LN(2)/2)*BL175*BO175*VLOOKUP('Données projet'!$B$11,Paramètres!$A$1:$I$89,3,0)*0.475*44/12</f>
        <v>4.0486292899790402E-4</v>
      </c>
      <c r="BS175" s="22">
        <f t="shared" si="169"/>
        <v>75.62910994362187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2.5579538487363607E-13</v>
      </c>
      <c r="BZ175" s="13">
        <f>BY175*VLOOKUP('Données projet'!$B$12,Paramètres!$A$1:$I$89,3,0)*VLOOKUP('Données projet'!$B$12,Paramètres!$A$1:$I$89,5,0)</f>
        <v>2.7533815227798186E-13</v>
      </c>
      <c r="CA175" s="13">
        <f t="shared" si="170"/>
        <v>3.6763598146902537E-12</v>
      </c>
      <c r="CB175" s="20">
        <f t="shared" si="171"/>
        <v>6.88254062580301E-12</v>
      </c>
      <c r="CC175" s="59">
        <f t="shared" si="119"/>
        <v>293.33333333334019</v>
      </c>
      <c r="CD175" s="59">
        <f ca="1">AVERAGE(OFFSET($CC$3,0,0,'Données projet'!$E$12+1,1))-AVERAGE(OFFSET($H$3,0,0,'Données projet'!$E$12+1,1))</f>
        <v>502.65044103360322</v>
      </c>
      <c r="CE175" s="59">
        <f t="shared" si="148"/>
        <v>321.65762891855167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58.497214182820677</v>
      </c>
      <c r="CL175" s="21">
        <f>EXP(-LN(2)/25)*CL174+(1-EXP(-LN(2)/25))/(LN(2)/25)*Calculateur!CG175*Calculateur!CI175*VLOOKUP('Données projet'!$B$12,Paramètres!$A$1:$I$89,3,0)*0.475*44/12</f>
        <v>8.7400955024868363</v>
      </c>
      <c r="CM175" s="21">
        <f>EXP(-LN(2)/2)*CM174+(1-EXP(-LN(2)/2))/(LN(2)/2)*CG175*CJ175*VLOOKUP('Données projet'!$B$12,Paramètres!$A$1:$I$89,3,0)*0.475*44/12</f>
        <v>3.8626908020541557E-6</v>
      </c>
      <c r="CN175" s="22">
        <f t="shared" si="172"/>
        <v>67.237313547998312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239.26156489359892</v>
      </c>
      <c r="T176" s="59">
        <f t="shared" si="142"/>
        <v>213.97034450798111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2.0898621016705423</v>
      </c>
      <c r="AA176" s="21">
        <f>EXP(-LN(2)/25)*AA175+(1-EXP(-LN(2)/25))/(LN(2)/25)*Calculateur!V176*Calculateur!X176*VLOOKUP('Données projet'!$B$9,Paramètres!$A$1:$I$89,3,0)*0.475*44/12</f>
        <v>6.3948341749506783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8.4846962766212215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5.4001247917767614E-13</v>
      </c>
      <c r="AJ176" s="13">
        <f>AI176*VLOOKUP('Données projet'!$B$10,Paramètres!$A$1:$I$89,3,0)*VLOOKUP('Données projet'!$B$10,Paramètres!$A$1:$I$89,5,0)</f>
        <v>5.4757265388616366E-13</v>
      </c>
      <c r="AK176" s="13">
        <f t="shared" si="164"/>
        <v>6.7489963942904795E-12</v>
      </c>
      <c r="AL176" s="20">
        <f t="shared" si="165"/>
        <v>1.2708191092240986E-11</v>
      </c>
      <c r="AM176" s="59">
        <f t="shared" si="113"/>
        <v>293.33333333334605</v>
      </c>
      <c r="AN176" s="59">
        <f ca="1">AVERAGE(OFFSET($AM$3,0,0,'Données projet'!$E$10+1,1))-AVERAGE(OFFSET($H$3,0,0,'Données projet'!$E$10+1,1))</f>
        <v>543.88440431478944</v>
      </c>
      <c r="AO176" s="59">
        <f t="shared" si="144"/>
        <v>342.63929463709457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99.315819969893198</v>
      </c>
      <c r="AV176" s="21">
        <f>EXP(-LN(2)/25)*AV175+(1-EXP(-LN(2)/25))/(LN(2)/25)*Calculateur!AQ176*Calculateur!AS176*VLOOKUP('Données projet'!$B$10,Paramètres!$A$1:$I$89,3,0)*0.475*44/12</f>
        <v>16.002580692560954</v>
      </c>
      <c r="AW176" s="21">
        <f>EXP(-LN(2)/2)*AW175+(1-EXP(-LN(2)/2))/(LN(2)/2)*AQ176*AT176*VLOOKUP('Données projet'!$B$10,Paramètres!$A$1:$I$89,3,0)*0.475*44/12</f>
        <v>0.11976663628991414</v>
      </c>
      <c r="AX176" s="21">
        <f t="shared" si="166"/>
        <v>115.43816729874406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7.688333333333337</v>
      </c>
      <c r="BD176" s="12">
        <f>IF('Données projet'!$A$88&gt;35,BD175+BC176-BL175,IF(A176&lt;'Données projet'!$A$88,$BA$205^A176,IF(A176='Données projet'!$A$88,'Données projet'!$B$88,BD175+BC176-BL175)))</f>
        <v>402.72166666666635</v>
      </c>
      <c r="BE176" s="13">
        <f>BD176*VLOOKUP('Données projet'!$B$11,Paramètres!$A$1:$I$89,3,0)*VLOOKUP('Données projet'!$B$11,Paramètres!$A$1:$I$89,5,0)</f>
        <v>458.61943399999961</v>
      </c>
      <c r="BF176" s="13">
        <f t="shared" si="167"/>
        <v>103.56462888016677</v>
      </c>
      <c r="BG176" s="20">
        <f t="shared" si="168"/>
        <v>979.13724284962302</v>
      </c>
      <c r="BH176" s="59">
        <f t="shared" si="116"/>
        <v>1272.4705761829564</v>
      </c>
      <c r="BI176" s="59">
        <f ca="1">AVERAGE(OFFSET($BH$3,0,0,'Données projet'!$E$11+1,1))-AVERAGE(OFFSET($H$3,0,0,'Données projet'!$E$11+1,1))</f>
        <v>593.28343396240075</v>
      </c>
      <c r="BJ176" s="59">
        <f t="shared" si="146"/>
        <v>289.66477662068695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51.239080891004775</v>
      </c>
      <c r="BQ176" s="21">
        <f>EXP(-LN(2)/25)*BQ175+(1-EXP(-LN(2)/25))/(LN(2)/25)*Calculateur!BL176*Calculateur!BN176*VLOOKUP('Données projet'!$B$11,Paramètres!$A$1:$I$89,3,0)*0.475*44/12</f>
        <v>22.725849512790536</v>
      </c>
      <c r="BR176" s="21">
        <f>EXP(-LN(2)/2)*BR175+(1-EXP(-LN(2)/2))/(LN(2)/2)*BL176*BO176*VLOOKUP('Données projet'!$B$11,Paramètres!$A$1:$I$89,3,0)*0.475*44/12</f>
        <v>2.8628132254546564E-4</v>
      </c>
      <c r="BS176" s="22">
        <f t="shared" si="169"/>
        <v>73.965216685117852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2.5579538487363607E-13</v>
      </c>
      <c r="BZ176" s="13">
        <f>BY176*VLOOKUP('Données projet'!$B$12,Paramètres!$A$1:$I$89,3,0)*VLOOKUP('Données projet'!$B$12,Paramètres!$A$1:$I$89,5,0)</f>
        <v>2.7533815227798186E-13</v>
      </c>
      <c r="CA176" s="13">
        <f t="shared" si="170"/>
        <v>3.6763598146902537E-12</v>
      </c>
      <c r="CB176" s="20">
        <f t="shared" si="171"/>
        <v>6.88254062580301E-12</v>
      </c>
      <c r="CC176" s="59">
        <f t="shared" si="119"/>
        <v>293.33333333334019</v>
      </c>
      <c r="CD176" s="59">
        <f ca="1">AVERAGE(OFFSET($CC$3,0,0,'Données projet'!$E$12+1,1))-AVERAGE(OFFSET($H$3,0,0,'Données projet'!$E$12+1,1))</f>
        <v>502.65044103360322</v>
      </c>
      <c r="CE176" s="59">
        <f t="shared" si="148"/>
        <v>321.65762891855167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57.350119492473127</v>
      </c>
      <c r="CL176" s="21">
        <f>EXP(-LN(2)/25)*CL175+(1-EXP(-LN(2)/25))/(LN(2)/25)*Calculateur!CG176*Calculateur!CI176*VLOOKUP('Données projet'!$B$12,Paramètres!$A$1:$I$89,3,0)*0.475*44/12</f>
        <v>8.5010971313496864</v>
      </c>
      <c r="CM176" s="21">
        <f>EXP(-LN(2)/2)*CM175+(1-EXP(-LN(2)/2))/(LN(2)/2)*CG176*CJ176*VLOOKUP('Données projet'!$B$12,Paramètres!$A$1:$I$89,3,0)*0.475*44/12</f>
        <v>2.7313348597593976E-6</v>
      </c>
      <c r="CN176" s="22">
        <f t="shared" si="172"/>
        <v>65.851219355157667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239.26156489359892</v>
      </c>
      <c r="T177" s="59">
        <f t="shared" si="142"/>
        <v>213.97034450798111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2.0488811805467999</v>
      </c>
      <c r="AA177" s="21">
        <f>EXP(-LN(2)/25)*AA176+(1-EXP(-LN(2)/25))/(LN(2)/25)*Calculateur!V177*Calculateur!X177*VLOOKUP('Données projet'!$B$9,Paramètres!$A$1:$I$89,3,0)*0.475*44/12</f>
        <v>6.2199670981469382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8.2688482786937385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5.4001247917767614E-13</v>
      </c>
      <c r="AJ177" s="13">
        <f>AI177*VLOOKUP('Données projet'!$B$10,Paramètres!$A$1:$I$89,3,0)*VLOOKUP('Données projet'!$B$10,Paramètres!$A$1:$I$89,5,0)</f>
        <v>5.4757265388616366E-13</v>
      </c>
      <c r="AK177" s="13">
        <f t="shared" si="164"/>
        <v>6.7489963942904795E-12</v>
      </c>
      <c r="AL177" s="20">
        <f t="shared" si="165"/>
        <v>1.2708191092240986E-11</v>
      </c>
      <c r="AM177" s="59">
        <f t="shared" si="113"/>
        <v>293.33333333334605</v>
      </c>
      <c r="AN177" s="59">
        <f ca="1">AVERAGE(OFFSET($AM$3,0,0,'Données projet'!$E$10+1,1))-AVERAGE(OFFSET($H$3,0,0,'Données projet'!$E$10+1,1))</f>
        <v>543.88440431478944</v>
      </c>
      <c r="AO177" s="59">
        <f t="shared" si="144"/>
        <v>342.63929463709457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97.368297316952322</v>
      </c>
      <c r="AV177" s="21">
        <f>EXP(-LN(2)/25)*AV176+(1-EXP(-LN(2)/25))/(LN(2)/25)*Calculateur!AQ177*Calculateur!AS177*VLOOKUP('Données projet'!$B$10,Paramètres!$A$1:$I$89,3,0)*0.475*44/12</f>
        <v>15.564989281983731</v>
      </c>
      <c r="AW177" s="21">
        <f>EXP(-LN(2)/2)*AW176+(1-EXP(-LN(2)/2))/(LN(2)/2)*AQ177*AT177*VLOOKUP('Données projet'!$B$10,Paramètres!$A$1:$I$89,3,0)*0.475*44/12</f>
        <v>8.4687800680501149E-2</v>
      </c>
      <c r="AX177" s="21">
        <f t="shared" si="166"/>
        <v>113.01797439961655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7.688333333333337</v>
      </c>
      <c r="BD177" s="12">
        <f>IF('Données projet'!$A$88&gt;35,BD176+BC177-BL176,IF(A177&lt;'Données projet'!$A$88,$BA$205^A177,IF(A177='Données projet'!$A$88,'Données projet'!$B$88,BD176+BC177-BL176)))</f>
        <v>410.40999999999968</v>
      </c>
      <c r="BE177" s="13">
        <f>BD177*VLOOKUP('Données projet'!$B$11,Paramètres!$A$1:$I$89,3,0)*VLOOKUP('Données projet'!$B$11,Paramètres!$A$1:$I$89,5,0)</f>
        <v>467.37490799999961</v>
      </c>
      <c r="BF177" s="13">
        <f t="shared" si="167"/>
        <v>105.30970733733747</v>
      </c>
      <c r="BG177" s="20">
        <f t="shared" si="168"/>
        <v>997.42570504586217</v>
      </c>
      <c r="BH177" s="59">
        <f t="shared" si="116"/>
        <v>1290.7590383791955</v>
      </c>
      <c r="BI177" s="59">
        <f ca="1">AVERAGE(OFFSET($BH$3,0,0,'Données projet'!$E$11+1,1))-AVERAGE(OFFSET($H$3,0,0,'Données projet'!$E$11+1,1))</f>
        <v>593.28343396240075</v>
      </c>
      <c r="BJ177" s="59">
        <f t="shared" si="146"/>
        <v>289.66477662068695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50.23431376748556</v>
      </c>
      <c r="BQ177" s="21">
        <f>EXP(-LN(2)/25)*BQ176+(1-EXP(-LN(2)/25))/(LN(2)/25)*Calculateur!BL177*Calculateur!BN177*VLOOKUP('Données projet'!$B$11,Paramètres!$A$1:$I$89,3,0)*0.475*44/12</f>
        <v>22.104409962762794</v>
      </c>
      <c r="BR177" s="21">
        <f>EXP(-LN(2)/2)*BR176+(1-EXP(-LN(2)/2))/(LN(2)/2)*BL177*BO177*VLOOKUP('Données projet'!$B$11,Paramètres!$A$1:$I$89,3,0)*0.475*44/12</f>
        <v>2.0243146449895201E-4</v>
      </c>
      <c r="BS177" s="22">
        <f t="shared" si="169"/>
        <v>72.338926161712848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2.5579538487363607E-13</v>
      </c>
      <c r="BZ177" s="13">
        <f>BY177*VLOOKUP('Données projet'!$B$12,Paramètres!$A$1:$I$89,3,0)*VLOOKUP('Données projet'!$B$12,Paramètres!$A$1:$I$89,5,0)</f>
        <v>2.7533815227798186E-13</v>
      </c>
      <c r="CA177" s="13">
        <f t="shared" si="170"/>
        <v>3.6763598146902537E-12</v>
      </c>
      <c r="CB177" s="20">
        <f t="shared" si="171"/>
        <v>6.88254062580301E-12</v>
      </c>
      <c r="CC177" s="59">
        <f t="shared" si="119"/>
        <v>293.33333333334019</v>
      </c>
      <c r="CD177" s="59">
        <f ca="1">AVERAGE(OFFSET($CC$3,0,0,'Données projet'!$E$12+1,1))-AVERAGE(OFFSET($H$3,0,0,'Données projet'!$E$12+1,1))</f>
        <v>502.65044103360322</v>
      </c>
      <c r="CE177" s="59">
        <f t="shared" si="148"/>
        <v>321.65762891855167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56.22551862934462</v>
      </c>
      <c r="CL177" s="21">
        <f>EXP(-LN(2)/25)*CL176+(1-EXP(-LN(2)/25))/(LN(2)/25)*Calculateur!CG177*Calculateur!CI177*VLOOKUP('Données projet'!$B$12,Paramètres!$A$1:$I$89,3,0)*0.475*44/12</f>
        <v>8.2686341832396604</v>
      </c>
      <c r="CM177" s="21">
        <f>EXP(-LN(2)/2)*CM176+(1-EXP(-LN(2)/2))/(LN(2)/2)*CG177*CJ177*VLOOKUP('Données projet'!$B$12,Paramètres!$A$1:$I$89,3,0)*0.475*44/12</f>
        <v>1.9313454010270778E-6</v>
      </c>
      <c r="CN177" s="22">
        <f t="shared" si="172"/>
        <v>64.49415474392967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239.26156489359892</v>
      </c>
      <c r="T178" s="59">
        <f t="shared" si="142"/>
        <v>213.97034450798111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2.0087038702904003</v>
      </c>
      <c r="AA178" s="21">
        <f>EXP(-LN(2)/25)*AA177+(1-EXP(-LN(2)/25))/(LN(2)/25)*Calculateur!V178*Calculateur!X178*VLOOKUP('Données projet'!$B$9,Paramètres!$A$1:$I$89,3,0)*0.475*44/12</f>
        <v>6.049881770754256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8.0585856410446564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5.4001247917767614E-13</v>
      </c>
      <c r="AJ178" s="13">
        <f>AI178*VLOOKUP('Données projet'!$B$10,Paramètres!$A$1:$I$89,3,0)*VLOOKUP('Données projet'!$B$10,Paramètres!$A$1:$I$89,5,0)</f>
        <v>5.4757265388616366E-13</v>
      </c>
      <c r="AK178" s="13">
        <f t="shared" si="164"/>
        <v>6.7489963942904795E-12</v>
      </c>
      <c r="AL178" s="20">
        <f t="shared" si="165"/>
        <v>1.2708191092240986E-11</v>
      </c>
      <c r="AM178" s="59">
        <f t="shared" si="113"/>
        <v>293.33333333334605</v>
      </c>
      <c r="AN178" s="59">
        <f ca="1">AVERAGE(OFFSET($AM$3,0,0,'Données projet'!$E$10+1,1))-AVERAGE(OFFSET($H$3,0,0,'Données projet'!$E$10+1,1))</f>
        <v>543.88440431478944</v>
      </c>
      <c r="AO178" s="59">
        <f t="shared" si="144"/>
        <v>342.63929463709457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95.458964395364092</v>
      </c>
      <c r="AV178" s="21">
        <f>EXP(-LN(2)/25)*AV177+(1-EXP(-LN(2)/25))/(LN(2)/25)*Calculateur!AQ178*Calculateur!AS178*VLOOKUP('Données projet'!$B$10,Paramètres!$A$1:$I$89,3,0)*0.475*44/12</f>
        <v>15.139363831540674</v>
      </c>
      <c r="AW178" s="21">
        <f>EXP(-LN(2)/2)*AW177+(1-EXP(-LN(2)/2))/(LN(2)/2)*AQ178*AT178*VLOOKUP('Données projet'!$B$10,Paramètres!$A$1:$I$89,3,0)*0.475*44/12</f>
        <v>5.9883318144957079E-2</v>
      </c>
      <c r="AX178" s="21">
        <f t="shared" si="166"/>
        <v>110.65821154504972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7.688333333333337</v>
      </c>
      <c r="BD178" s="12">
        <f>IF('Données projet'!$A$88&gt;35,BD177+BC178-BL177,IF(A178&lt;'Données projet'!$A$88,$BA$205^A178,IF(A178='Données projet'!$A$88,'Données projet'!$B$88,BD177+BC178-BL177)))</f>
        <v>418.09833333333302</v>
      </c>
      <c r="BE178" s="13">
        <f>BD178*VLOOKUP('Données projet'!$B$11,Paramètres!$A$1:$I$89,3,0)*VLOOKUP('Données projet'!$B$11,Paramètres!$A$1:$I$89,5,0)</f>
        <v>476.1303819999996</v>
      </c>
      <c r="BF178" s="13">
        <f t="shared" si="167"/>
        <v>107.05098446387258</v>
      </c>
      <c r="BG178" s="20">
        <f t="shared" si="168"/>
        <v>1015.7075465912441</v>
      </c>
      <c r="BH178" s="59">
        <f t="shared" si="116"/>
        <v>1309.0408799245774</v>
      </c>
      <c r="BI178" s="59">
        <f ca="1">AVERAGE(OFFSET($BH$3,0,0,'Données projet'!$E$11+1,1))-AVERAGE(OFFSET($H$3,0,0,'Données projet'!$E$11+1,1))</f>
        <v>593.28343396240075</v>
      </c>
      <c r="BJ178" s="59">
        <f t="shared" si="146"/>
        <v>289.66477662068695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49.249249514411126</v>
      </c>
      <c r="BQ178" s="21">
        <f>EXP(-LN(2)/25)*BQ177+(1-EXP(-LN(2)/25))/(LN(2)/25)*Calculateur!BL178*Calculateur!BN178*VLOOKUP('Données projet'!$B$11,Paramètres!$A$1:$I$89,3,0)*0.475*44/12</f>
        <v>21.499963709910645</v>
      </c>
      <c r="BR178" s="21">
        <f>EXP(-LN(2)/2)*BR177+(1-EXP(-LN(2)/2))/(LN(2)/2)*BL178*BO178*VLOOKUP('Données projet'!$B$11,Paramètres!$A$1:$I$89,3,0)*0.475*44/12</f>
        <v>1.4314066127273282E-4</v>
      </c>
      <c r="BS178" s="22">
        <f t="shared" si="169"/>
        <v>70.749356364983058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2.5579538487363607E-13</v>
      </c>
      <c r="BZ178" s="13">
        <f>BY178*VLOOKUP('Données projet'!$B$12,Paramètres!$A$1:$I$89,3,0)*VLOOKUP('Données projet'!$B$12,Paramètres!$A$1:$I$89,5,0)</f>
        <v>2.7533815227798186E-13</v>
      </c>
      <c r="CA178" s="13">
        <f t="shared" si="170"/>
        <v>3.6763598146902537E-12</v>
      </c>
      <c r="CB178" s="20">
        <f t="shared" si="171"/>
        <v>6.88254062580301E-12</v>
      </c>
      <c r="CC178" s="59">
        <f t="shared" si="119"/>
        <v>293.33333333334019</v>
      </c>
      <c r="CD178" s="59">
        <f ca="1">AVERAGE(OFFSET($CC$3,0,0,'Données projet'!$E$12+1,1))-AVERAGE(OFFSET($H$3,0,0,'Données projet'!$E$12+1,1))</f>
        <v>502.65044103360322</v>
      </c>
      <c r="CE178" s="59">
        <f t="shared" si="148"/>
        <v>321.65762891855167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55.12297050320327</v>
      </c>
      <c r="CL178" s="21">
        <f>EXP(-LN(2)/25)*CL177+(1-EXP(-LN(2)/25))/(LN(2)/25)*Calculateur!CG178*Calculateur!CI178*VLOOKUP('Données projet'!$B$12,Paramètres!$A$1:$I$89,3,0)*0.475*44/12</f>
        <v>8.0425279466703987</v>
      </c>
      <c r="CM178" s="21">
        <f>EXP(-LN(2)/2)*CM177+(1-EXP(-LN(2)/2))/(LN(2)/2)*CG178*CJ178*VLOOKUP('Données projet'!$B$12,Paramètres!$A$1:$I$89,3,0)*0.475*44/12</f>
        <v>1.3656674298796988E-6</v>
      </c>
      <c r="CN178" s="22">
        <f t="shared" si="172"/>
        <v>63.165499815541096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239.26156489359892</v>
      </c>
      <c r="T179" s="59">
        <f t="shared" si="142"/>
        <v>213.97034450798111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1.9693144125823892</v>
      </c>
      <c r="AA179" s="21">
        <f>EXP(-LN(2)/25)*AA178+(1-EXP(-LN(2)/25))/(LN(2)/25)*Calculateur!V179*Calculateur!X179*VLOOKUP('Données projet'!$B$9,Paramètres!$A$1:$I$89,3,0)*0.475*44/12</f>
        <v>5.8844474355835255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7.8537618481659148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5.4001247917767614E-13</v>
      </c>
      <c r="AJ179" s="13">
        <f>AI179*VLOOKUP('Données projet'!$B$10,Paramètres!$A$1:$I$89,3,0)*VLOOKUP('Données projet'!$B$10,Paramètres!$A$1:$I$89,5,0)</f>
        <v>5.4757265388616366E-13</v>
      </c>
      <c r="AK179" s="13">
        <f t="shared" si="164"/>
        <v>6.7489963942904795E-12</v>
      </c>
      <c r="AL179" s="20">
        <f t="shared" si="165"/>
        <v>1.2708191092240986E-11</v>
      </c>
      <c r="AM179" s="59">
        <f t="shared" si="113"/>
        <v>293.33333333334605</v>
      </c>
      <c r="AN179" s="59">
        <f ca="1">AVERAGE(OFFSET($AM$3,0,0,'Données projet'!$E$10+1,1))-AVERAGE(OFFSET($H$3,0,0,'Données projet'!$E$10+1,1))</f>
        <v>543.88440431478944</v>
      </c>
      <c r="AO179" s="59">
        <f t="shared" si="144"/>
        <v>342.63929463709457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93.587072327790125</v>
      </c>
      <c r="AV179" s="21">
        <f>EXP(-LN(2)/25)*AV178+(1-EXP(-LN(2)/25))/(LN(2)/25)*Calculateur!AQ179*Calculateur!AS179*VLOOKUP('Données projet'!$B$10,Paramètres!$A$1:$I$89,3,0)*0.475*44/12</f>
        <v>14.725377131422652</v>
      </c>
      <c r="AW179" s="21">
        <f>EXP(-LN(2)/2)*AW178+(1-EXP(-LN(2)/2))/(LN(2)/2)*AQ179*AT179*VLOOKUP('Données projet'!$B$10,Paramètres!$A$1:$I$89,3,0)*0.475*44/12</f>
        <v>4.2343900340250581E-2</v>
      </c>
      <c r="AX179" s="21">
        <f t="shared" si="166"/>
        <v>108.35479335955303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7.688333333333337</v>
      </c>
      <c r="BD179" s="12">
        <f>IF('Données projet'!$A$88&gt;35,BD178+BC179-BL178,IF(A179&lt;'Données projet'!$A$88,$BA$205^A179,IF(A179='Données projet'!$A$88,'Données projet'!$B$88,BD178+BC179-BL178)))</f>
        <v>425.78666666666635</v>
      </c>
      <c r="BE179" s="13">
        <f>BD179*VLOOKUP('Données projet'!$B$11,Paramètres!$A$1:$I$89,3,0)*VLOOKUP('Données projet'!$B$11,Paramètres!$A$1:$I$89,5,0)</f>
        <v>484.88585599999959</v>
      </c>
      <c r="BF179" s="13">
        <f t="shared" si="167"/>
        <v>108.78853822373283</v>
      </c>
      <c r="BG179" s="20">
        <f t="shared" si="168"/>
        <v>1033.9829032730006</v>
      </c>
      <c r="BH179" s="59">
        <f t="shared" si="116"/>
        <v>1327.3162366063339</v>
      </c>
      <c r="BI179" s="59">
        <f ca="1">AVERAGE(OFFSET($BH$3,0,0,'Données projet'!$E$11+1,1))-AVERAGE(OFFSET($H$3,0,0,'Données projet'!$E$11+1,1))</f>
        <v>593.28343396240075</v>
      </c>
      <c r="BJ179" s="59">
        <f t="shared" si="146"/>
        <v>289.66477662068695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48.283501770509616</v>
      </c>
      <c r="BQ179" s="21">
        <f>EXP(-LN(2)/25)*BQ178+(1-EXP(-LN(2)/25))/(LN(2)/25)*Calculateur!BL179*Calculateur!BN179*VLOOKUP('Données projet'!$B$11,Paramètres!$A$1:$I$89,3,0)*0.475*44/12</f>
        <v>20.912046071629184</v>
      </c>
      <c r="BR179" s="21">
        <f>EXP(-LN(2)/2)*BR178+(1-EXP(-LN(2)/2))/(LN(2)/2)*BL179*BO179*VLOOKUP('Données projet'!$B$11,Paramètres!$A$1:$I$89,3,0)*0.475*44/12</f>
        <v>1.0121573224947601E-4</v>
      </c>
      <c r="BS179" s="22">
        <f t="shared" si="169"/>
        <v>69.195649057871051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2.5579538487363607E-13</v>
      </c>
      <c r="BZ179" s="13">
        <f>BY179*VLOOKUP('Données projet'!$B$12,Paramètres!$A$1:$I$89,3,0)*VLOOKUP('Données projet'!$B$12,Paramètres!$A$1:$I$89,5,0)</f>
        <v>2.7533815227798186E-13</v>
      </c>
      <c r="CA179" s="13">
        <f t="shared" si="170"/>
        <v>3.6763598146902537E-12</v>
      </c>
      <c r="CB179" s="20">
        <f t="shared" si="171"/>
        <v>6.88254062580301E-12</v>
      </c>
      <c r="CC179" s="59">
        <f t="shared" si="119"/>
        <v>293.33333333334019</v>
      </c>
      <c r="CD179" s="59">
        <f ca="1">AVERAGE(OFFSET($CC$3,0,0,'Données projet'!$E$12+1,1))-AVERAGE(OFFSET($H$3,0,0,'Données projet'!$E$12+1,1))</f>
        <v>502.65044103360322</v>
      </c>
      <c r="CE179" s="59">
        <f t="shared" si="148"/>
        <v>321.65762891855167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54.042042673327593</v>
      </c>
      <c r="CL179" s="21">
        <f>EXP(-LN(2)/25)*CL178+(1-EXP(-LN(2)/25))/(LN(2)/25)*Calculateur!CG179*Calculateur!CI179*VLOOKUP('Données projet'!$B$12,Paramètres!$A$1:$I$89,3,0)*0.475*44/12</f>
        <v>7.8226045970305336</v>
      </c>
      <c r="CM179" s="21">
        <f>EXP(-LN(2)/2)*CM178+(1-EXP(-LN(2)/2))/(LN(2)/2)*CG179*CJ179*VLOOKUP('Données projet'!$B$12,Paramètres!$A$1:$I$89,3,0)*0.475*44/12</f>
        <v>9.6567270051353891E-7</v>
      </c>
      <c r="CN179" s="22">
        <f t="shared" si="172"/>
        <v>61.864648236030824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239.26156489359892</v>
      </c>
      <c r="T180" s="59">
        <f t="shared" si="142"/>
        <v>213.97034450798111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1.9306973581148352</v>
      </c>
      <c r="AA180" s="21">
        <f>EXP(-LN(2)/25)*AA179+(1-EXP(-LN(2)/25))/(LN(2)/25)*Calculateur!V180*Calculateur!X180*VLOOKUP('Données projet'!$B$9,Paramètres!$A$1:$I$89,3,0)*0.475*44/12</f>
        <v>5.7235369110078524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7.6542342691226875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5.4001247917767614E-13</v>
      </c>
      <c r="AJ180" s="13">
        <f>AI180*VLOOKUP('Données projet'!$B$10,Paramètres!$A$1:$I$89,3,0)*VLOOKUP('Données projet'!$B$10,Paramètres!$A$1:$I$89,5,0)</f>
        <v>5.4757265388616366E-13</v>
      </c>
      <c r="AK180" s="13">
        <f t="shared" si="164"/>
        <v>6.7489963942904795E-12</v>
      </c>
      <c r="AL180" s="20">
        <f t="shared" si="165"/>
        <v>1.2708191092240986E-11</v>
      </c>
      <c r="AM180" s="59">
        <f t="shared" si="113"/>
        <v>293.33333333334605</v>
      </c>
      <c r="AN180" s="59">
        <f ca="1">AVERAGE(OFFSET($AM$3,0,0,'Données projet'!$E$10+1,1))-AVERAGE(OFFSET($H$3,0,0,'Données projet'!$E$10+1,1))</f>
        <v>543.88440431478944</v>
      </c>
      <c r="AO180" s="59">
        <f t="shared" si="144"/>
        <v>342.63929463709457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91.751886921919848</v>
      </c>
      <c r="AV180" s="21">
        <f>EXP(-LN(2)/25)*AV179+(1-EXP(-LN(2)/25))/(LN(2)/25)*Calculateur!AQ180*Calculateur!AS180*VLOOKUP('Données projet'!$B$10,Paramètres!$A$1:$I$89,3,0)*0.475*44/12</f>
        <v>14.322710919389971</v>
      </c>
      <c r="AW180" s="21">
        <f>EXP(-LN(2)/2)*AW179+(1-EXP(-LN(2)/2))/(LN(2)/2)*AQ180*AT180*VLOOKUP('Données projet'!$B$10,Paramètres!$A$1:$I$89,3,0)*0.475*44/12</f>
        <v>2.9941659072478546E-2</v>
      </c>
      <c r="AX180" s="21">
        <f t="shared" si="166"/>
        <v>106.1045395003823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7.688333333333337</v>
      </c>
      <c r="BD180" s="12">
        <f>IF('Données projet'!$A$88&gt;35,BD179+BC180-BL179,IF(A180&lt;'Données projet'!$A$88,$BA$205^A180,IF(A180='Données projet'!$A$88,'Données projet'!$B$88,BD179+BC180-BL179)))</f>
        <v>433.47499999999968</v>
      </c>
      <c r="BE180" s="13">
        <f>BD180*VLOOKUP('Données projet'!$B$11,Paramètres!$A$1:$I$89,3,0)*VLOOKUP('Données projet'!$B$11,Paramètres!$A$1:$I$89,5,0)</f>
        <v>493.64132999999958</v>
      </c>
      <c r="BF180" s="13">
        <f t="shared" si="167"/>
        <v>110.52244360410316</v>
      </c>
      <c r="BG180" s="20">
        <f t="shared" si="168"/>
        <v>1052.2519056938124</v>
      </c>
      <c r="BH180" s="59">
        <f t="shared" si="116"/>
        <v>1345.5852390271457</v>
      </c>
      <c r="BI180" s="59">
        <f ca="1">AVERAGE(OFFSET($BH$3,0,0,'Données projet'!$E$11+1,1))-AVERAGE(OFFSET($H$3,0,0,'Données projet'!$E$11+1,1))</f>
        <v>593.28343396240075</v>
      </c>
      <c r="BJ180" s="59">
        <f t="shared" si="146"/>
        <v>289.66477662068695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47.336691750818055</v>
      </c>
      <c r="BQ180" s="21">
        <f>EXP(-LN(2)/25)*BQ179+(1-EXP(-LN(2)/25))/(LN(2)/25)*Calculateur!BL180*Calculateur!BN180*VLOOKUP('Données projet'!$B$11,Paramètres!$A$1:$I$89,3,0)*0.475*44/12</f>
        <v>20.340205072083776</v>
      </c>
      <c r="BR180" s="21">
        <f>EXP(-LN(2)/2)*BR179+(1-EXP(-LN(2)/2))/(LN(2)/2)*BL180*BO180*VLOOKUP('Données projet'!$B$11,Paramètres!$A$1:$I$89,3,0)*0.475*44/12</f>
        <v>7.1570330636366411E-5</v>
      </c>
      <c r="BS180" s="22">
        <f t="shared" si="169"/>
        <v>67.676968393232457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2.5579538487363607E-13</v>
      </c>
      <c r="BZ180" s="13">
        <f>BY180*VLOOKUP('Données projet'!$B$12,Paramètres!$A$1:$I$89,3,0)*VLOOKUP('Données projet'!$B$12,Paramètres!$A$1:$I$89,5,0)</f>
        <v>2.7533815227798186E-13</v>
      </c>
      <c r="CA180" s="13">
        <f t="shared" si="170"/>
        <v>3.6763598146902537E-12</v>
      </c>
      <c r="CB180" s="20">
        <f t="shared" si="171"/>
        <v>6.88254062580301E-12</v>
      </c>
      <c r="CC180" s="59">
        <f t="shared" si="119"/>
        <v>293.33333333334019</v>
      </c>
      <c r="CD180" s="59">
        <f ca="1">AVERAGE(OFFSET($CC$3,0,0,'Données projet'!$E$12+1,1))-AVERAGE(OFFSET($H$3,0,0,'Données projet'!$E$12+1,1))</f>
        <v>502.65044103360322</v>
      </c>
      <c r="CE180" s="59">
        <f t="shared" si="148"/>
        <v>321.65762891855167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52.982311178894903</v>
      </c>
      <c r="CL180" s="21">
        <f>EXP(-LN(2)/25)*CL179+(1-EXP(-LN(2)/25))/(LN(2)/25)*Calculateur!CG180*Calculateur!CI180*VLOOKUP('Données projet'!$B$12,Paramètres!$A$1:$I$89,3,0)*0.475*44/12</f>
        <v>7.6086950629518366</v>
      </c>
      <c r="CM180" s="21">
        <f>EXP(-LN(2)/2)*CM179+(1-EXP(-LN(2)/2))/(LN(2)/2)*CG180*CJ180*VLOOKUP('Données projet'!$B$12,Paramètres!$A$1:$I$89,3,0)*0.475*44/12</f>
        <v>6.8283371493984939E-7</v>
      </c>
      <c r="CN180" s="22">
        <f t="shared" si="172"/>
        <v>60.591006924680457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239.26156489359892</v>
      </c>
      <c r="T181" s="59">
        <f t="shared" si="142"/>
        <v>213.97034450798111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1.8928375605313126</v>
      </c>
      <c r="AA181" s="21">
        <f>EXP(-LN(2)/25)*AA180+(1-EXP(-LN(2)/25))/(LN(2)/25)*Calculateur!V181*Calculateur!X181*VLOOKUP('Données projet'!$B$9,Paramètres!$A$1:$I$89,3,0)*0.475*44/12</f>
        <v>5.5670264931886182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7.4598640537199312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5.4001247917767614E-13</v>
      </c>
      <c r="AJ181" s="13">
        <f>AI181*VLOOKUP('Données projet'!$B$10,Paramètres!$A$1:$I$89,3,0)*VLOOKUP('Données projet'!$B$10,Paramètres!$A$1:$I$89,5,0)</f>
        <v>5.4757265388616366E-13</v>
      </c>
      <c r="AK181" s="13">
        <f t="shared" si="164"/>
        <v>6.7489963942904795E-12</v>
      </c>
      <c r="AL181" s="20">
        <f t="shared" si="165"/>
        <v>1.2708191092240986E-11</v>
      </c>
      <c r="AM181" s="59">
        <f t="shared" si="113"/>
        <v>293.33333333334605</v>
      </c>
      <c r="AN181" s="59">
        <f ca="1">AVERAGE(OFFSET($AM$3,0,0,'Données projet'!$E$10+1,1))-AVERAGE(OFFSET($H$3,0,0,'Données projet'!$E$10+1,1))</f>
        <v>543.88440431478944</v>
      </c>
      <c r="AO181" s="59">
        <f t="shared" si="144"/>
        <v>342.63929463709457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89.952688382506125</v>
      </c>
      <c r="AV181" s="21">
        <f>EXP(-LN(2)/25)*AV180+(1-EXP(-LN(2)/25))/(LN(2)/25)*Calculateur!AQ181*Calculateur!AS181*VLOOKUP('Données projet'!$B$10,Paramètres!$A$1:$I$89,3,0)*0.475*44/12</f>
        <v>13.93105563610062</v>
      </c>
      <c r="AW181" s="21">
        <f>EXP(-LN(2)/2)*AW180+(1-EXP(-LN(2)/2))/(LN(2)/2)*AQ181*AT181*VLOOKUP('Données projet'!$B$10,Paramètres!$A$1:$I$89,3,0)*0.475*44/12</f>
        <v>2.1171950170125294E-2</v>
      </c>
      <c r="AX181" s="21">
        <f t="shared" si="166"/>
        <v>103.90491596877688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7.688333333333337</v>
      </c>
      <c r="BD181" s="12">
        <f>IF('Données projet'!$A$88&gt;35,BD180+BC181-BL180,IF(A181&lt;'Données projet'!$A$88,$BA$205^A181,IF(A181='Données projet'!$A$88,'Données projet'!$B$88,BD180+BC181-BL180)))</f>
        <v>441.16333333333301</v>
      </c>
      <c r="BE181" s="13">
        <f>BD181*VLOOKUP('Données projet'!$B$11,Paramètres!$A$1:$I$89,3,0)*VLOOKUP('Données projet'!$B$11,Paramètres!$A$1:$I$89,5,0)</f>
        <v>502.39680399999969</v>
      </c>
      <c r="BF181" s="13">
        <f t="shared" si="167"/>
        <v>112.25277277979573</v>
      </c>
      <c r="BG181" s="20">
        <f t="shared" si="168"/>
        <v>1070.5146795581438</v>
      </c>
      <c r="BH181" s="59">
        <f t="shared" si="116"/>
        <v>1363.8480128914771</v>
      </c>
      <c r="BI181" s="59">
        <f ca="1">AVERAGE(OFFSET($BH$3,0,0,'Données projet'!$E$11+1,1))-AVERAGE(OFFSET($H$3,0,0,'Données projet'!$E$11+1,1))</f>
        <v>593.28343396240075</v>
      </c>
      <c r="BJ181" s="59">
        <f t="shared" si="146"/>
        <v>289.66477662068695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46.408448098115556</v>
      </c>
      <c r="BQ181" s="21">
        <f>EXP(-LN(2)/25)*BQ180+(1-EXP(-LN(2)/25))/(LN(2)/25)*Calculateur!BL181*Calculateur!BN181*VLOOKUP('Données projet'!$B$11,Paramètres!$A$1:$I$89,3,0)*0.475*44/12</f>
        <v>19.784001094742749</v>
      </c>
      <c r="BR181" s="21">
        <f>EXP(-LN(2)/2)*BR180+(1-EXP(-LN(2)/2))/(LN(2)/2)*BL181*BO181*VLOOKUP('Données projet'!$B$11,Paramètres!$A$1:$I$89,3,0)*0.475*44/12</f>
        <v>5.0607866124738003E-5</v>
      </c>
      <c r="BS181" s="22">
        <f t="shared" si="169"/>
        <v>66.192499800724434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2.5579538487363607E-13</v>
      </c>
      <c r="BZ181" s="13">
        <f>BY181*VLOOKUP('Données projet'!$B$12,Paramètres!$A$1:$I$89,3,0)*VLOOKUP('Données projet'!$B$12,Paramètres!$A$1:$I$89,5,0)</f>
        <v>2.7533815227798186E-13</v>
      </c>
      <c r="CA181" s="13">
        <f t="shared" si="170"/>
        <v>3.6763598146902537E-12</v>
      </c>
      <c r="CB181" s="20">
        <f t="shared" si="171"/>
        <v>6.88254062580301E-12</v>
      </c>
      <c r="CC181" s="59">
        <f t="shared" si="119"/>
        <v>293.33333333334019</v>
      </c>
      <c r="CD181" s="59">
        <f ca="1">AVERAGE(OFFSET($CC$3,0,0,'Données projet'!$E$12+1,1))-AVERAGE(OFFSET($H$3,0,0,'Données projet'!$E$12+1,1))</f>
        <v>502.65044103360322</v>
      </c>
      <c r="CE181" s="59">
        <f t="shared" si="148"/>
        <v>321.65762891855167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51.943360372695651</v>
      </c>
      <c r="CL181" s="21">
        <f>EXP(-LN(2)/25)*CL180+(1-EXP(-LN(2)/25))/(LN(2)/25)*Calculateur!CG181*Calculateur!CI181*VLOOKUP('Données projet'!$B$12,Paramètres!$A$1:$I$89,3,0)*0.475*44/12</f>
        <v>7.4006348963315354</v>
      </c>
      <c r="CM181" s="21">
        <f>EXP(-LN(2)/2)*CM180+(1-EXP(-LN(2)/2))/(LN(2)/2)*CG181*CJ181*VLOOKUP('Données projet'!$B$12,Paramètres!$A$1:$I$89,3,0)*0.475*44/12</f>
        <v>4.8283635025676946E-7</v>
      </c>
      <c r="CN181" s="22">
        <f t="shared" si="172"/>
        <v>59.343995751863538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239.26156489359892</v>
      </c>
      <c r="T182" s="59">
        <f t="shared" si="142"/>
        <v>213.97034450798111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1.8557201704862063</v>
      </c>
      <c r="AA182" s="21">
        <f>EXP(-LN(2)/25)*AA181+(1-EXP(-LN(2)/25))/(LN(2)/25)*Calculateur!V182*Calculateur!X182*VLOOKUP('Données projet'!$B$9,Paramètres!$A$1:$I$89,3,0)*0.475*44/12</f>
        <v>5.4147958609751754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7.2705160314613817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5.4001247917767614E-13</v>
      </c>
      <c r="AJ182" s="13">
        <f>AI182*VLOOKUP('Données projet'!$B$10,Paramètres!$A$1:$I$89,3,0)*VLOOKUP('Données projet'!$B$10,Paramètres!$A$1:$I$89,5,0)</f>
        <v>5.4757265388616366E-13</v>
      </c>
      <c r="AK182" s="13">
        <f t="shared" si="164"/>
        <v>6.7489963942904795E-12</v>
      </c>
      <c r="AL182" s="20">
        <f t="shared" si="165"/>
        <v>1.2708191092240986E-11</v>
      </c>
      <c r="AM182" s="59">
        <f t="shared" si="113"/>
        <v>293.33333333334605</v>
      </c>
      <c r="AN182" s="59">
        <f ca="1">AVERAGE(OFFSET($AM$3,0,0,'Données projet'!$E$10+1,1))-AVERAGE(OFFSET($H$3,0,0,'Données projet'!$E$10+1,1))</f>
        <v>543.88440431478944</v>
      </c>
      <c r="AO182" s="59">
        <f t="shared" si="144"/>
        <v>342.63929463709457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88.188771029047558</v>
      </c>
      <c r="AV182" s="21">
        <f>EXP(-LN(2)/25)*AV181+(1-EXP(-LN(2)/25))/(LN(2)/25)*Calculateur!AQ182*Calculateur!AS182*VLOOKUP('Données projet'!$B$10,Paramètres!$A$1:$I$89,3,0)*0.475*44/12</f>
        <v>13.550110187129073</v>
      </c>
      <c r="AW182" s="21">
        <f>EXP(-LN(2)/2)*AW181+(1-EXP(-LN(2)/2))/(LN(2)/2)*AQ182*AT182*VLOOKUP('Données projet'!$B$10,Paramètres!$A$1:$I$89,3,0)*0.475*44/12</f>
        <v>1.4970829536239275E-2</v>
      </c>
      <c r="AX182" s="21">
        <f t="shared" si="166"/>
        <v>101.75385204571288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7.688333333333337</v>
      </c>
      <c r="BD182" s="12">
        <f>IF('Données projet'!$A$88&gt;35,BD181+BC182-BL181,IF(A182&lt;'Données projet'!$A$88,$BA$205^A182,IF(A182='Données projet'!$A$88,'Données projet'!$B$88,BD181+BC182-BL181)))</f>
        <v>448.85166666666635</v>
      </c>
      <c r="BE182" s="13">
        <f>BD182*VLOOKUP('Données projet'!$B$11,Paramètres!$A$1:$I$89,3,0)*VLOOKUP('Données projet'!$B$11,Paramètres!$A$1:$I$89,5,0)</f>
        <v>511.15227799999968</v>
      </c>
      <c r="BF182" s="13">
        <f t="shared" si="167"/>
        <v>113.9795952658682</v>
      </c>
      <c r="BG182" s="20">
        <f t="shared" si="168"/>
        <v>1088.7713459380532</v>
      </c>
      <c r="BH182" s="59">
        <f t="shared" si="116"/>
        <v>1382.1046792713864</v>
      </c>
      <c r="BI182" s="59">
        <f ca="1">AVERAGE(OFFSET($BH$3,0,0,'Données projet'!$E$11+1,1))-AVERAGE(OFFSET($H$3,0,0,'Données projet'!$E$11+1,1))</f>
        <v>593.28343396240075</v>
      </c>
      <c r="BJ182" s="59">
        <f t="shared" si="146"/>
        <v>289.66477662068695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45.498406737269832</v>
      </c>
      <c r="BQ182" s="21">
        <f>EXP(-LN(2)/25)*BQ181+(1-EXP(-LN(2)/25))/(LN(2)/25)*Calculateur!BL182*Calculateur!BN182*VLOOKUP('Données projet'!$B$11,Paramètres!$A$1:$I$89,3,0)*0.475*44/12</f>
        <v>19.243006544411607</v>
      </c>
      <c r="BR182" s="21">
        <f>EXP(-LN(2)/2)*BR181+(1-EXP(-LN(2)/2))/(LN(2)/2)*BL182*BO182*VLOOKUP('Données projet'!$B$11,Paramètres!$A$1:$I$89,3,0)*0.475*44/12</f>
        <v>3.5785165318183205E-5</v>
      </c>
      <c r="BS182" s="22">
        <f t="shared" si="169"/>
        <v>64.741449066846769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2.5579538487363607E-13</v>
      </c>
      <c r="BZ182" s="13">
        <f>BY182*VLOOKUP('Données projet'!$B$12,Paramètres!$A$1:$I$89,3,0)*VLOOKUP('Données projet'!$B$12,Paramètres!$A$1:$I$89,5,0)</f>
        <v>2.7533815227798186E-13</v>
      </c>
      <c r="CA182" s="13">
        <f t="shared" si="170"/>
        <v>3.6763598146902537E-12</v>
      </c>
      <c r="CB182" s="20">
        <f t="shared" si="171"/>
        <v>6.88254062580301E-12</v>
      </c>
      <c r="CC182" s="59">
        <f t="shared" si="119"/>
        <v>293.33333333334019</v>
      </c>
      <c r="CD182" s="59">
        <f ca="1">AVERAGE(OFFSET($CC$3,0,0,'Données projet'!$E$12+1,1))-AVERAGE(OFFSET($H$3,0,0,'Données projet'!$E$12+1,1))</f>
        <v>502.65044103360322</v>
      </c>
      <c r="CE182" s="59">
        <f t="shared" si="148"/>
        <v>321.65762891855167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50.924782758108549</v>
      </c>
      <c r="CL182" s="21">
        <f>EXP(-LN(2)/25)*CL181+(1-EXP(-LN(2)/25))/(LN(2)/25)*Calculateur!CG182*Calculateur!CI182*VLOOKUP('Données projet'!$B$12,Paramètres!$A$1:$I$89,3,0)*0.475*44/12</f>
        <v>7.1982641459088743</v>
      </c>
      <c r="CM182" s="21">
        <f>EXP(-LN(2)/2)*CM181+(1-EXP(-LN(2)/2))/(LN(2)/2)*CG182*CJ182*VLOOKUP('Données projet'!$B$12,Paramètres!$A$1:$I$89,3,0)*0.475*44/12</f>
        <v>3.414168574699247E-7</v>
      </c>
      <c r="CN182" s="22">
        <f t="shared" si="172"/>
        <v>58.123047245434279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239.26156489359892</v>
      </c>
      <c r="T183" s="59">
        <f t="shared" si="142"/>
        <v>213.97034450798111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1.8193306298205121</v>
      </c>
      <c r="AA183" s="21">
        <f>EXP(-LN(2)/25)*AA182+(1-EXP(-LN(2)/25))/(LN(2)/25)*Calculateur!V183*Calculateur!X183*VLOOKUP('Données projet'!$B$9,Paramètres!$A$1:$I$89,3,0)*0.475*44/12</f>
        <v>5.2667279834050706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7.0860586132255827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5.4001247917767614E-13</v>
      </c>
      <c r="AJ183" s="13">
        <f>AI183*VLOOKUP('Données projet'!$B$10,Paramètres!$A$1:$I$89,3,0)*VLOOKUP('Données projet'!$B$10,Paramètres!$A$1:$I$89,5,0)</f>
        <v>5.4757265388616366E-13</v>
      </c>
      <c r="AK183" s="13">
        <f t="shared" si="164"/>
        <v>6.7489963942904795E-12</v>
      </c>
      <c r="AL183" s="20">
        <f t="shared" si="165"/>
        <v>1.2708191092240986E-11</v>
      </c>
      <c r="AM183" s="59">
        <f t="shared" si="113"/>
        <v>293.33333333334605</v>
      </c>
      <c r="AN183" s="59">
        <f ca="1">AVERAGE(OFFSET($AM$3,0,0,'Données projet'!$E$10+1,1))-AVERAGE(OFFSET($H$3,0,0,'Données projet'!$E$10+1,1))</f>
        <v>543.88440431478944</v>
      </c>
      <c r="AO183" s="59">
        <f t="shared" si="144"/>
        <v>342.63929463709457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86.459443019006955</v>
      </c>
      <c r="AV183" s="21">
        <f>EXP(-LN(2)/25)*AV182+(1-EXP(-LN(2)/25))/(LN(2)/25)*Calculateur!AQ183*Calculateur!AS183*VLOOKUP('Données projet'!$B$10,Paramètres!$A$1:$I$89,3,0)*0.475*44/12</f>
        <v>13.179581711492704</v>
      </c>
      <c r="AW183" s="21">
        <f>EXP(-LN(2)/2)*AW182+(1-EXP(-LN(2)/2))/(LN(2)/2)*AQ183*AT183*VLOOKUP('Données projet'!$B$10,Paramètres!$A$1:$I$89,3,0)*0.475*44/12</f>
        <v>1.0585975085062649E-2</v>
      </c>
      <c r="AX183" s="21">
        <f t="shared" si="166"/>
        <v>99.64961070558472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>
        <f>VLOOKUP(A183,'Données projet'!$A$87:$I$107,2,0)</f>
        <v>456.54</v>
      </c>
      <c r="BB183" s="12">
        <f>VLOOKUP(A183,'Données projet'!$A$87:$I$107,9,0)</f>
        <v>7.688333333333337</v>
      </c>
      <c r="BC183" s="12">
        <f t="array" ref="BC183">INDEX(BB:BB,MIN(IF(ISNUMBER(BB183:BB379),ROW(BB183:BB379),"")))</f>
        <v>7.688333333333337</v>
      </c>
      <c r="BD183" s="12">
        <f>IF('Données projet'!$A$88&gt;35,BD182+BC183-BL182,IF(A183&lt;'Données projet'!$A$88,$BA$205^A183,IF(A183='Données projet'!$A$88,'Données projet'!$B$88,BD182+BC183-BL182)))</f>
        <v>456.53999999999968</v>
      </c>
      <c r="BE183" s="13">
        <f>BD183*VLOOKUP('Données projet'!$B$11,Paramètres!$A$1:$I$89,3,0)*VLOOKUP('Données projet'!$B$11,Paramètres!$A$1:$I$89,5,0)</f>
        <v>519.90775199999962</v>
      </c>
      <c r="BF183" s="13">
        <f t="shared" si="167"/>
        <v>115.70297805948883</v>
      </c>
      <c r="BG183" s="20">
        <f t="shared" si="168"/>
        <v>1107.0220215202758</v>
      </c>
      <c r="BH183" s="59">
        <f t="shared" si="116"/>
        <v>1400.355354853609</v>
      </c>
      <c r="BI183" s="59">
        <f ca="1">AVERAGE(OFFSET($BH$3,0,0,'Données projet'!$E$11+1,1))-AVERAGE(OFFSET($H$3,0,0,'Données projet'!$E$11+1,1))</f>
        <v>593.28343396240075</v>
      </c>
      <c r="BJ183" s="59">
        <f t="shared" si="146"/>
        <v>289.66477662068695</v>
      </c>
      <c r="BK183" s="15">
        <f>IF(ISNA(VLOOKUP(A183,'Données projet'!$A$87:$I$107,3,0)),0,VLOOKUP(A183,'Données projet'!$A$87:$I$107,3,0))</f>
        <v>13</v>
      </c>
      <c r="BL183" s="15">
        <f>IF(ISNA(VLOOKUP(A183,'Données projet'!$A$87:$I$107,4,0)),0,VLOOKUP(A183,'Données projet'!$A$87:$I$107,4,0))</f>
        <v>175.59000000000003</v>
      </c>
      <c r="BM183" s="16">
        <f>IF(ISNA(VLOOKUP(A183,'Données projet'!$A$87:$I$107,5,0)),0%,VLOOKUP(A183,'Données projet'!$A$87:$I$107,5,0)*VLOOKUP('Données projet'!$B$11,Paramètres!$A$1:$I$89,7,0))</f>
        <v>0.215</v>
      </c>
      <c r="BN183" s="16">
        <f>IF(ISNA(VLOOKUP(A183,'Données projet'!$A$87:$I$107,6,0)),0%,VLOOKUP(A183,'Données projet'!$A$87:$I$107,6,0)*VLOOKUP('Données projet'!$B$11,Paramètres!$A$1:$I$89,7,0))</f>
        <v>8.6000000000000007E-2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92.132379690333735</v>
      </c>
      <c r="BQ183" s="21">
        <f>EXP(-LN(2)/25)*BQ182+(1-EXP(-LN(2)/25))/(LN(2)/25)*Calculateur!BL183*Calculateur!BN183*VLOOKUP('Données projet'!$B$11,Paramètres!$A$1:$I$89,3,0)*0.475*44/12</f>
        <v>37.652421647235556</v>
      </c>
      <c r="BR183" s="21">
        <f>EXP(-LN(2)/2)*BR182+(1-EXP(-LN(2)/2))/(LN(2)/2)*BL183*BO183*VLOOKUP('Données projet'!$B$11,Paramètres!$A$1:$I$89,3,0)*0.475*44/12</f>
        <v>2.5303933062369001E-5</v>
      </c>
      <c r="BS183" s="22">
        <f t="shared" si="169"/>
        <v>129.78482664150235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2.5579538487363607E-13</v>
      </c>
      <c r="BZ183" s="13">
        <f>BY183*VLOOKUP('Données projet'!$B$12,Paramètres!$A$1:$I$89,3,0)*VLOOKUP('Données projet'!$B$12,Paramètres!$A$1:$I$89,5,0)</f>
        <v>2.7533815227798186E-13</v>
      </c>
      <c r="CA183" s="13">
        <f t="shared" si="170"/>
        <v>3.6763598146902537E-12</v>
      </c>
      <c r="CB183" s="20">
        <f t="shared" si="171"/>
        <v>6.88254062580301E-12</v>
      </c>
      <c r="CC183" s="59">
        <f t="shared" si="119"/>
        <v>293.33333333334019</v>
      </c>
      <c r="CD183" s="59">
        <f ca="1">AVERAGE(OFFSET($CC$3,0,0,'Données projet'!$E$12+1,1))-AVERAGE(OFFSET($H$3,0,0,'Données projet'!$E$12+1,1))</f>
        <v>502.65044103360322</v>
      </c>
      <c r="CE183" s="59">
        <f t="shared" si="148"/>
        <v>321.65762891855167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49.926178829272502</v>
      </c>
      <c r="CL183" s="21">
        <f>EXP(-LN(2)/25)*CL182+(1-EXP(-LN(2)/25))/(LN(2)/25)*Calculateur!CG183*Calculateur!CI183*VLOOKUP('Données projet'!$B$12,Paramètres!$A$1:$I$89,3,0)*0.475*44/12</f>
        <v>7.0014272342987365</v>
      </c>
      <c r="CM183" s="21">
        <f>EXP(-LN(2)/2)*CM182+(1-EXP(-LN(2)/2))/(LN(2)/2)*CG183*CJ183*VLOOKUP('Données projet'!$B$12,Paramètres!$A$1:$I$89,3,0)*0.475*44/12</f>
        <v>2.4141817512838473E-7</v>
      </c>
      <c r="CN183" s="22">
        <f t="shared" si="172"/>
        <v>56.927606304989418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239.26156489359892</v>
      </c>
      <c r="T184" s="59">
        <f t="shared" si="142"/>
        <v>213.97034450798111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1.783654665851844</v>
      </c>
      <c r="AA184" s="21">
        <f>EXP(-LN(2)/25)*AA183+(1-EXP(-LN(2)/25))/(LN(2)/25)*Calculateur!V184*Calculateur!X184*VLOOKUP('Données projet'!$B$9,Paramètres!$A$1:$I$89,3,0)*0.475*44/12</f>
        <v>5.1227090297336719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6.9063636955855161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5.4001247917767614E-13</v>
      </c>
      <c r="AJ184" s="13">
        <f>AI184*VLOOKUP('Données projet'!$B$10,Paramètres!$A$1:$I$89,3,0)*VLOOKUP('Données projet'!$B$10,Paramètres!$A$1:$I$89,5,0)</f>
        <v>5.4757265388616366E-13</v>
      </c>
      <c r="AK184" s="13">
        <f t="shared" si="164"/>
        <v>6.7489963942904795E-12</v>
      </c>
      <c r="AL184" s="20">
        <f t="shared" si="165"/>
        <v>1.2708191092240986E-11</v>
      </c>
      <c r="AM184" s="59">
        <f t="shared" si="113"/>
        <v>293.33333333334605</v>
      </c>
      <c r="AN184" s="59">
        <f ca="1">AVERAGE(OFFSET($AM$3,0,0,'Données projet'!$E$10+1,1))-AVERAGE(OFFSET($H$3,0,0,'Données projet'!$E$10+1,1))</f>
        <v>543.88440431478944</v>
      </c>
      <c r="AO184" s="59">
        <f t="shared" si="144"/>
        <v>342.63929463709457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84.764026076457313</v>
      </c>
      <c r="AV184" s="21">
        <f>EXP(-LN(2)/25)*AV183+(1-EXP(-LN(2)/25))/(LN(2)/25)*Calculateur!AQ184*Calculateur!AS184*VLOOKUP('Données projet'!$B$10,Paramètres!$A$1:$I$89,3,0)*0.475*44/12</f>
        <v>12.819185356507855</v>
      </c>
      <c r="AW184" s="21">
        <f>EXP(-LN(2)/2)*AW183+(1-EXP(-LN(2)/2))/(LN(2)/2)*AQ184*AT184*VLOOKUP('Données projet'!$B$10,Paramètres!$A$1:$I$89,3,0)*0.475*44/12</f>
        <v>7.4854147681196383E-3</v>
      </c>
      <c r="AX184" s="21">
        <f t="shared" si="166"/>
        <v>97.590696847733298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4.7974999999999994</v>
      </c>
      <c r="BD184" s="12">
        <f>IF('Données projet'!$A$88&gt;35,BD183+BC184-BL183,IF(A184&lt;'Données projet'!$A$88,$BA$205^A184,IF(A184='Données projet'!$A$88,'Données projet'!$B$88,BD183+BC184-BL183)))</f>
        <v>285.74749999999966</v>
      </c>
      <c r="BE184" s="13">
        <f>BD184*VLOOKUP('Données projet'!$B$11,Paramètres!$A$1:$I$89,3,0)*VLOOKUP('Données projet'!$B$11,Paramètres!$A$1:$I$89,5,0)</f>
        <v>325.40925299999964</v>
      </c>
      <c r="BF184" s="13">
        <f t="shared" si="167"/>
        <v>76.477753575181453</v>
      </c>
      <c r="BG184" s="20">
        <f t="shared" si="168"/>
        <v>699.95320311844034</v>
      </c>
      <c r="BH184" s="59">
        <f t="shared" si="116"/>
        <v>993.2865364517736</v>
      </c>
      <c r="BI184" s="59">
        <f ca="1">AVERAGE(OFFSET($BH$3,0,0,'Données projet'!$E$11+1,1))-AVERAGE(OFFSET($H$3,0,0,'Données projet'!$E$11+1,1))</f>
        <v>593.28343396240075</v>
      </c>
      <c r="BJ184" s="59">
        <f t="shared" si="146"/>
        <v>289.66477662068695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90.325719919809089</v>
      </c>
      <c r="BQ184" s="21">
        <f>EXP(-LN(2)/25)*BQ183+(1-EXP(-LN(2)/25))/(LN(2)/25)*Calculateur!BL184*Calculateur!BN184*VLOOKUP('Données projet'!$B$11,Paramètres!$A$1:$I$89,3,0)*0.475*44/12</f>
        <v>36.622814197237098</v>
      </c>
      <c r="BR184" s="21">
        <f>EXP(-LN(2)/2)*BR183+(1-EXP(-LN(2)/2))/(LN(2)/2)*BL184*BO184*VLOOKUP('Données projet'!$B$11,Paramètres!$A$1:$I$89,3,0)*0.475*44/12</f>
        <v>1.7892582659091603E-5</v>
      </c>
      <c r="BS184" s="22">
        <f t="shared" si="169"/>
        <v>126.94855200962886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2.5579538487363607E-13</v>
      </c>
      <c r="BZ184" s="13">
        <f>BY184*VLOOKUP('Données projet'!$B$12,Paramètres!$A$1:$I$89,3,0)*VLOOKUP('Données projet'!$B$12,Paramètres!$A$1:$I$89,5,0)</f>
        <v>2.7533815227798186E-13</v>
      </c>
      <c r="CA184" s="13">
        <f t="shared" si="170"/>
        <v>3.6763598146902537E-12</v>
      </c>
      <c r="CB184" s="20">
        <f t="shared" si="171"/>
        <v>6.88254062580301E-12</v>
      </c>
      <c r="CC184" s="59">
        <f t="shared" si="119"/>
        <v>293.33333333334019</v>
      </c>
      <c r="CD184" s="59">
        <f ca="1">AVERAGE(OFFSET($CC$3,0,0,'Données projet'!$E$12+1,1))-AVERAGE(OFFSET($H$3,0,0,'Données projet'!$E$12+1,1))</f>
        <v>502.65044103360322</v>
      </c>
      <c r="CE184" s="59">
        <f t="shared" si="148"/>
        <v>321.65762891855167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48.947156914392671</v>
      </c>
      <c r="CL184" s="21">
        <f>EXP(-LN(2)/25)*CL183+(1-EXP(-LN(2)/25))/(LN(2)/25)*Calculateur!CG184*Calculateur!CI184*VLOOKUP('Données projet'!$B$12,Paramètres!$A$1:$I$89,3,0)*0.475*44/12</f>
        <v>6.8099728383877816</v>
      </c>
      <c r="CM184" s="21">
        <f>EXP(-LN(2)/2)*CM183+(1-EXP(-LN(2)/2))/(LN(2)/2)*CG184*CJ184*VLOOKUP('Données projet'!$B$12,Paramètres!$A$1:$I$89,3,0)*0.475*44/12</f>
        <v>1.7070842873496235E-7</v>
      </c>
      <c r="CN184" s="22">
        <f t="shared" si="172"/>
        <v>55.757129923488883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239.26156489359892</v>
      </c>
      <c r="T185" s="59">
        <f t="shared" si="142"/>
        <v>213.97034450798111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1.748678285776412</v>
      </c>
      <c r="AA185" s="21">
        <f>EXP(-LN(2)/25)*AA184+(1-EXP(-LN(2)/25))/(LN(2)/25)*Calculateur!V185*Calculateur!X185*VLOOKUP('Données projet'!$B$9,Paramètres!$A$1:$I$89,3,0)*0.475*44/12</f>
        <v>4.9826282819240451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6.7313065677004573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5.4001247917767614E-13</v>
      </c>
      <c r="AJ185" s="13">
        <f>AI185*VLOOKUP('Données projet'!$B$10,Paramètres!$A$1:$I$89,3,0)*VLOOKUP('Données projet'!$B$10,Paramètres!$A$1:$I$89,5,0)</f>
        <v>5.4757265388616366E-13</v>
      </c>
      <c r="AK185" s="13">
        <f t="shared" si="164"/>
        <v>6.7489963942904795E-12</v>
      </c>
      <c r="AL185" s="20">
        <f t="shared" si="165"/>
        <v>1.2708191092240986E-11</v>
      </c>
      <c r="AM185" s="59">
        <f t="shared" si="113"/>
        <v>293.33333333334605</v>
      </c>
      <c r="AN185" s="59">
        <f ca="1">AVERAGE(OFFSET($AM$3,0,0,'Données projet'!$E$10+1,1))-AVERAGE(OFFSET($H$3,0,0,'Données projet'!$E$10+1,1))</f>
        <v>543.88440431478944</v>
      </c>
      <c r="AO185" s="59">
        <f t="shared" si="144"/>
        <v>342.63929463709457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83.101855226048841</v>
      </c>
      <c r="AV185" s="21">
        <f>EXP(-LN(2)/25)*AV184+(1-EXP(-LN(2)/25))/(LN(2)/25)*Calculateur!AQ185*Calculateur!AS185*VLOOKUP('Données projet'!$B$10,Paramètres!$A$1:$I$89,3,0)*0.475*44/12</f>
        <v>12.468644058802489</v>
      </c>
      <c r="AW185" s="21">
        <f>EXP(-LN(2)/2)*AW184+(1-EXP(-LN(2)/2))/(LN(2)/2)*AQ185*AT185*VLOOKUP('Données projet'!$B$10,Paramètres!$A$1:$I$89,3,0)*0.475*44/12</f>
        <v>5.2929875425313244E-3</v>
      </c>
      <c r="AX185" s="21">
        <f t="shared" si="166"/>
        <v>95.575792272393869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4.7974999999999994</v>
      </c>
      <c r="BD185" s="12">
        <f>IF('Données projet'!$A$88&gt;35,BD184+BC185-BL184,IF(A185&lt;'Données projet'!$A$88,$BA$205^A185,IF(A185='Données projet'!$A$88,'Données projet'!$B$88,BD184+BC185-BL184)))</f>
        <v>290.54499999999967</v>
      </c>
      <c r="BE185" s="13">
        <f>BD185*VLOOKUP('Données projet'!$B$11,Paramètres!$A$1:$I$89,3,0)*VLOOKUP('Données projet'!$B$11,Paramètres!$A$1:$I$89,5,0)</f>
        <v>330.87264599999963</v>
      </c>
      <c r="BF185" s="13">
        <f t="shared" si="167"/>
        <v>77.611201134728788</v>
      </c>
      <c r="BG185" s="20">
        <f t="shared" si="168"/>
        <v>711.44270042631854</v>
      </c>
      <c r="BH185" s="59">
        <f t="shared" si="116"/>
        <v>1004.7760337596519</v>
      </c>
      <c r="BI185" s="59">
        <f ca="1">AVERAGE(OFFSET($BH$3,0,0,'Données projet'!$E$11+1,1))-AVERAGE(OFFSET($H$3,0,0,'Données projet'!$E$11+1,1))</f>
        <v>593.28343396240075</v>
      </c>
      <c r="BJ185" s="59">
        <f t="shared" si="146"/>
        <v>289.66477662068695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88.554487645430783</v>
      </c>
      <c r="BQ185" s="21">
        <f>EXP(-LN(2)/25)*BQ184+(1-EXP(-LN(2)/25))/(LN(2)/25)*Calculateur!BL185*Calculateur!BN185*VLOOKUP('Données projet'!$B$11,Paramètres!$A$1:$I$89,3,0)*0.475*44/12</f>
        <v>35.62136141710355</v>
      </c>
      <c r="BR185" s="21">
        <f>EXP(-LN(2)/2)*BR184+(1-EXP(-LN(2)/2))/(LN(2)/2)*BL185*BO185*VLOOKUP('Données projet'!$B$11,Paramètres!$A$1:$I$89,3,0)*0.475*44/12</f>
        <v>1.2651966531184501E-5</v>
      </c>
      <c r="BS185" s="22">
        <f t="shared" si="169"/>
        <v>124.17586171450085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2.5579538487363607E-13</v>
      </c>
      <c r="BZ185" s="13">
        <f>BY185*VLOOKUP('Données projet'!$B$12,Paramètres!$A$1:$I$89,3,0)*VLOOKUP('Données projet'!$B$12,Paramètres!$A$1:$I$89,5,0)</f>
        <v>2.7533815227798186E-13</v>
      </c>
      <c r="CA185" s="13">
        <f t="shared" si="170"/>
        <v>3.6763598146902537E-12</v>
      </c>
      <c r="CB185" s="20">
        <f t="shared" si="171"/>
        <v>6.88254062580301E-12</v>
      </c>
      <c r="CC185" s="59">
        <f t="shared" si="119"/>
        <v>293.33333333334019</v>
      </c>
      <c r="CD185" s="59">
        <f ca="1">AVERAGE(OFFSET($CC$3,0,0,'Données projet'!$E$12+1,1))-AVERAGE(OFFSET($H$3,0,0,'Données projet'!$E$12+1,1))</f>
        <v>502.65044103360322</v>
      </c>
      <c r="CE185" s="59">
        <f t="shared" si="148"/>
        <v>321.65762891855167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47.98733302211923</v>
      </c>
      <c r="CL185" s="21">
        <f>EXP(-LN(2)/25)*CL184+(1-EXP(-LN(2)/25))/(LN(2)/25)*Calculateur!CG185*Calculateur!CI185*VLOOKUP('Données projet'!$B$12,Paramètres!$A$1:$I$89,3,0)*0.475*44/12</f>
        <v>6.6237537730011606</v>
      </c>
      <c r="CM185" s="21">
        <f>EXP(-LN(2)/2)*CM184+(1-EXP(-LN(2)/2))/(LN(2)/2)*CG185*CJ185*VLOOKUP('Données projet'!$B$12,Paramètres!$A$1:$I$89,3,0)*0.475*44/12</f>
        <v>1.2070908756419236E-7</v>
      </c>
      <c r="CN185" s="22">
        <f t="shared" si="172"/>
        <v>54.611086915829482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239.26156489359892</v>
      </c>
      <c r="T186" s="59">
        <f t="shared" si="142"/>
        <v>213.97034450798111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1.714387771180774</v>
      </c>
      <c r="AA186" s="21">
        <f>EXP(-LN(2)/25)*AA185+(1-EXP(-LN(2)/25))/(LN(2)/25)*Calculateur!V186*Calculateur!X186*VLOOKUP('Données projet'!$B$9,Paramètres!$A$1:$I$89,3,0)*0.475*44/12</f>
        <v>4.8463780495297986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6.5607658207105723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5.4001247917767614E-13</v>
      </c>
      <c r="AJ186" s="13">
        <f>AI186*VLOOKUP('Données projet'!$B$10,Paramètres!$A$1:$I$89,3,0)*VLOOKUP('Données projet'!$B$10,Paramètres!$A$1:$I$89,5,0)</f>
        <v>5.4757265388616366E-13</v>
      </c>
      <c r="AK186" s="13">
        <f t="shared" si="164"/>
        <v>6.7489963942904795E-12</v>
      </c>
      <c r="AL186" s="20">
        <f t="shared" si="165"/>
        <v>1.2708191092240986E-11</v>
      </c>
      <c r="AM186" s="59">
        <f t="shared" si="113"/>
        <v>293.33333333334605</v>
      </c>
      <c r="AN186" s="59">
        <f ca="1">AVERAGE(OFFSET($AM$3,0,0,'Données projet'!$E$10+1,1))-AVERAGE(OFFSET($H$3,0,0,'Données projet'!$E$10+1,1))</f>
        <v>543.88440431478944</v>
      </c>
      <c r="AO186" s="59">
        <f t="shared" si="144"/>
        <v>342.63929463709457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81.472278532192774</v>
      </c>
      <c r="AV186" s="21">
        <f>EXP(-LN(2)/25)*AV185+(1-EXP(-LN(2)/25))/(LN(2)/25)*Calculateur!AQ186*Calculateur!AS186*VLOOKUP('Données projet'!$B$10,Paramètres!$A$1:$I$89,3,0)*0.475*44/12</f>
        <v>12.127688331317042</v>
      </c>
      <c r="AW186" s="21">
        <f>EXP(-LN(2)/2)*AW185+(1-EXP(-LN(2)/2))/(LN(2)/2)*AQ186*AT186*VLOOKUP('Données projet'!$B$10,Paramètres!$A$1:$I$89,3,0)*0.475*44/12</f>
        <v>3.7427073840598192E-3</v>
      </c>
      <c r="AX186" s="21">
        <f t="shared" si="166"/>
        <v>93.603709570893884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4.7974999999999994</v>
      </c>
      <c r="BD186" s="12">
        <f>IF('Données projet'!$A$88&gt;35,BD185+BC186-BL185,IF(A186&lt;'Données projet'!$A$88,$BA$205^A186,IF(A186='Données projet'!$A$88,'Données projet'!$B$88,BD185+BC186-BL185)))</f>
        <v>295.34249999999969</v>
      </c>
      <c r="BE186" s="13">
        <f>BD186*VLOOKUP('Données projet'!$B$11,Paramètres!$A$1:$I$89,3,0)*VLOOKUP('Données projet'!$B$11,Paramètres!$A$1:$I$89,5,0)</f>
        <v>336.33603899999963</v>
      </c>
      <c r="BF186" s="13">
        <f t="shared" si="167"/>
        <v>78.742472189805937</v>
      </c>
      <c r="BG186" s="20">
        <f t="shared" si="168"/>
        <v>722.92840698891132</v>
      </c>
      <c r="BH186" s="59">
        <f t="shared" si="116"/>
        <v>1016.2617403222446</v>
      </c>
      <c r="BI186" s="59">
        <f ca="1">AVERAGE(OFFSET($BH$3,0,0,'Données projet'!$E$11+1,1))-AVERAGE(OFFSET($H$3,0,0,'Données projet'!$E$11+1,1))</f>
        <v>593.28343396240075</v>
      </c>
      <c r="BJ186" s="59">
        <f t="shared" si="146"/>
        <v>289.66477662068695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86.81798815560802</v>
      </c>
      <c r="BQ186" s="21">
        <f>EXP(-LN(2)/25)*BQ185+(1-EXP(-LN(2)/25))/(LN(2)/25)*Calculateur!BL186*Calculateur!BN186*VLOOKUP('Données projet'!$B$11,Paramètres!$A$1:$I$89,3,0)*0.475*44/12</f>
        <v>34.647293415906873</v>
      </c>
      <c r="BR186" s="21">
        <f>EXP(-LN(2)/2)*BR185+(1-EXP(-LN(2)/2))/(LN(2)/2)*BL186*BO186*VLOOKUP('Données projet'!$B$11,Paramètres!$A$1:$I$89,3,0)*0.475*44/12</f>
        <v>8.9462913295458013E-6</v>
      </c>
      <c r="BS186" s="22">
        <f t="shared" si="169"/>
        <v>121.46529051780622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2.5579538487363607E-13</v>
      </c>
      <c r="BZ186" s="13">
        <f>BY186*VLOOKUP('Données projet'!$B$12,Paramètres!$A$1:$I$89,3,0)*VLOOKUP('Données projet'!$B$12,Paramètres!$A$1:$I$89,5,0)</f>
        <v>2.7533815227798186E-13</v>
      </c>
      <c r="CA186" s="13">
        <f t="shared" si="170"/>
        <v>3.6763598146902537E-12</v>
      </c>
      <c r="CB186" s="20">
        <f t="shared" si="171"/>
        <v>6.88254062580301E-12</v>
      </c>
      <c r="CC186" s="59">
        <f t="shared" si="119"/>
        <v>293.33333333334019</v>
      </c>
      <c r="CD186" s="59">
        <f ca="1">AVERAGE(OFFSET($CC$3,0,0,'Données projet'!$E$12+1,1))-AVERAGE(OFFSET($H$3,0,0,'Données projet'!$E$12+1,1))</f>
        <v>502.65044103360322</v>
      </c>
      <c r="CE186" s="59">
        <f t="shared" si="148"/>
        <v>321.65762891855167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47.046330690938504</v>
      </c>
      <c r="CL186" s="21">
        <f>EXP(-LN(2)/25)*CL185+(1-EXP(-LN(2)/25))/(LN(2)/25)*Calculateur!CG186*Calculateur!CI186*VLOOKUP('Données projet'!$B$12,Paramètres!$A$1:$I$89,3,0)*0.475*44/12</f>
        <v>6.4426268777503717</v>
      </c>
      <c r="CM186" s="21">
        <f>EXP(-LN(2)/2)*CM185+(1-EXP(-LN(2)/2))/(LN(2)/2)*CG186*CJ186*VLOOKUP('Données projet'!$B$12,Paramètres!$A$1:$I$89,3,0)*0.475*44/12</f>
        <v>8.5354214367481174E-8</v>
      </c>
      <c r="CN186" s="22">
        <f t="shared" si="172"/>
        <v>53.488957654043091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239.26156489359892</v>
      </c>
      <c r="T187" s="59">
        <f t="shared" si="142"/>
        <v>213.97034450798111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1.6807696726612078</v>
      </c>
      <c r="AA187" s="21">
        <f>EXP(-LN(2)/25)*AA186+(1-EXP(-LN(2)/25))/(LN(2)/25)*Calculateur!V187*Calculateur!X187*VLOOKUP('Données projet'!$B$9,Paramètres!$A$1:$I$89,3,0)*0.475*44/12</f>
        <v>4.7138535869054614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6.3946232595666697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5.4001247917767614E-13</v>
      </c>
      <c r="AJ187" s="13">
        <f>AI187*VLOOKUP('Données projet'!$B$10,Paramètres!$A$1:$I$89,3,0)*VLOOKUP('Données projet'!$B$10,Paramètres!$A$1:$I$89,5,0)</f>
        <v>5.4757265388616366E-13</v>
      </c>
      <c r="AK187" s="13">
        <f t="shared" si="164"/>
        <v>6.7489963942904795E-12</v>
      </c>
      <c r="AL187" s="20">
        <f t="shared" si="165"/>
        <v>1.2708191092240986E-11</v>
      </c>
      <c r="AM187" s="59">
        <f t="shared" si="113"/>
        <v>293.33333333334605</v>
      </c>
      <c r="AN187" s="59">
        <f ca="1">AVERAGE(OFFSET($AM$3,0,0,'Données projet'!$E$10+1,1))-AVERAGE(OFFSET($H$3,0,0,'Données projet'!$E$10+1,1))</f>
        <v>543.88440431478944</v>
      </c>
      <c r="AO187" s="59">
        <f t="shared" si="144"/>
        <v>342.63929463709457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79.874656843359588</v>
      </c>
      <c r="AV187" s="21">
        <f>EXP(-LN(2)/25)*AV186+(1-EXP(-LN(2)/25))/(LN(2)/25)*Calculateur!AQ187*Calculateur!AS187*VLOOKUP('Données projet'!$B$10,Paramètres!$A$1:$I$89,3,0)*0.475*44/12</f>
        <v>11.796056056129766</v>
      </c>
      <c r="AW187" s="21">
        <f>EXP(-LN(2)/2)*AW186+(1-EXP(-LN(2)/2))/(LN(2)/2)*AQ187*AT187*VLOOKUP('Données projet'!$B$10,Paramètres!$A$1:$I$89,3,0)*0.475*44/12</f>
        <v>2.6464937712656622E-3</v>
      </c>
      <c r="AX187" s="21">
        <f t="shared" si="166"/>
        <v>91.673359393260625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>
        <f>VLOOKUP(A187,'Données projet'!$A$87:$I$107,2,0)</f>
        <v>300.14</v>
      </c>
      <c r="BB187" s="12">
        <f>VLOOKUP(A187,'Données projet'!$A$87:$I$107,9,0)</f>
        <v>4.7974999999999994</v>
      </c>
      <c r="BC187" s="12">
        <f t="array" ref="BC187">INDEX(BB:BB,MIN(IF(ISNUMBER(BB187:BB383),ROW(BB187:BB383),"")))</f>
        <v>4.7974999999999994</v>
      </c>
      <c r="BD187" s="12">
        <f>IF('Données projet'!$A$88&gt;35,BD186+BC187-BL186,IF(A187&lt;'Données projet'!$A$88,$BA$205^A187,IF(A187='Données projet'!$A$88,'Données projet'!$B$88,BD186+BC187-BL186)))</f>
        <v>300.1399999999997</v>
      </c>
      <c r="BE187" s="13">
        <f>BD187*VLOOKUP('Données projet'!$B$11,Paramètres!$A$1:$I$89,3,0)*VLOOKUP('Données projet'!$B$11,Paramètres!$A$1:$I$89,5,0)</f>
        <v>341.79943199999968</v>
      </c>
      <c r="BF187" s="13">
        <f t="shared" si="167"/>
        <v>79.871606176734076</v>
      </c>
      <c r="BG187" s="20">
        <f t="shared" si="168"/>
        <v>734.41039149114465</v>
      </c>
      <c r="BH187" s="59">
        <f t="shared" si="116"/>
        <v>1027.743724824478</v>
      </c>
      <c r="BI187" s="59">
        <f ca="1">AVERAGE(OFFSET($BH$3,0,0,'Données projet'!$E$11+1,1))-AVERAGE(OFFSET($H$3,0,0,'Données projet'!$E$11+1,1))</f>
        <v>593.28343396240075</v>
      </c>
      <c r="BJ187" s="59">
        <f t="shared" si="146"/>
        <v>289.66477662068695</v>
      </c>
      <c r="BK187" s="15">
        <f>IF(ISNA(VLOOKUP(A187,'Données projet'!$A$87:$I$107,3,0)),0,VLOOKUP(A187,'Données projet'!$A$87:$I$107,3,0))</f>
        <v>14</v>
      </c>
      <c r="BL187" s="15">
        <f>IF(ISNA(VLOOKUP(A187,'Données projet'!$A$87:$I$107,4,0)),0,VLOOKUP(A187,'Données projet'!$A$87:$I$107,4,0))</f>
        <v>101.19999999999999</v>
      </c>
      <c r="BM187" s="16">
        <f>IF(ISNA(VLOOKUP(A187,'Données projet'!$A$87:$I$107,5,0)),0%,VLOOKUP(A187,'Données projet'!$A$87:$I$107,5,0)*VLOOKUP('Données projet'!$B$11,Paramètres!$A$1:$I$89,7,0))</f>
        <v>0.215</v>
      </c>
      <c r="BN187" s="16">
        <f>IF(ISNA(VLOOKUP(A187,'Données projet'!$A$87:$I$107,6,0)),0%,VLOOKUP(A187,'Données projet'!$A$87:$I$107,6,0)*VLOOKUP('Données projet'!$B$11,Paramètres!$A$1:$I$89,7,0))</f>
        <v>8.6000000000000007E-2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112.50689692257995</v>
      </c>
      <c r="BQ187" s="21">
        <f>EXP(-LN(2)/25)*BQ186+(1-EXP(-LN(2)/25))/(LN(2)/25)*Calculateur!BL187*Calculateur!BN187*VLOOKUP('Données projet'!$B$11,Paramètres!$A$1:$I$89,3,0)*0.475*44/12</f>
        <v>44.613263896728441</v>
      </c>
      <c r="BR187" s="21">
        <f>EXP(-LN(2)/2)*BR186+(1-EXP(-LN(2)/2))/(LN(2)/2)*BL187*BO187*VLOOKUP('Données projet'!$B$11,Paramètres!$A$1:$I$89,3,0)*0.475*44/12</f>
        <v>6.3259832655922503E-6</v>
      </c>
      <c r="BS187" s="22">
        <f t="shared" si="169"/>
        <v>157.12016714529167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2.5579538487363607E-13</v>
      </c>
      <c r="BZ187" s="13">
        <f>BY187*VLOOKUP('Données projet'!$B$12,Paramètres!$A$1:$I$89,3,0)*VLOOKUP('Données projet'!$B$12,Paramètres!$A$1:$I$89,5,0)</f>
        <v>2.7533815227798186E-13</v>
      </c>
      <c r="CA187" s="13">
        <f t="shared" si="170"/>
        <v>3.6763598146902537E-12</v>
      </c>
      <c r="CB187" s="20">
        <f t="shared" si="171"/>
        <v>6.88254062580301E-12</v>
      </c>
      <c r="CC187" s="59">
        <f t="shared" si="119"/>
        <v>293.33333333334019</v>
      </c>
      <c r="CD187" s="59">
        <f ca="1">AVERAGE(OFFSET($CC$3,0,0,'Données projet'!$E$12+1,1))-AVERAGE(OFFSET($H$3,0,0,'Données projet'!$E$12+1,1))</f>
        <v>502.65044103360322</v>
      </c>
      <c r="CE187" s="59">
        <f t="shared" si="148"/>
        <v>321.65762891855167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46.12378084151748</v>
      </c>
      <c r="CL187" s="21">
        <f>EXP(-LN(2)/25)*CL186+(1-EXP(-LN(2)/25))/(LN(2)/25)*Calculateur!CG187*Calculateur!CI187*VLOOKUP('Données projet'!$B$12,Paramètres!$A$1:$I$89,3,0)*0.475*44/12</f>
        <v>6.2664529069752648</v>
      </c>
      <c r="CM187" s="21">
        <f>EXP(-LN(2)/2)*CM186+(1-EXP(-LN(2)/2))/(LN(2)/2)*CG187*CJ187*VLOOKUP('Données projet'!$B$12,Paramètres!$A$1:$I$89,3,0)*0.475*44/12</f>
        <v>6.0354543782096182E-8</v>
      </c>
      <c r="CN187" s="22">
        <f t="shared" si="172"/>
        <v>52.390233808847292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239.26156489359892</v>
      </c>
      <c r="T188" s="59">
        <f t="shared" si="142"/>
        <v>213.97034450798111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1.6478108045485949</v>
      </c>
      <c r="AA188" s="21">
        <f>EXP(-LN(2)/25)*AA187+(1-EXP(-LN(2)/25))/(LN(2)/25)*Calculateur!V188*Calculateur!X188*VLOOKUP('Données projet'!$B$9,Paramètres!$A$1:$I$89,3,0)*0.475*44/12</f>
        <v>4.584953012680745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6.2327638172293396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5.4001247917767614E-13</v>
      </c>
      <c r="AJ188" s="13">
        <f>AI188*VLOOKUP('Données projet'!$B$10,Paramètres!$A$1:$I$89,3,0)*VLOOKUP('Données projet'!$B$10,Paramètres!$A$1:$I$89,5,0)</f>
        <v>5.4757265388616366E-13</v>
      </c>
      <c r="AK188" s="13">
        <f t="shared" si="164"/>
        <v>6.7489963942904795E-12</v>
      </c>
      <c r="AL188" s="20">
        <f t="shared" si="165"/>
        <v>1.2708191092240986E-11</v>
      </c>
      <c r="AM188" s="59">
        <f t="shared" si="113"/>
        <v>293.33333333334605</v>
      </c>
      <c r="AN188" s="59">
        <f ca="1">AVERAGE(OFFSET($AM$3,0,0,'Données projet'!$E$10+1,1))-AVERAGE(OFFSET($H$3,0,0,'Données projet'!$E$10+1,1))</f>
        <v>543.88440431478944</v>
      </c>
      <c r="AO188" s="59">
        <f t="shared" si="144"/>
        <v>342.63929463709457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78.308363541391401</v>
      </c>
      <c r="AV188" s="21">
        <f>EXP(-LN(2)/25)*AV187+(1-EXP(-LN(2)/25))/(LN(2)/25)*Calculateur!AQ188*Calculateur!AS188*VLOOKUP('Données projet'!$B$10,Paramètres!$A$1:$I$89,3,0)*0.475*44/12</f>
        <v>11.473492282947269</v>
      </c>
      <c r="AW188" s="21">
        <f>EXP(-LN(2)/2)*AW187+(1-EXP(-LN(2)/2))/(LN(2)/2)*AQ188*AT188*VLOOKUP('Données projet'!$B$10,Paramètres!$A$1:$I$89,3,0)*0.475*44/12</f>
        <v>1.8713536920299096E-3</v>
      </c>
      <c r="AX188" s="21">
        <f t="shared" si="166"/>
        <v>89.783727178030688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3.0825000000000031</v>
      </c>
      <c r="BD188" s="12">
        <f>IF('Données projet'!$A$88&gt;35,BD187+BC188-BL187,IF(A188&lt;'Données projet'!$A$88,$BA$205^A188,IF(A188='Données projet'!$A$88,'Données projet'!$B$88,BD187+BC188-BL187)))</f>
        <v>202.0224999999997</v>
      </c>
      <c r="BE188" s="13">
        <f>BD188*VLOOKUP('Données projet'!$B$11,Paramètres!$A$1:$I$89,3,0)*VLOOKUP('Données projet'!$B$11,Paramètres!$A$1:$I$89,5,0)</f>
        <v>230.06322299999965</v>
      </c>
      <c r="BF188" s="13">
        <f t="shared" si="167"/>
        <v>56.296351603217715</v>
      </c>
      <c r="BG188" s="20">
        <f t="shared" si="168"/>
        <v>498.74292576727026</v>
      </c>
      <c r="BH188" s="59">
        <f t="shared" si="116"/>
        <v>792.07625910060358</v>
      </c>
      <c r="BI188" s="59">
        <f ca="1">AVERAGE(OFFSET($BH$3,0,0,'Données projet'!$E$11+1,1))-AVERAGE(OFFSET($H$3,0,0,'Données projet'!$E$11+1,1))</f>
        <v>593.28343396240075</v>
      </c>
      <c r="BJ188" s="59">
        <f t="shared" si="146"/>
        <v>289.66477662068695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110.30070529635938</v>
      </c>
      <c r="BQ188" s="21">
        <f>EXP(-LN(2)/25)*BQ187+(1-EXP(-LN(2)/25))/(LN(2)/25)*Calculateur!BL188*Calculateur!BN188*VLOOKUP('Données projet'!$B$11,Paramètres!$A$1:$I$89,3,0)*0.475*44/12</f>
        <v>43.393311849362817</v>
      </c>
      <c r="BR188" s="21">
        <f>EXP(-LN(2)/2)*BR187+(1-EXP(-LN(2)/2))/(LN(2)/2)*BL188*BO188*VLOOKUP('Données projet'!$B$11,Paramètres!$A$1:$I$89,3,0)*0.475*44/12</f>
        <v>4.4731456647729007E-6</v>
      </c>
      <c r="BS188" s="22">
        <f t="shared" si="169"/>
        <v>153.69402161886785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2.5579538487363607E-13</v>
      </c>
      <c r="BZ188" s="13">
        <f>BY188*VLOOKUP('Données projet'!$B$12,Paramètres!$A$1:$I$89,3,0)*VLOOKUP('Données projet'!$B$12,Paramètres!$A$1:$I$89,5,0)</f>
        <v>2.7533815227798186E-13</v>
      </c>
      <c r="CA188" s="13">
        <f t="shared" si="170"/>
        <v>3.6763598146902537E-12</v>
      </c>
      <c r="CB188" s="20">
        <f t="shared" si="171"/>
        <v>6.88254062580301E-12</v>
      </c>
      <c r="CC188" s="59">
        <f t="shared" si="119"/>
        <v>293.33333333334019</v>
      </c>
      <c r="CD188" s="59">
        <f ca="1">AVERAGE(OFFSET($CC$3,0,0,'Données projet'!$E$12+1,1))-AVERAGE(OFFSET($H$3,0,0,'Données projet'!$E$12+1,1))</f>
        <v>502.65044103360322</v>
      </c>
      <c r="CE188" s="59">
        <f t="shared" si="148"/>
        <v>321.65762891855167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45.219321631943757</v>
      </c>
      <c r="CL188" s="21">
        <f>EXP(-LN(2)/25)*CL187+(1-EXP(-LN(2)/25))/(LN(2)/25)*Calculateur!CG188*Calculateur!CI188*VLOOKUP('Données projet'!$B$12,Paramètres!$A$1:$I$89,3,0)*0.475*44/12</f>
        <v>6.0950964226955904</v>
      </c>
      <c r="CM188" s="21">
        <f>EXP(-LN(2)/2)*CM187+(1-EXP(-LN(2)/2))/(LN(2)/2)*CG188*CJ188*VLOOKUP('Données projet'!$B$12,Paramètres!$A$1:$I$89,3,0)*0.475*44/12</f>
        <v>4.2677107183740587E-8</v>
      </c>
      <c r="CN188" s="22">
        <f t="shared" si="172"/>
        <v>51.314418097316455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239.26156489359892</v>
      </c>
      <c r="T189" s="59">
        <f t="shared" si="142"/>
        <v>213.97034450798111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1.6154982397367457</v>
      </c>
      <c r="AA189" s="21">
        <f>EXP(-LN(2)/25)*AA188+(1-EXP(-LN(2)/25))/(LN(2)/25)*Calculateur!V189*Calculateur!X189*VLOOKUP('Données projet'!$B$9,Paramètres!$A$1:$I$89,3,0)*0.475*44/12</f>
        <v>4.4595772314367901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6.0750754711735357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5.4001247917767614E-13</v>
      </c>
      <c r="AJ189" s="13">
        <f>AI189*VLOOKUP('Données projet'!$B$10,Paramètres!$A$1:$I$89,3,0)*VLOOKUP('Données projet'!$B$10,Paramètres!$A$1:$I$89,5,0)</f>
        <v>5.4757265388616366E-13</v>
      </c>
      <c r="AK189" s="13">
        <f t="shared" si="164"/>
        <v>6.7489963942904795E-12</v>
      </c>
      <c r="AL189" s="20">
        <f t="shared" si="165"/>
        <v>1.2708191092240986E-11</v>
      </c>
      <c r="AM189" s="59">
        <f t="shared" si="113"/>
        <v>293.33333333334605</v>
      </c>
      <c r="AN189" s="59">
        <f ca="1">AVERAGE(OFFSET($AM$3,0,0,'Données projet'!$E$10+1,1))-AVERAGE(OFFSET($H$3,0,0,'Données projet'!$E$10+1,1))</f>
        <v>543.88440431478944</v>
      </c>
      <c r="AO189" s="59">
        <f t="shared" si="144"/>
        <v>342.63929463709457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76.772784295730233</v>
      </c>
      <c r="AV189" s="21">
        <f>EXP(-LN(2)/25)*AV188+(1-EXP(-LN(2)/25))/(LN(2)/25)*Calculateur!AQ189*Calculateur!AS189*VLOOKUP('Données projet'!$B$10,Paramètres!$A$1:$I$89,3,0)*0.475*44/12</f>
        <v>11.15974903310534</v>
      </c>
      <c r="AW189" s="21">
        <f>EXP(-LN(2)/2)*AW188+(1-EXP(-LN(2)/2))/(LN(2)/2)*AQ189*AT189*VLOOKUP('Données projet'!$B$10,Paramètres!$A$1:$I$89,3,0)*0.475*44/12</f>
        <v>1.3232468856328311E-3</v>
      </c>
      <c r="AX189" s="21">
        <f t="shared" si="166"/>
        <v>87.933856575721208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3.0825000000000031</v>
      </c>
      <c r="BD189" s="12">
        <f>IF('Données projet'!$A$88&gt;35,BD188+BC189-BL188,IF(A189&lt;'Données projet'!$A$88,$BA$205^A189,IF(A189='Données projet'!$A$88,'Données projet'!$B$88,BD188+BC189-BL188)))</f>
        <v>205.10499999999971</v>
      </c>
      <c r="BE189" s="13">
        <f>BD189*VLOOKUP('Données projet'!$B$11,Paramètres!$A$1:$I$89,3,0)*VLOOKUP('Données projet'!$B$11,Paramètres!$A$1:$I$89,5,0)</f>
        <v>233.57357399999967</v>
      </c>
      <c r="BF189" s="13">
        <f t="shared" si="167"/>
        <v>57.054677066881858</v>
      </c>
      <c r="BG189" s="20">
        <f t="shared" si="168"/>
        <v>506.17753727481869</v>
      </c>
      <c r="BH189" s="59">
        <f t="shared" si="116"/>
        <v>799.510870608152</v>
      </c>
      <c r="BI189" s="59">
        <f ca="1">AVERAGE(OFFSET($BH$3,0,0,'Données projet'!$E$11+1,1))-AVERAGE(OFFSET($H$3,0,0,'Données projet'!$E$11+1,1))</f>
        <v>593.28343396240075</v>
      </c>
      <c r="BJ189" s="59">
        <f t="shared" si="146"/>
        <v>289.66477662068695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108.13777574228497</v>
      </c>
      <c r="BQ189" s="21">
        <f>EXP(-LN(2)/25)*BQ188+(1-EXP(-LN(2)/25))/(LN(2)/25)*Calculateur!BL189*Calculateur!BN189*VLOOKUP('Données projet'!$B$11,Paramètres!$A$1:$I$89,3,0)*0.475*44/12</f>
        <v>42.206719454886894</v>
      </c>
      <c r="BR189" s="21">
        <f>EXP(-LN(2)/2)*BR188+(1-EXP(-LN(2)/2))/(LN(2)/2)*BL189*BO189*VLOOKUP('Données projet'!$B$11,Paramètres!$A$1:$I$89,3,0)*0.475*44/12</f>
        <v>3.1629916327961252E-6</v>
      </c>
      <c r="BS189" s="22">
        <f t="shared" si="169"/>
        <v>150.3444983601635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2.5579538487363607E-13</v>
      </c>
      <c r="BZ189" s="13">
        <f>BY189*VLOOKUP('Données projet'!$B$12,Paramètres!$A$1:$I$89,3,0)*VLOOKUP('Données projet'!$B$12,Paramètres!$A$1:$I$89,5,0)</f>
        <v>2.7533815227798186E-13</v>
      </c>
      <c r="CA189" s="13">
        <f t="shared" si="170"/>
        <v>3.6763598146902537E-12</v>
      </c>
      <c r="CB189" s="20">
        <f t="shared" si="171"/>
        <v>6.88254062580301E-12</v>
      </c>
      <c r="CC189" s="59">
        <f t="shared" si="119"/>
        <v>293.33333333334019</v>
      </c>
      <c r="CD189" s="59">
        <f ca="1">AVERAGE(OFFSET($CC$3,0,0,'Données projet'!$E$12+1,1))-AVERAGE(OFFSET($H$3,0,0,'Données projet'!$E$12+1,1))</f>
        <v>502.65044103360322</v>
      </c>
      <c r="CE189" s="59">
        <f t="shared" si="148"/>
        <v>321.65762891855167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44.332598315804134</v>
      </c>
      <c r="CL189" s="21">
        <f>EXP(-LN(2)/25)*CL188+(1-EXP(-LN(2)/25))/(LN(2)/25)*Calculateur!CG189*Calculateur!CI189*VLOOKUP('Données projet'!$B$12,Paramètres!$A$1:$I$89,3,0)*0.475*44/12</f>
        <v>5.9284256904897887</v>
      </c>
      <c r="CM189" s="21">
        <f>EXP(-LN(2)/2)*CM188+(1-EXP(-LN(2)/2))/(LN(2)/2)*CG189*CJ189*VLOOKUP('Données projet'!$B$12,Paramètres!$A$1:$I$89,3,0)*0.475*44/12</f>
        <v>3.0177271891048091E-8</v>
      </c>
      <c r="CN189" s="22">
        <f t="shared" si="172"/>
        <v>50.261024036471191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239.26156489359892</v>
      </c>
      <c r="T190" s="59">
        <f t="shared" si="142"/>
        <v>213.97034450798111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1.5838193046121385</v>
      </c>
      <c r="AA190" s="21">
        <f>EXP(-LN(2)/25)*AA189+(1-EXP(-LN(2)/25))/(LN(2)/25)*Calculateur!V190*Calculateur!X190*VLOOKUP('Données projet'!$B$9,Paramètres!$A$1:$I$89,3,0)*0.475*44/12</f>
        <v>4.3376298575241767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5.921449162136315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5.4001247917767614E-13</v>
      </c>
      <c r="AJ190" s="13">
        <f>AI190*VLOOKUP('Données projet'!$B$10,Paramètres!$A$1:$I$89,3,0)*VLOOKUP('Données projet'!$B$10,Paramètres!$A$1:$I$89,5,0)</f>
        <v>5.4757265388616366E-13</v>
      </c>
      <c r="AK190" s="13">
        <f t="shared" si="164"/>
        <v>6.7489963942904795E-12</v>
      </c>
      <c r="AL190" s="20">
        <f t="shared" si="165"/>
        <v>1.2708191092240986E-11</v>
      </c>
      <c r="AM190" s="59">
        <f t="shared" si="113"/>
        <v>293.33333333334605</v>
      </c>
      <c r="AN190" s="59">
        <f ca="1">AVERAGE(OFFSET($AM$3,0,0,'Données projet'!$E$10+1,1))-AVERAGE(OFFSET($H$3,0,0,'Données projet'!$E$10+1,1))</f>
        <v>543.88440431478944</v>
      </c>
      <c r="AO190" s="59">
        <f t="shared" si="144"/>
        <v>342.63929463709457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75.267316822465617</v>
      </c>
      <c r="AV190" s="21">
        <f>EXP(-LN(2)/25)*AV189+(1-EXP(-LN(2)/25))/(LN(2)/25)*Calculateur!AQ190*Calculateur!AS190*VLOOKUP('Données projet'!$B$10,Paramètres!$A$1:$I$89,3,0)*0.475*44/12</f>
        <v>10.854585108929379</v>
      </c>
      <c r="AW190" s="21">
        <f>EXP(-LN(2)/2)*AW189+(1-EXP(-LN(2)/2))/(LN(2)/2)*AQ190*AT190*VLOOKUP('Données projet'!$B$10,Paramètres!$A$1:$I$89,3,0)*0.475*44/12</f>
        <v>9.3567684601495479E-4</v>
      </c>
      <c r="AX190" s="21">
        <f t="shared" si="166"/>
        <v>86.122837608241014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3.0825000000000031</v>
      </c>
      <c r="BD190" s="12">
        <f>IF('Données projet'!$A$88&gt;35,BD189+BC190-BL189,IF(A190&lt;'Données projet'!$A$88,$BA$205^A190,IF(A190='Données projet'!$A$88,'Données projet'!$B$88,BD189+BC190-BL189)))</f>
        <v>208.18749999999972</v>
      </c>
      <c r="BE190" s="13">
        <f>BD190*VLOOKUP('Données projet'!$B$11,Paramètres!$A$1:$I$89,3,0)*VLOOKUP('Données projet'!$B$11,Paramètres!$A$1:$I$89,5,0)</f>
        <v>237.08392499999965</v>
      </c>
      <c r="BF190" s="13">
        <f t="shared" si="167"/>
        <v>57.81167705130656</v>
      </c>
      <c r="BG190" s="20">
        <f t="shared" si="168"/>
        <v>513.60984023935839</v>
      </c>
      <c r="BH190" s="59">
        <f t="shared" si="116"/>
        <v>806.94317357269165</v>
      </c>
      <c r="BI190" s="59">
        <f ca="1">AVERAGE(OFFSET($BH$3,0,0,'Données projet'!$E$11+1,1))-AVERAGE(OFFSET($H$3,0,0,'Données projet'!$E$11+1,1))</f>
        <v>593.28343396240075</v>
      </c>
      <c r="BJ190" s="59">
        <f t="shared" si="146"/>
        <v>289.66477662068695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106.01725991750921</v>
      </c>
      <c r="BQ190" s="21">
        <f>EXP(-LN(2)/25)*BQ189+(1-EXP(-LN(2)/25))/(LN(2)/25)*Calculateur!BL190*Calculateur!BN190*VLOOKUP('Données projet'!$B$11,Paramètres!$A$1:$I$89,3,0)*0.475*44/12</f>
        <v>41.052574491838101</v>
      </c>
      <c r="BR190" s="21">
        <f>EXP(-LN(2)/2)*BR189+(1-EXP(-LN(2)/2))/(LN(2)/2)*BL190*BO190*VLOOKUP('Données projet'!$B$11,Paramètres!$A$1:$I$89,3,0)*0.475*44/12</f>
        <v>2.2365728323864503E-6</v>
      </c>
      <c r="BS190" s="22">
        <f t="shared" si="169"/>
        <v>147.06983664592016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2.5579538487363607E-13</v>
      </c>
      <c r="BZ190" s="13">
        <f>BY190*VLOOKUP('Données projet'!$B$12,Paramètres!$A$1:$I$89,3,0)*VLOOKUP('Données projet'!$B$12,Paramètres!$A$1:$I$89,5,0)</f>
        <v>2.7533815227798186E-13</v>
      </c>
      <c r="CA190" s="13">
        <f t="shared" si="170"/>
        <v>3.6763598146902537E-12</v>
      </c>
      <c r="CB190" s="20">
        <f t="shared" si="171"/>
        <v>6.88254062580301E-12</v>
      </c>
      <c r="CC190" s="59">
        <f t="shared" si="119"/>
        <v>293.33333333334019</v>
      </c>
      <c r="CD190" s="59">
        <f ca="1">AVERAGE(OFFSET($CC$3,0,0,'Données projet'!$E$12+1,1))-AVERAGE(OFFSET($H$3,0,0,'Données projet'!$E$12+1,1))</f>
        <v>502.65044103360322</v>
      </c>
      <c r="CE190" s="59">
        <f t="shared" si="148"/>
        <v>321.65762891855167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43.463263103046188</v>
      </c>
      <c r="CL190" s="21">
        <f>EXP(-LN(2)/25)*CL189+(1-EXP(-LN(2)/25))/(LN(2)/25)*Calculateur!CG190*Calculateur!CI190*VLOOKUP('Données projet'!$B$12,Paramètres!$A$1:$I$89,3,0)*0.475*44/12</f>
        <v>5.7663125782209876</v>
      </c>
      <c r="CM190" s="21">
        <f>EXP(-LN(2)/2)*CM189+(1-EXP(-LN(2)/2))/(LN(2)/2)*CG190*CJ190*VLOOKUP('Données projet'!$B$12,Paramètres!$A$1:$I$89,3,0)*0.475*44/12</f>
        <v>2.1338553591870294E-8</v>
      </c>
      <c r="CN190" s="22">
        <f t="shared" si="172"/>
        <v>49.229575702605729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239.26156489359892</v>
      </c>
      <c r="T191" s="59">
        <f t="shared" si="142"/>
        <v>213.97034450798111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1.5527615740830822</v>
      </c>
      <c r="AA191" s="21">
        <f>EXP(-LN(2)/25)*AA190+(1-EXP(-LN(2)/25))/(LN(2)/25)*Calculateur!V191*Calculateur!X191*VLOOKUP('Données projet'!$B$9,Paramètres!$A$1:$I$89,3,0)*0.475*44/12</f>
        <v>4.2190171409641373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5.7717787150472191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5.4001247917767614E-13</v>
      </c>
      <c r="AJ191" s="13">
        <f>AI191*VLOOKUP('Données projet'!$B$10,Paramètres!$A$1:$I$89,3,0)*VLOOKUP('Données projet'!$B$10,Paramètres!$A$1:$I$89,5,0)</f>
        <v>5.4757265388616366E-13</v>
      </c>
      <c r="AK191" s="13">
        <f t="shared" si="164"/>
        <v>6.7489963942904795E-12</v>
      </c>
      <c r="AL191" s="20">
        <f t="shared" si="165"/>
        <v>1.2708191092240986E-11</v>
      </c>
      <c r="AM191" s="59">
        <f t="shared" si="113"/>
        <v>293.33333333334605</v>
      </c>
      <c r="AN191" s="59">
        <f ca="1">AVERAGE(OFFSET($AM$3,0,0,'Données projet'!$E$10+1,1))-AVERAGE(OFFSET($H$3,0,0,'Données projet'!$E$10+1,1))</f>
        <v>543.88440431478944</v>
      </c>
      <c r="AO191" s="59">
        <f t="shared" si="144"/>
        <v>342.63929463709457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73.791370648107232</v>
      </c>
      <c r="AV191" s="21">
        <f>EXP(-LN(2)/25)*AV190+(1-EXP(-LN(2)/25))/(LN(2)/25)*Calculateur!AQ191*Calculateur!AS191*VLOOKUP('Données projet'!$B$10,Paramètres!$A$1:$I$89,3,0)*0.475*44/12</f>
        <v>10.557765908307884</v>
      </c>
      <c r="AW191" s="21">
        <f>EXP(-LN(2)/2)*AW190+(1-EXP(-LN(2)/2))/(LN(2)/2)*AQ191*AT191*VLOOKUP('Données projet'!$B$10,Paramètres!$A$1:$I$89,3,0)*0.475*44/12</f>
        <v>6.6162344281641555E-4</v>
      </c>
      <c r="AX191" s="21">
        <f t="shared" si="166"/>
        <v>84.349798179857927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>
        <f>VLOOKUP(A191,'Données projet'!$A$87:$I$107,2,0)</f>
        <v>211.27</v>
      </c>
      <c r="BB191" s="12">
        <f>VLOOKUP(A191,'Données projet'!$A$87:$I$107,9,0)</f>
        <v>3.0825000000000031</v>
      </c>
      <c r="BC191" s="12">
        <f t="array" ref="BC191">INDEX(BB:BB,MIN(IF(ISNUMBER(BB191:BB387),ROW(BB191:BB387),"")))</f>
        <v>3.0825000000000031</v>
      </c>
      <c r="BD191" s="12">
        <f>IF('Données projet'!$A$88&gt;35,BD190+BC191-BL190,IF(A191&lt;'Données projet'!$A$88,$BA$205^A191,IF(A191='Données projet'!$A$88,'Données projet'!$B$88,BD190+BC191-BL190)))</f>
        <v>211.26999999999973</v>
      </c>
      <c r="BE191" s="13">
        <f>BD191*VLOOKUP('Données projet'!$B$11,Paramètres!$A$1:$I$89,3,0)*VLOOKUP('Données projet'!$B$11,Paramètres!$A$1:$I$89,5,0)</f>
        <v>240.5942759999997</v>
      </c>
      <c r="BF191" s="13">
        <f t="shared" si="167"/>
        <v>58.56737344917299</v>
      </c>
      <c r="BG191" s="20">
        <f t="shared" si="168"/>
        <v>521.03987279064233</v>
      </c>
      <c r="BH191" s="59">
        <f t="shared" si="116"/>
        <v>814.37320612397571</v>
      </c>
      <c r="BI191" s="59">
        <f ca="1">AVERAGE(OFFSET($BH$3,0,0,'Données projet'!$E$11+1,1))-AVERAGE(OFFSET($H$3,0,0,'Données projet'!$E$11+1,1))</f>
        <v>593.28343396240075</v>
      </c>
      <c r="BJ191" s="59">
        <f t="shared" si="146"/>
        <v>289.66477662068695</v>
      </c>
      <c r="BK191" s="15">
        <f>IF(ISNA(VLOOKUP(A191,'Données projet'!$A$87:$I$107,3,0)),0,VLOOKUP(A191,'Données projet'!$A$87:$I$107,3,0))</f>
        <v>15</v>
      </c>
      <c r="BL191" s="15">
        <f>IF(ISNA(VLOOKUP(A191,'Données projet'!$A$87:$I$107,4,0)),0,VLOOKUP(A191,'Données projet'!$A$87:$I$107,4,0))</f>
        <v>72.180000000000007</v>
      </c>
      <c r="BM191" s="16">
        <f>IF(ISNA(VLOOKUP(A191,'Données projet'!$A$87:$I$107,5,0)),0%,VLOOKUP(A191,'Données projet'!$A$87:$I$107,5,0)*VLOOKUP('Données projet'!$B$11,Paramètres!$A$1:$I$89,7,0))</f>
        <v>0.215</v>
      </c>
      <c r="BN191" s="16">
        <f>IF(ISNA(VLOOKUP(A191,'Données projet'!$A$87:$I$107,6,0)),0%,VLOOKUP(A191,'Données projet'!$A$87:$I$107,6,0)*VLOOKUP('Données projet'!$B$11,Paramètres!$A$1:$I$89,7,0))</f>
        <v>8.6000000000000007E-2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123.47496758275383</v>
      </c>
      <c r="BQ191" s="21">
        <f>EXP(-LN(2)/25)*BQ190+(1-EXP(-LN(2)/25))/(LN(2)/25)*Calculateur!BL191*Calculateur!BN191*VLOOKUP('Données projet'!$B$11,Paramètres!$A$1:$I$89,3,0)*0.475*44/12</f>
        <v>47.713876990129577</v>
      </c>
      <c r="BR191" s="21">
        <f>EXP(-LN(2)/2)*BR190+(1-EXP(-LN(2)/2))/(LN(2)/2)*BL191*BO191*VLOOKUP('Données projet'!$B$11,Paramètres!$A$1:$I$89,3,0)*0.475*44/12</f>
        <v>1.5814958163980626E-6</v>
      </c>
      <c r="BS191" s="22">
        <f t="shared" si="169"/>
        <v>171.18884615437921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2.5579538487363607E-13</v>
      </c>
      <c r="BZ191" s="13">
        <f>BY191*VLOOKUP('Données projet'!$B$12,Paramètres!$A$1:$I$89,3,0)*VLOOKUP('Données projet'!$B$12,Paramètres!$A$1:$I$89,5,0)</f>
        <v>2.7533815227798186E-13</v>
      </c>
      <c r="CA191" s="13">
        <f t="shared" si="170"/>
        <v>3.6763598146902537E-12</v>
      </c>
      <c r="CB191" s="20">
        <f t="shared" si="171"/>
        <v>6.88254062580301E-12</v>
      </c>
      <c r="CC191" s="59">
        <f t="shared" si="119"/>
        <v>293.33333333334019</v>
      </c>
      <c r="CD191" s="59">
        <f ca="1">AVERAGE(OFFSET($CC$3,0,0,'Données projet'!$E$12+1,1))-AVERAGE(OFFSET($H$3,0,0,'Données projet'!$E$12+1,1))</f>
        <v>502.65044103360322</v>
      </c>
      <c r="CE191" s="59">
        <f t="shared" si="148"/>
        <v>321.65762891855167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42.610975023568301</v>
      </c>
      <c r="CL191" s="21">
        <f>EXP(-LN(2)/25)*CL190+(1-EXP(-LN(2)/25))/(LN(2)/25)*Calculateur!CG191*Calculateur!CI191*VLOOKUP('Données projet'!$B$12,Paramètres!$A$1:$I$89,3,0)*0.475*44/12</f>
        <v>5.6086324575323356</v>
      </c>
      <c r="CM191" s="21">
        <f>EXP(-LN(2)/2)*CM190+(1-EXP(-LN(2)/2))/(LN(2)/2)*CG191*CJ191*VLOOKUP('Données projet'!$B$12,Paramètres!$A$1:$I$89,3,0)*0.475*44/12</f>
        <v>1.5088635945524046E-8</v>
      </c>
      <c r="CN191" s="22">
        <f t="shared" si="172"/>
        <v>48.219607496189276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239.26156489359892</v>
      </c>
      <c r="T192" s="59">
        <f t="shared" si="142"/>
        <v>213.97034450798111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1.5223128667063557</v>
      </c>
      <c r="AA192" s="21">
        <f>EXP(-LN(2)/25)*AA191+(1-EXP(-LN(2)/25))/(LN(2)/25)*Calculateur!V192*Calculateur!X192*VLOOKUP('Données projet'!$B$9,Paramètres!$A$1:$I$89,3,0)*0.475*44/12</f>
        <v>4.1036478953760041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5.62596076208236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5.4001247917767614E-13</v>
      </c>
      <c r="AJ192" s="13">
        <f>AI192*VLOOKUP('Données projet'!$B$10,Paramètres!$A$1:$I$89,3,0)*VLOOKUP('Données projet'!$B$10,Paramètres!$A$1:$I$89,5,0)</f>
        <v>5.4757265388616366E-13</v>
      </c>
      <c r="AK192" s="13">
        <f t="shared" si="164"/>
        <v>6.7489963942904795E-12</v>
      </c>
      <c r="AL192" s="20">
        <f t="shared" si="165"/>
        <v>1.2708191092240986E-11</v>
      </c>
      <c r="AM192" s="59">
        <f t="shared" si="113"/>
        <v>293.33333333334605</v>
      </c>
      <c r="AN192" s="59">
        <f ca="1">AVERAGE(OFFSET($AM$3,0,0,'Données projet'!$E$10+1,1))-AVERAGE(OFFSET($H$3,0,0,'Données projet'!$E$10+1,1))</f>
        <v>543.88440431478944</v>
      </c>
      <c r="AO192" s="59">
        <f t="shared" si="144"/>
        <v>342.63929463709457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72.344366877989742</v>
      </c>
      <c r="AV192" s="21">
        <f>EXP(-LN(2)/25)*AV191+(1-EXP(-LN(2)/25))/(LN(2)/25)*Calculateur!AQ192*Calculateur!AS192*VLOOKUP('Données projet'!$B$10,Paramètres!$A$1:$I$89,3,0)*0.475*44/12</f>
        <v>10.269063244336426</v>
      </c>
      <c r="AW192" s="21">
        <f>EXP(-LN(2)/2)*AW191+(1-EXP(-LN(2)/2))/(LN(2)/2)*AQ192*AT192*VLOOKUP('Données projet'!$B$10,Paramètres!$A$1:$I$89,3,0)*0.475*44/12</f>
        <v>4.678384230074774E-4</v>
      </c>
      <c r="AX192" s="21">
        <f t="shared" si="166"/>
        <v>82.613897960749171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1.9733333333333292</v>
      </c>
      <c r="BD192" s="12">
        <f>IF('Données projet'!$A$88&gt;35,BD191+BC192-BL191,IF(A192&lt;'Données projet'!$A$88,$BA$205^A192,IF(A192='Données projet'!$A$88,'Données projet'!$B$88,BD191+BC192-BL191)))</f>
        <v>141.06333333333305</v>
      </c>
      <c r="BE192" s="13">
        <f>BD192*VLOOKUP('Données projet'!$B$11,Paramètres!$A$1:$I$89,3,0)*VLOOKUP('Données projet'!$B$11,Paramètres!$A$1:$I$89,5,0)</f>
        <v>160.64292399999968</v>
      </c>
      <c r="BF192" s="13">
        <f t="shared" si="167"/>
        <v>40.987494846781502</v>
      </c>
      <c r="BG192" s="20">
        <f t="shared" si="168"/>
        <v>351.17297949147724</v>
      </c>
      <c r="BH192" s="59">
        <f t="shared" si="116"/>
        <v>644.50631282481049</v>
      </c>
      <c r="BI192" s="59">
        <f ca="1">AVERAGE(OFFSET($BH$3,0,0,'Données projet'!$E$11+1,1))-AVERAGE(OFFSET($H$3,0,0,'Données projet'!$E$11+1,1))</f>
        <v>593.28343396240075</v>
      </c>
      <c r="BJ192" s="59">
        <f t="shared" si="146"/>
        <v>289.66477662068695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121.05369878074978</v>
      </c>
      <c r="BQ192" s="21">
        <f>EXP(-LN(2)/25)*BQ191+(1-EXP(-LN(2)/25))/(LN(2)/25)*Calculateur!BL192*Calculateur!BN192*VLOOKUP('Données projet'!$B$11,Paramètres!$A$1:$I$89,3,0)*0.475*44/12</f>
        <v>46.409138514670744</v>
      </c>
      <c r="BR192" s="21">
        <f>EXP(-LN(2)/2)*BR191+(1-EXP(-LN(2)/2))/(LN(2)/2)*BL192*BO192*VLOOKUP('Données projet'!$B$11,Paramètres!$A$1:$I$89,3,0)*0.475*44/12</f>
        <v>1.1182864161932252E-6</v>
      </c>
      <c r="BS192" s="22">
        <f t="shared" si="169"/>
        <v>167.46283841370692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2.5579538487363607E-13</v>
      </c>
      <c r="BZ192" s="13">
        <f>BY192*VLOOKUP('Données projet'!$B$12,Paramètres!$A$1:$I$89,3,0)*VLOOKUP('Données projet'!$B$12,Paramètres!$A$1:$I$89,5,0)</f>
        <v>2.7533815227798186E-13</v>
      </c>
      <c r="CA192" s="13">
        <f t="shared" si="170"/>
        <v>3.6763598146902537E-12</v>
      </c>
      <c r="CB192" s="20">
        <f t="shared" si="171"/>
        <v>6.88254062580301E-12</v>
      </c>
      <c r="CC192" s="59">
        <f t="shared" si="119"/>
        <v>293.33333333334019</v>
      </c>
      <c r="CD192" s="59">
        <f ca="1">AVERAGE(OFFSET($CC$3,0,0,'Données projet'!$E$12+1,1))-AVERAGE(OFFSET($H$3,0,0,'Données projet'!$E$12+1,1))</f>
        <v>502.65044103360322</v>
      </c>
      <c r="CE192" s="59">
        <f t="shared" si="148"/>
        <v>321.65762891855167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41.775399793484581</v>
      </c>
      <c r="CL192" s="21">
        <f>EXP(-LN(2)/25)*CL191+(1-EXP(-LN(2)/25))/(LN(2)/25)*Calculateur!CG192*Calculateur!CI192*VLOOKUP('Données projet'!$B$12,Paramètres!$A$1:$I$89,3,0)*0.475*44/12</f>
        <v>5.4552641080359514</v>
      </c>
      <c r="CM192" s="21">
        <f>EXP(-LN(2)/2)*CM191+(1-EXP(-LN(2)/2))/(LN(2)/2)*CG192*CJ192*VLOOKUP('Données projet'!$B$12,Paramètres!$A$1:$I$89,3,0)*0.475*44/12</f>
        <v>1.0669276795935147E-8</v>
      </c>
      <c r="CN192" s="22">
        <f t="shared" si="172"/>
        <v>47.230663912189804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239.26156489359892</v>
      </c>
      <c r="T193" s="59">
        <f t="shared" si="142"/>
        <v>213.97034450798111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1.492461239909409</v>
      </c>
      <c r="AA193" s="21">
        <f>EXP(-LN(2)/25)*AA192+(1-EXP(-LN(2)/25))/(LN(2)/25)*Calculateur!V193*Calculateur!X193*VLOOKUP('Données projet'!$B$9,Paramètres!$A$1:$I$89,3,0)*0.475*44/12</f>
        <v>3.9914334278754833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5.4838946677848925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5.4001247917767614E-13</v>
      </c>
      <c r="AJ193" s="13">
        <f>AI193*VLOOKUP('Données projet'!$B$10,Paramètres!$A$1:$I$89,3,0)*VLOOKUP('Données projet'!$B$10,Paramètres!$A$1:$I$89,5,0)</f>
        <v>5.4757265388616366E-13</v>
      </c>
      <c r="AK193" s="13">
        <f t="shared" si="164"/>
        <v>6.7489963942904795E-12</v>
      </c>
      <c r="AL193" s="20">
        <f t="shared" si="165"/>
        <v>1.2708191092240986E-11</v>
      </c>
      <c r="AM193" s="59">
        <f t="shared" si="113"/>
        <v>293.33333333334605</v>
      </c>
      <c r="AN193" s="59">
        <f ca="1">AVERAGE(OFFSET($AM$3,0,0,'Données projet'!$E$10+1,1))-AVERAGE(OFFSET($H$3,0,0,'Données projet'!$E$10+1,1))</f>
        <v>543.88440431478944</v>
      </c>
      <c r="AO193" s="59">
        <f t="shared" si="144"/>
        <v>342.63929463709457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70.925737969219114</v>
      </c>
      <c r="AV193" s="21">
        <f>EXP(-LN(2)/25)*AV192+(1-EXP(-LN(2)/25))/(LN(2)/25)*Calculateur!AQ193*Calculateur!AS193*VLOOKUP('Données projet'!$B$10,Paramètres!$A$1:$I$89,3,0)*0.475*44/12</f>
        <v>9.9882551698934812</v>
      </c>
      <c r="AW193" s="21">
        <f>EXP(-LN(2)/2)*AW192+(1-EXP(-LN(2)/2))/(LN(2)/2)*AQ193*AT193*VLOOKUP('Données projet'!$B$10,Paramètres!$A$1:$I$89,3,0)*0.475*44/12</f>
        <v>3.3081172140820778E-4</v>
      </c>
      <c r="AX193" s="21">
        <f t="shared" si="166"/>
        <v>80.914323950834003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1.9733333333333292</v>
      </c>
      <c r="BD193" s="12">
        <f>IF('Données projet'!$A$88&gt;35,BD192+BC193-BL192,IF(A193&lt;'Données projet'!$A$88,$BA$205^A193,IF(A193='Données projet'!$A$88,'Données projet'!$B$88,BD192+BC193-BL192)))</f>
        <v>143.03666666666638</v>
      </c>
      <c r="BE193" s="13">
        <f>BD193*VLOOKUP('Données projet'!$B$11,Paramètres!$A$1:$I$89,3,0)*VLOOKUP('Données projet'!$B$11,Paramètres!$A$1:$I$89,5,0)</f>
        <v>162.89015599999965</v>
      </c>
      <c r="BF193" s="13">
        <f t="shared" si="167"/>
        <v>41.493717402498838</v>
      </c>
      <c r="BG193" s="20">
        <f t="shared" si="168"/>
        <v>355.96857950935151</v>
      </c>
      <c r="BH193" s="59">
        <f t="shared" si="116"/>
        <v>649.30191284268483</v>
      </c>
      <c r="BI193" s="59">
        <f ca="1">AVERAGE(OFFSET($BH$3,0,0,'Données projet'!$E$11+1,1))-AVERAGE(OFFSET($H$3,0,0,'Données projet'!$E$11+1,1))</f>
        <v>593.28343396240075</v>
      </c>
      <c r="BJ193" s="59">
        <f t="shared" si="146"/>
        <v>289.66477662068695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118.6799095831249</v>
      </c>
      <c r="BQ193" s="21">
        <f>EXP(-LN(2)/25)*BQ192+(1-EXP(-LN(2)/25))/(LN(2)/25)*Calculateur!BL193*Calculateur!BN193*VLOOKUP('Données projet'!$B$11,Paramètres!$A$1:$I$89,3,0)*0.475*44/12</f>
        <v>45.14007818143655</v>
      </c>
      <c r="BR193" s="21">
        <f>EXP(-LN(2)/2)*BR192+(1-EXP(-LN(2)/2))/(LN(2)/2)*BL193*BO193*VLOOKUP('Données projet'!$B$11,Paramètres!$A$1:$I$89,3,0)*0.475*44/12</f>
        <v>7.9074790819903129E-7</v>
      </c>
      <c r="BS193" s="22">
        <f t="shared" si="169"/>
        <v>163.81998855530938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2.5579538487363607E-13</v>
      </c>
      <c r="BZ193" s="13">
        <f>BY193*VLOOKUP('Données projet'!$B$12,Paramètres!$A$1:$I$89,3,0)*VLOOKUP('Données projet'!$B$12,Paramètres!$A$1:$I$89,5,0)</f>
        <v>2.7533815227798186E-13</v>
      </c>
      <c r="CA193" s="13">
        <f t="shared" si="170"/>
        <v>3.6763598146902537E-12</v>
      </c>
      <c r="CB193" s="20">
        <f t="shared" si="171"/>
        <v>6.88254062580301E-12</v>
      </c>
      <c r="CC193" s="59">
        <f t="shared" si="119"/>
        <v>293.33333333334019</v>
      </c>
      <c r="CD193" s="59">
        <f ca="1">AVERAGE(OFFSET($CC$3,0,0,'Données projet'!$E$12+1,1))-AVERAGE(OFFSET($H$3,0,0,'Données projet'!$E$12+1,1))</f>
        <v>502.65044103360322</v>
      </c>
      <c r="CE193" s="59">
        <f t="shared" si="148"/>
        <v>321.65762891855167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40.956209684012236</v>
      </c>
      <c r="CL193" s="21">
        <f>EXP(-LN(2)/25)*CL192+(1-EXP(-LN(2)/25))/(LN(2)/25)*Calculateur!CG193*Calculateur!CI193*VLOOKUP('Données projet'!$B$12,Paramètres!$A$1:$I$89,3,0)*0.475*44/12</f>
        <v>5.3060896241218369</v>
      </c>
      <c r="CM193" s="21">
        <f>EXP(-LN(2)/2)*CM192+(1-EXP(-LN(2)/2))/(LN(2)/2)*CG193*CJ193*VLOOKUP('Données projet'!$B$12,Paramètres!$A$1:$I$89,3,0)*0.475*44/12</f>
        <v>7.5443179727620228E-9</v>
      </c>
      <c r="CN193" s="22">
        <f t="shared" si="172"/>
        <v>46.262299315678391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239.26156489359892</v>
      </c>
      <c r="T194" s="59">
        <f t="shared" si="142"/>
        <v>213.97034450798111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1.463194985306256</v>
      </c>
      <c r="AA194" s="21">
        <f>EXP(-LN(2)/25)*AA193+(1-EXP(-LN(2)/25))/(LN(2)/25)*Calculateur!V194*Calculateur!X194*VLOOKUP('Données projet'!$B$9,Paramètres!$A$1:$I$89,3,0)*0.475*44/12</f>
        <v>3.8822874708898669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5.3454824561961232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5.4001247917767614E-13</v>
      </c>
      <c r="AJ194" s="13">
        <f>AI194*VLOOKUP('Données projet'!$B$10,Paramètres!$A$1:$I$89,3,0)*VLOOKUP('Données projet'!$B$10,Paramètres!$A$1:$I$89,5,0)</f>
        <v>5.4757265388616366E-13</v>
      </c>
      <c r="AK194" s="13">
        <f t="shared" si="164"/>
        <v>6.7489963942904795E-12</v>
      </c>
      <c r="AL194" s="20">
        <f t="shared" si="165"/>
        <v>1.2708191092240986E-11</v>
      </c>
      <c r="AM194" s="59">
        <f t="shared" si="113"/>
        <v>293.33333333334605</v>
      </c>
      <c r="AN194" s="59">
        <f ca="1">AVERAGE(OFFSET($AM$3,0,0,'Données projet'!$E$10+1,1))-AVERAGE(OFFSET($H$3,0,0,'Données projet'!$E$10+1,1))</f>
        <v>543.88440431478944</v>
      </c>
      <c r="AO194" s="59">
        <f t="shared" si="144"/>
        <v>342.63929463709457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69.534927508071277</v>
      </c>
      <c r="AV194" s="21">
        <f>EXP(-LN(2)/25)*AV193+(1-EXP(-LN(2)/25))/(LN(2)/25)*Calculateur!AQ194*Calculateur!AS194*VLOOKUP('Données projet'!$B$10,Paramètres!$A$1:$I$89,3,0)*0.475*44/12</f>
        <v>9.7151258070132336</v>
      </c>
      <c r="AW194" s="21">
        <f>EXP(-LN(2)/2)*AW193+(1-EXP(-LN(2)/2))/(LN(2)/2)*AQ194*AT194*VLOOKUP('Données projet'!$B$10,Paramètres!$A$1:$I$89,3,0)*0.475*44/12</f>
        <v>2.339192115037387E-4</v>
      </c>
      <c r="AX194" s="21">
        <f t="shared" si="166"/>
        <v>79.250287234296025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>
        <f>VLOOKUP(A194,'Données projet'!$A$87:$I$107,2,0)</f>
        <v>145.01</v>
      </c>
      <c r="BB194" s="12">
        <f>VLOOKUP(A194,'Données projet'!$A$87:$I$107,9,0)</f>
        <v>1.9733333333333292</v>
      </c>
      <c r="BC194" s="12">
        <f t="array" ref="BC194">INDEX(BB:BB,MIN(IF(ISNUMBER(BB194:BB390),ROW(BB194:BB390),"")))</f>
        <v>1.9733333333333292</v>
      </c>
      <c r="BD194" s="12">
        <f>IF('Données projet'!$A$88&gt;35,BD193+BC194-BL193,IF(A194&lt;'Données projet'!$A$88,$BA$205^A194,IF(A194='Données projet'!$A$88,'Données projet'!$B$88,BD193+BC194-BL193)))</f>
        <v>145.00999999999971</v>
      </c>
      <c r="BE194" s="13">
        <f>BD194*VLOOKUP('Données projet'!$B$11,Paramètres!$A$1:$I$89,3,0)*VLOOKUP('Données projet'!$B$11,Paramètres!$A$1:$I$89,5,0)</f>
        <v>165.13738799999967</v>
      </c>
      <c r="BF194" s="13">
        <f t="shared" si="167"/>
        <v>41.999127663831423</v>
      </c>
      <c r="BG194" s="20">
        <f t="shared" si="168"/>
        <v>360.76276478117251</v>
      </c>
      <c r="BH194" s="59">
        <f t="shared" si="116"/>
        <v>654.09609811450582</v>
      </c>
      <c r="BI194" s="59">
        <f ca="1">AVERAGE(OFFSET($BH$3,0,0,'Données projet'!$E$11+1,1))-AVERAGE(OFFSET($H$3,0,0,'Données projet'!$E$11+1,1))</f>
        <v>593.28343396240075</v>
      </c>
      <c r="BJ194" s="59">
        <f t="shared" si="146"/>
        <v>289.66477662068695</v>
      </c>
      <c r="BK194" s="15">
        <f>IF(ISNA(VLOOKUP(A194,'Données projet'!$A$87:$I$107,3,0)),0,VLOOKUP(A194,'Données projet'!$A$87:$I$107,3,0))</f>
        <v>16</v>
      </c>
      <c r="BL194" s="15">
        <f>IF(ISNA(VLOOKUP(A194,'Données projet'!$A$87:$I$107,4,0)),0,VLOOKUP(A194,'Données projet'!$A$87:$I$107,4,0))</f>
        <v>145.01</v>
      </c>
      <c r="BM194" s="16">
        <f>IF(ISNA(VLOOKUP(A194,'Données projet'!$A$87:$I$107,5,0)),0%,VLOOKUP(A194,'Données projet'!$A$87:$I$107,5,0)*VLOOKUP('Données projet'!$B$11,Paramètres!$A$1:$I$89,7,0))</f>
        <v>0.19350000000000001</v>
      </c>
      <c r="BN194" s="16">
        <f>IF(ISNA(VLOOKUP(A194,'Données projet'!$A$87:$I$107,6,0)),0%,VLOOKUP(A194,'Données projet'!$A$87:$I$107,6,0)*VLOOKUP('Données projet'!$B$11,Paramètres!$A$1:$I$89,7,0))</f>
        <v>2.1500000000000002E-2</v>
      </c>
      <c r="BO194" s="16">
        <f>IF(ISNA(VLOOKUP(A194,'Données projet'!$A$87:$I$107,7,0)),0%,VLOOKUP(A194,'Données projet'!$A$87:$I$107,7,0))</f>
        <v>0.05</v>
      </c>
      <c r="BP194" s="21">
        <f>EXP(-LN(2)/35)*BP193+(1-EXP(-LN(2)/35))/(LN(2)/35)*BL194*BM194*VLOOKUP('Données projet'!$B$11,Paramètres!$A$1:$I$89,3,0)*0.475*44/12</f>
        <v>151.67696294986663</v>
      </c>
      <c r="BQ194" s="21">
        <f>EXP(-LN(2)/25)*BQ193+(1-EXP(-LN(2)/25))/(LN(2)/25)*Calculateur!BL194*Calculateur!BN194*VLOOKUP('Données projet'!$B$11,Paramètres!$A$1:$I$89,3,0)*0.475*44/12</f>
        <v>47.81518801430235</v>
      </c>
      <c r="BR194" s="21">
        <f>EXP(-LN(2)/2)*BR193+(1-EXP(-LN(2)/2))/(LN(2)/2)*BL194*BO194*VLOOKUP('Données projet'!$B$11,Paramètres!$A$1:$I$89,3,0)*0.475*44/12</f>
        <v>7.7905790684248517</v>
      </c>
      <c r="BS194" s="22">
        <f t="shared" si="169"/>
        <v>207.28273003259383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2.5579538487363607E-13</v>
      </c>
      <c r="BZ194" s="13">
        <f>BY194*VLOOKUP('Données projet'!$B$12,Paramètres!$A$1:$I$89,3,0)*VLOOKUP('Données projet'!$B$12,Paramètres!$A$1:$I$89,5,0)</f>
        <v>2.7533815227798186E-13</v>
      </c>
      <c r="CA194" s="13">
        <f t="shared" si="170"/>
        <v>3.6763598146902537E-12</v>
      </c>
      <c r="CB194" s="20">
        <f t="shared" si="171"/>
        <v>6.88254062580301E-12</v>
      </c>
      <c r="CC194" s="59">
        <f t="shared" si="119"/>
        <v>293.33333333334019</v>
      </c>
      <c r="CD194" s="59">
        <f ca="1">AVERAGE(OFFSET($CC$3,0,0,'Données projet'!$E$12+1,1))-AVERAGE(OFFSET($H$3,0,0,'Données projet'!$E$12+1,1))</f>
        <v>502.65044103360322</v>
      </c>
      <c r="CE194" s="59">
        <f t="shared" si="148"/>
        <v>321.65762891855167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40.153083392930014</v>
      </c>
      <c r="CL194" s="21">
        <f>EXP(-LN(2)/25)*CL193+(1-EXP(-LN(2)/25))/(LN(2)/25)*Calculateur!CG194*Calculateur!CI194*VLOOKUP('Données projet'!$B$12,Paramètres!$A$1:$I$89,3,0)*0.475*44/12</f>
        <v>5.1609943243150989</v>
      </c>
      <c r="CM194" s="21">
        <f>EXP(-LN(2)/2)*CM193+(1-EXP(-LN(2)/2))/(LN(2)/2)*CG194*CJ194*VLOOKUP('Données projet'!$B$12,Paramètres!$A$1:$I$89,3,0)*0.475*44/12</f>
        <v>5.3346383979675734E-9</v>
      </c>
      <c r="CN194" s="22">
        <f t="shared" si="172"/>
        <v>45.314077722579754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239.26156489359892</v>
      </c>
      <c r="T195" s="59">
        <f t="shared" si="142"/>
        <v>213.97034450798111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1.4345026241052181</v>
      </c>
      <c r="AA195" s="21">
        <f>EXP(-LN(2)/25)*AA194+(1-EXP(-LN(2)/25))/(LN(2)/25)*Calculateur!V195*Calculateur!X195*VLOOKUP('Données projet'!$B$9,Paramètres!$A$1:$I$89,3,0)*0.475*44/12</f>
        <v>3.7761261158377586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5.2106287399429769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5.4001247917767614E-13</v>
      </c>
      <c r="AJ195" s="13">
        <f>AI195*VLOOKUP('Données projet'!$B$10,Paramètres!$A$1:$I$89,3,0)*VLOOKUP('Données projet'!$B$10,Paramètres!$A$1:$I$89,5,0)</f>
        <v>5.4757265388616366E-13</v>
      </c>
      <c r="AK195" s="13">
        <f t="shared" si="164"/>
        <v>6.7489963942904795E-12</v>
      </c>
      <c r="AL195" s="20">
        <f t="shared" si="165"/>
        <v>1.2708191092240986E-11</v>
      </c>
      <c r="AM195" s="59">
        <f t="shared" si="113"/>
        <v>293.33333333334605</v>
      </c>
      <c r="AN195" s="59">
        <f ca="1">AVERAGE(OFFSET($AM$3,0,0,'Données projet'!$E$10+1,1))-AVERAGE(OFFSET($H$3,0,0,'Données projet'!$E$10+1,1))</f>
        <v>543.88440431478944</v>
      </c>
      <c r="AO195" s="59">
        <f t="shared" si="144"/>
        <v>342.63929463709457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68.17138999175593</v>
      </c>
      <c r="AV195" s="21">
        <f>EXP(-LN(2)/25)*AV194+(1-EXP(-LN(2)/25))/(LN(2)/25)*Calculateur!AQ195*Calculateur!AS195*VLOOKUP('Données projet'!$B$10,Paramètres!$A$1:$I$89,3,0)*0.475*44/12</f>
        <v>9.4494651809241947</v>
      </c>
      <c r="AW195" s="21">
        <f>EXP(-LN(2)/2)*AW194+(1-EXP(-LN(2)/2))/(LN(2)/2)*AQ195*AT195*VLOOKUP('Données projet'!$B$10,Paramètres!$A$1:$I$89,3,0)*0.475*44/12</f>
        <v>1.6540586070410389E-4</v>
      </c>
      <c r="AX195" s="21">
        <f t="shared" si="166"/>
        <v>77.621020578540822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-2.8421709430404007E-13</v>
      </c>
      <c r="BE195" s="13">
        <f>BD195*VLOOKUP('Données projet'!$B$11,Paramètres!$A$1:$I$89,3,0)*VLOOKUP('Données projet'!$B$11,Paramètres!$A$1:$I$89,5,0)</f>
        <v>-3.2366642699344083E-13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593.28343396240075</v>
      </c>
      <c r="BJ195" s="59">
        <f t="shared" si="146"/>
        <v>289.66477662068695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148.70267022023216</v>
      </c>
      <c r="BQ195" s="21">
        <f>EXP(-LN(2)/25)*BQ194+(1-EXP(-LN(2)/25))/(LN(2)/25)*Calculateur!BL195*Calculateur!BN195*VLOOKUP('Données projet'!$B$11,Paramètres!$A$1:$I$89,3,0)*0.475*44/12</f>
        <v>46.507679183559802</v>
      </c>
      <c r="BR195" s="21">
        <f>EXP(-LN(2)/2)*BR194+(1-EXP(-LN(2)/2))/(LN(2)/2)*BL195*BO195*VLOOKUP('Données projet'!$B$11,Paramètres!$A$1:$I$89,3,0)*0.475*44/12</f>
        <v>5.5087712886531897</v>
      </c>
      <c r="BS195" s="22">
        <f t="shared" si="169"/>
        <v>200.71912069244513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2.5579538487363607E-13</v>
      </c>
      <c r="BZ195" s="13">
        <f>BY195*VLOOKUP('Données projet'!$B$12,Paramètres!$A$1:$I$89,3,0)*VLOOKUP('Données projet'!$B$12,Paramètres!$A$1:$I$89,5,0)</f>
        <v>2.7533815227798186E-13</v>
      </c>
      <c r="CA195" s="13">
        <f t="shared" si="170"/>
        <v>3.6763598146902537E-12</v>
      </c>
      <c r="CB195" s="20">
        <f t="shared" si="171"/>
        <v>6.88254062580301E-12</v>
      </c>
      <c r="CC195" s="59">
        <f t="shared" si="119"/>
        <v>293.33333333334019</v>
      </c>
      <c r="CD195" s="59">
        <f ca="1">AVERAGE(OFFSET($CC$3,0,0,'Données projet'!$E$12+1,1))-AVERAGE(OFFSET($H$3,0,0,'Données projet'!$E$12+1,1))</f>
        <v>502.65044103360322</v>
      </c>
      <c r="CE195" s="59">
        <f t="shared" si="148"/>
        <v>321.65762891855167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39.365705918557246</v>
      </c>
      <c r="CL195" s="21">
        <f>EXP(-LN(2)/25)*CL194+(1-EXP(-LN(2)/25))/(LN(2)/25)*Calculateur!CG195*Calculateur!CI195*VLOOKUP('Données projet'!$B$12,Paramètres!$A$1:$I$89,3,0)*0.475*44/12</f>
        <v>5.0198666631118067</v>
      </c>
      <c r="CM195" s="21">
        <f>EXP(-LN(2)/2)*CM194+(1-EXP(-LN(2)/2))/(LN(2)/2)*CG195*CJ195*VLOOKUP('Données projet'!$B$12,Paramètres!$A$1:$I$89,3,0)*0.475*44/12</f>
        <v>3.7721589863810114E-9</v>
      </c>
      <c r="CN195" s="22">
        <f t="shared" si="172"/>
        <v>44.38557258544121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239.26156489359892</v>
      </c>
      <c r="T196" s="59">
        <f t="shared" si="142"/>
        <v>213.97034450798111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1.4063729026067204</v>
      </c>
      <c r="AA196" s="21">
        <f>EXP(-LN(2)/25)*AA195+(1-EXP(-LN(2)/25))/(LN(2)/25)*Calculateur!V196*Calculateur!X196*VLOOKUP('Données projet'!$B$9,Paramètres!$A$1:$I$89,3,0)*0.475*44/12</f>
        <v>3.6728677486223331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5.0792406512290533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5.4001247917767614E-13</v>
      </c>
      <c r="AJ196" s="13">
        <f>AI196*VLOOKUP('Données projet'!$B$10,Paramètres!$A$1:$I$89,3,0)*VLOOKUP('Données projet'!$B$10,Paramètres!$A$1:$I$89,5,0)</f>
        <v>5.4757265388616366E-13</v>
      </c>
      <c r="AK196" s="13">
        <f t="shared" si="164"/>
        <v>6.7489963942904795E-12</v>
      </c>
      <c r="AL196" s="20">
        <f t="shared" si="165"/>
        <v>1.2708191092240986E-11</v>
      </c>
      <c r="AM196" s="59">
        <f t="shared" ref="AM196:AM203" si="193">AL196+(AD196+AE196)*44/12</f>
        <v>293.33333333334605</v>
      </c>
      <c r="AN196" s="59">
        <f ca="1">AVERAGE(OFFSET($AM$3,0,0,'Données projet'!$E$10+1,1))-AVERAGE(OFFSET($H$3,0,0,'Données projet'!$E$10+1,1))</f>
        <v>543.88440431478944</v>
      </c>
      <c r="AO196" s="59">
        <f t="shared" si="144"/>
        <v>342.63929463709457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66.834590614459771</v>
      </c>
      <c r="AV196" s="21">
        <f>EXP(-LN(2)/25)*AV195+(1-EXP(-LN(2)/25))/(LN(2)/25)*Calculateur!AQ196*Calculateur!AS196*VLOOKUP('Données projet'!$B$10,Paramètres!$A$1:$I$89,3,0)*0.475*44/12</f>
        <v>9.1910690586260451</v>
      </c>
      <c r="AW196" s="21">
        <f>EXP(-LN(2)/2)*AW195+(1-EXP(-LN(2)/2))/(LN(2)/2)*AQ196*AT196*VLOOKUP('Données projet'!$B$10,Paramètres!$A$1:$I$89,3,0)*0.475*44/12</f>
        <v>1.1695960575186935E-4</v>
      </c>
      <c r="AX196" s="21">
        <f t="shared" si="166"/>
        <v>76.02577663269156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-2.8421709430404007E-13</v>
      </c>
      <c r="BE196" s="13">
        <f>BD196*VLOOKUP('Données projet'!$B$11,Paramètres!$A$1:$I$89,3,0)*VLOOKUP('Données projet'!$B$11,Paramètres!$A$1:$I$89,5,0)</f>
        <v>-3.2366642699344083E-13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593.28343396240075</v>
      </c>
      <c r="BJ196" s="59">
        <f t="shared" si="146"/>
        <v>289.66477662068695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145.78670155688638</v>
      </c>
      <c r="BQ196" s="21">
        <f>EXP(-LN(2)/25)*BQ195+(1-EXP(-LN(2)/25))/(LN(2)/25)*Calculateur!BL196*Calculateur!BN196*VLOOKUP('Données projet'!$B$11,Paramètres!$A$1:$I$89,3,0)*0.475*44/12</f>
        <v>45.235924250552806</v>
      </c>
      <c r="BR196" s="21">
        <f>EXP(-LN(2)/2)*BR195+(1-EXP(-LN(2)/2))/(LN(2)/2)*BL196*BO196*VLOOKUP('Données projet'!$B$11,Paramètres!$A$1:$I$89,3,0)*0.475*44/12</f>
        <v>3.8952895342124267</v>
      </c>
      <c r="BS196" s="22">
        <f t="shared" si="169"/>
        <v>194.91791534165162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2.5579538487363607E-13</v>
      </c>
      <c r="BZ196" s="13">
        <f>BY196*VLOOKUP('Données projet'!$B$12,Paramètres!$A$1:$I$89,3,0)*VLOOKUP('Données projet'!$B$12,Paramètres!$A$1:$I$89,5,0)</f>
        <v>2.7533815227798186E-13</v>
      </c>
      <c r="CA196" s="13">
        <f t="shared" si="170"/>
        <v>3.6763598146902537E-12</v>
      </c>
      <c r="CB196" s="20">
        <f t="shared" si="171"/>
        <v>6.88254062580301E-12</v>
      </c>
      <c r="CC196" s="59">
        <f t="shared" ref="CC196:CC203" si="195">CB196+(BT196+BU196)*44/12</f>
        <v>293.33333333334019</v>
      </c>
      <c r="CD196" s="59">
        <f ca="1">AVERAGE(OFFSET($CC$3,0,0,'Données projet'!$E$12+1,1))-AVERAGE(OFFSET($H$3,0,0,'Données projet'!$E$12+1,1))</f>
        <v>502.65044103360322</v>
      </c>
      <c r="CE196" s="59">
        <f t="shared" si="148"/>
        <v>321.65762891855167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38.593768436204087</v>
      </c>
      <c r="CL196" s="21">
        <f>EXP(-LN(2)/25)*CL195+(1-EXP(-LN(2)/25))/(LN(2)/25)*Calculateur!CG196*Calculateur!CI196*VLOOKUP('Données projet'!$B$12,Paramètres!$A$1:$I$89,3,0)*0.475*44/12</f>
        <v>4.8825981452256997</v>
      </c>
      <c r="CM196" s="21">
        <f>EXP(-LN(2)/2)*CM195+(1-EXP(-LN(2)/2))/(LN(2)/2)*CG196*CJ196*VLOOKUP('Données projet'!$B$12,Paramètres!$A$1:$I$89,3,0)*0.475*44/12</f>
        <v>2.6673191989837867E-9</v>
      </c>
      <c r="CN196" s="22">
        <f t="shared" si="172"/>
        <v>43.476366584097107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239.26156489359892</v>
      </c>
      <c r="T197" s="59">
        <f t="shared" ref="T197:T203" si="204">$T$3</f>
        <v>213.97034450798111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1.3787947877893723</v>
      </c>
      <c r="AA197" s="21">
        <f>EXP(-LN(2)/25)*AA196+(1-EXP(-LN(2)/25))/(LN(2)/25)*Calculateur!V197*Calculateur!X197*VLOOKUP('Données projet'!$B$9,Paramètres!$A$1:$I$89,3,0)*0.475*44/12</f>
        <v>3.5724329868885349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4.951227774677907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5.4001247917767614E-13</v>
      </c>
      <c r="AJ197" s="13">
        <f>AI197*VLOOKUP('Données projet'!$B$10,Paramètres!$A$1:$I$89,3,0)*VLOOKUP('Données projet'!$B$10,Paramètres!$A$1:$I$89,5,0)</f>
        <v>5.4757265388616366E-13</v>
      </c>
      <c r="AK197" s="13">
        <f t="shared" si="164"/>
        <v>6.7489963942904795E-12</v>
      </c>
      <c r="AL197" s="20">
        <f t="shared" si="165"/>
        <v>1.2708191092240986E-11</v>
      </c>
      <c r="AM197" s="59">
        <f t="shared" si="193"/>
        <v>293.33333333334605</v>
      </c>
      <c r="AN197" s="59">
        <f ca="1">AVERAGE(OFFSET($AM$3,0,0,'Données projet'!$E$10+1,1))-AVERAGE(OFFSET($H$3,0,0,'Données projet'!$E$10+1,1))</f>
        <v>543.88440431478944</v>
      </c>
      <c r="AO197" s="59">
        <f t="shared" ref="AO197:AO203" si="205">$AO$3</f>
        <v>342.63929463709457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65.524005057585271</v>
      </c>
      <c r="AV197" s="21">
        <f>EXP(-LN(2)/25)*AV196+(1-EXP(-LN(2)/25))/(LN(2)/25)*Calculateur!AQ197*Calculateur!AS197*VLOOKUP('Données projet'!$B$10,Paramètres!$A$1:$I$89,3,0)*0.475*44/12</f>
        <v>8.9397387918806004</v>
      </c>
      <c r="AW197" s="21">
        <f>EXP(-LN(2)/2)*AW196+(1-EXP(-LN(2)/2))/(LN(2)/2)*AQ197*AT197*VLOOKUP('Données projet'!$B$10,Paramètres!$A$1:$I$89,3,0)*0.475*44/12</f>
        <v>8.2702930352051944E-5</v>
      </c>
      <c r="AX197" s="21">
        <f t="shared" si="166"/>
        <v>74.463826552396227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-2.8421709430404007E-13</v>
      </c>
      <c r="BE197" s="13">
        <f>BD197*VLOOKUP('Données projet'!$B$11,Paramètres!$A$1:$I$89,3,0)*VLOOKUP('Données projet'!$B$11,Paramètres!$A$1:$I$89,5,0)</f>
        <v>-3.2366642699344083E-13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593.28343396240075</v>
      </c>
      <c r="BJ197" s="59">
        <f t="shared" ref="BJ197:BJ203" si="206">$BJ$3</f>
        <v>289.66477662068695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142.92791326046355</v>
      </c>
      <c r="BQ197" s="21">
        <f>EXP(-LN(2)/25)*BQ196+(1-EXP(-LN(2)/25))/(LN(2)/25)*Calculateur!BL197*Calculateur!BN197*VLOOKUP('Données projet'!$B$11,Paramètres!$A$1:$I$89,3,0)*0.475*44/12</f>
        <v>43.998945523067569</v>
      </c>
      <c r="BR197" s="21">
        <f>EXP(-LN(2)/2)*BR196+(1-EXP(-LN(2)/2))/(LN(2)/2)*BL197*BO197*VLOOKUP('Données projet'!$B$11,Paramètres!$A$1:$I$89,3,0)*0.475*44/12</f>
        <v>2.7543856443265953</v>
      </c>
      <c r="BS197" s="22">
        <f t="shared" si="169"/>
        <v>189.68124442785771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2.5579538487363607E-13</v>
      </c>
      <c r="BZ197" s="13">
        <f>BY197*VLOOKUP('Données projet'!$B$12,Paramètres!$A$1:$I$89,3,0)*VLOOKUP('Données projet'!$B$12,Paramètres!$A$1:$I$89,5,0)</f>
        <v>2.7533815227798186E-13</v>
      </c>
      <c r="CA197" s="13">
        <f t="shared" si="170"/>
        <v>3.6763598146902537E-12</v>
      </c>
      <c r="CB197" s="20">
        <f t="shared" si="171"/>
        <v>6.88254062580301E-12</v>
      </c>
      <c r="CC197" s="59">
        <f t="shared" si="195"/>
        <v>293.33333333334019</v>
      </c>
      <c r="CD197" s="59">
        <f ca="1">AVERAGE(OFFSET($CC$3,0,0,'Données projet'!$E$12+1,1))-AVERAGE(OFFSET($H$3,0,0,'Données projet'!$E$12+1,1))</f>
        <v>502.65044103360322</v>
      </c>
      <c r="CE197" s="59">
        <f t="shared" ref="CE197:CE203" si="207">$CE$3</f>
        <v>321.65762891855167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37.836968177044504</v>
      </c>
      <c r="CL197" s="21">
        <f>EXP(-LN(2)/25)*CL196+(1-EXP(-LN(2)/25))/(LN(2)/25)*Calculateur!CG197*Calculateur!CI197*VLOOKUP('Données projet'!$B$12,Paramètres!$A$1:$I$89,3,0)*0.475*44/12</f>
        <v>4.7490832421798261</v>
      </c>
      <c r="CM197" s="21">
        <f>EXP(-LN(2)/2)*CM196+(1-EXP(-LN(2)/2))/(LN(2)/2)*CG197*CJ197*VLOOKUP('Données projet'!$B$12,Paramètres!$A$1:$I$89,3,0)*0.475*44/12</f>
        <v>1.8860794931905057E-9</v>
      </c>
      <c r="CN197" s="22">
        <f t="shared" si="172"/>
        <v>42.586051421110412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239.26156489359892</v>
      </c>
      <c r="T198" s="59">
        <f t="shared" si="204"/>
        <v>213.97034450798111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1.3517574629826032</v>
      </c>
      <c r="AA198" s="21">
        <f>EXP(-LN(2)/25)*AA197+(1-EXP(-LN(2)/25))/(LN(2)/25)*Calculateur!V198*Calculateur!X198*VLOOKUP('Données projet'!$B$9,Paramètres!$A$1:$I$89,3,0)*0.475*44/12</f>
        <v>3.4747446189959823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4.8265020819785853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5.4001247917767614E-13</v>
      </c>
      <c r="AJ198" s="13">
        <f>AI198*VLOOKUP('Données projet'!$B$10,Paramètres!$A$1:$I$89,3,0)*VLOOKUP('Données projet'!$B$10,Paramètres!$A$1:$I$89,5,0)</f>
        <v>5.4757265388616366E-13</v>
      </c>
      <c r="AK198" s="13">
        <f t="shared" si="164"/>
        <v>6.7489963942904795E-12</v>
      </c>
      <c r="AL198" s="20">
        <f t="shared" si="165"/>
        <v>1.2708191092240986E-11</v>
      </c>
      <c r="AM198" s="59">
        <f t="shared" si="193"/>
        <v>293.33333333334605</v>
      </c>
      <c r="AN198" s="59">
        <f ca="1">AVERAGE(OFFSET($AM$3,0,0,'Données projet'!$E$10+1,1))-AVERAGE(OFFSET($H$3,0,0,'Données projet'!$E$10+1,1))</f>
        <v>543.88440431478944</v>
      </c>
      <c r="AO198" s="59">
        <f t="shared" si="205"/>
        <v>342.63929463709457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64.239119284102827</v>
      </c>
      <c r="AV198" s="21">
        <f>EXP(-LN(2)/25)*AV197+(1-EXP(-LN(2)/25))/(LN(2)/25)*Calculateur!AQ198*Calculateur!AS198*VLOOKUP('Données projet'!$B$10,Paramètres!$A$1:$I$89,3,0)*0.475*44/12</f>
        <v>8.695281164496194</v>
      </c>
      <c r="AW198" s="21">
        <f>EXP(-LN(2)/2)*AW197+(1-EXP(-LN(2)/2))/(LN(2)/2)*AQ198*AT198*VLOOKUP('Données projet'!$B$10,Paramètres!$A$1:$I$89,3,0)*0.475*44/12</f>
        <v>5.8479802875934675E-5</v>
      </c>
      <c r="AX198" s="21">
        <f t="shared" si="166"/>
        <v>72.934458928401895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-2.8421709430404007E-13</v>
      </c>
      <c r="BE198" s="13">
        <f>BD198*VLOOKUP('Données projet'!$B$11,Paramètres!$A$1:$I$89,3,0)*VLOOKUP('Données projet'!$B$11,Paramètres!$A$1:$I$89,5,0)</f>
        <v>-3.2366642699344083E-13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593.28343396240075</v>
      </c>
      <c r="BJ198" s="59">
        <f t="shared" si="206"/>
        <v>289.66477662068695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140.12518405884489</v>
      </c>
      <c r="BQ198" s="21">
        <f>EXP(-LN(2)/25)*BQ197+(1-EXP(-LN(2)/25))/(LN(2)/25)*Calculateur!BL198*Calculateur!BN198*VLOOKUP('Données projet'!$B$11,Paramètres!$A$1:$I$89,3,0)*0.475*44/12</f>
        <v>42.7957920439353</v>
      </c>
      <c r="BR198" s="21">
        <f>EXP(-LN(2)/2)*BR197+(1-EXP(-LN(2)/2))/(LN(2)/2)*BL198*BO198*VLOOKUP('Données projet'!$B$11,Paramètres!$A$1:$I$89,3,0)*0.475*44/12</f>
        <v>1.9476447671062136</v>
      </c>
      <c r="BS198" s="22">
        <f t="shared" si="169"/>
        <v>184.86862086988643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2.5579538487363607E-13</v>
      </c>
      <c r="BZ198" s="13">
        <f>BY198*VLOOKUP('Données projet'!$B$12,Paramètres!$A$1:$I$89,3,0)*VLOOKUP('Données projet'!$B$12,Paramètres!$A$1:$I$89,5,0)</f>
        <v>2.7533815227798186E-13</v>
      </c>
      <c r="CA198" s="13">
        <f t="shared" si="170"/>
        <v>3.6763598146902537E-12</v>
      </c>
      <c r="CB198" s="20">
        <f t="shared" si="171"/>
        <v>6.88254062580301E-12</v>
      </c>
      <c r="CC198" s="59">
        <f t="shared" si="195"/>
        <v>293.33333333334019</v>
      </c>
      <c r="CD198" s="59">
        <f ca="1">AVERAGE(OFFSET($CC$3,0,0,'Données projet'!$E$12+1,1))-AVERAGE(OFFSET($H$3,0,0,'Données projet'!$E$12+1,1))</f>
        <v>502.65044103360322</v>
      </c>
      <c r="CE198" s="59">
        <f t="shared" si="207"/>
        <v>321.65762891855167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37.095008309364459</v>
      </c>
      <c r="CL198" s="21">
        <f>EXP(-LN(2)/25)*CL197+(1-EXP(-LN(2)/25))/(LN(2)/25)*Calculateur!CG198*Calculateur!CI198*VLOOKUP('Données projet'!$B$12,Paramètres!$A$1:$I$89,3,0)*0.475*44/12</f>
        <v>4.619219311178985</v>
      </c>
      <c r="CM198" s="21">
        <f>EXP(-LN(2)/2)*CM197+(1-EXP(-LN(2)/2))/(LN(2)/2)*CG198*CJ198*VLOOKUP('Données projet'!$B$12,Paramètres!$A$1:$I$89,3,0)*0.475*44/12</f>
        <v>1.3336595994918933E-9</v>
      </c>
      <c r="CN198" s="22">
        <f t="shared" si="172"/>
        <v>41.714227621877107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239.26156489359892</v>
      </c>
      <c r="T199" s="59">
        <f t="shared" si="204"/>
        <v>213.97034450798111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1.3252503236241551</v>
      </c>
      <c r="AA199" s="21">
        <f>EXP(-LN(2)/25)*AA198+(1-EXP(-LN(2)/25))/(LN(2)/25)*Calculateur!V199*Calculateur!X199*VLOOKUP('Données projet'!$B$9,Paramètres!$A$1:$I$89,3,0)*0.475*44/12</f>
        <v>3.3797275446606592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4.7049778682848142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5.4001247917767614E-13</v>
      </c>
      <c r="AJ199" s="13">
        <f>AI199*VLOOKUP('Données projet'!$B$10,Paramètres!$A$1:$I$89,3,0)*VLOOKUP('Données projet'!$B$10,Paramètres!$A$1:$I$89,5,0)</f>
        <v>5.4757265388616366E-13</v>
      </c>
      <c r="AK199" s="13">
        <f t="shared" si="164"/>
        <v>6.7489963942904795E-12</v>
      </c>
      <c r="AL199" s="20">
        <f t="shared" si="165"/>
        <v>1.2708191092240986E-11</v>
      </c>
      <c r="AM199" s="59">
        <f t="shared" si="193"/>
        <v>293.33333333334605</v>
      </c>
      <c r="AN199" s="59">
        <f ca="1">AVERAGE(OFFSET($AM$3,0,0,'Données projet'!$E$10+1,1))-AVERAGE(OFFSET($H$3,0,0,'Données projet'!$E$10+1,1))</f>
        <v>543.88440431478944</v>
      </c>
      <c r="AO199" s="59">
        <f t="shared" si="205"/>
        <v>342.63929463709457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62.979429336935432</v>
      </c>
      <c r="AV199" s="21">
        <f>EXP(-LN(2)/25)*AV198+(1-EXP(-LN(2)/25))/(LN(2)/25)*Calculateur!AQ199*Calculateur!AS199*VLOOKUP('Données projet'!$B$10,Paramètres!$A$1:$I$89,3,0)*0.475*44/12</f>
        <v>8.457508243788082</v>
      </c>
      <c r="AW199" s="21">
        <f>EXP(-LN(2)/2)*AW198+(1-EXP(-LN(2)/2))/(LN(2)/2)*AQ199*AT199*VLOOKUP('Données projet'!$B$10,Paramètres!$A$1:$I$89,3,0)*0.475*44/12</f>
        <v>4.1351465176025972E-5</v>
      </c>
      <c r="AX199" s="21">
        <f t="shared" si="166"/>
        <v>71.43697893218868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-2.8421709430404007E-13</v>
      </c>
      <c r="BE199" s="13">
        <f>BD199*VLOOKUP('Données projet'!$B$11,Paramètres!$A$1:$I$89,3,0)*VLOOKUP('Données projet'!$B$11,Paramètres!$A$1:$I$89,5,0)</f>
        <v>-3.2366642699344083E-13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593.28343396240075</v>
      </c>
      <c r="BJ199" s="59">
        <f t="shared" si="206"/>
        <v>289.66477662068695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137.37741466737396</v>
      </c>
      <c r="BQ199" s="21">
        <f>EXP(-LN(2)/25)*BQ198+(1-EXP(-LN(2)/25))/(LN(2)/25)*Calculateur!BL199*Calculateur!BN199*VLOOKUP('Données projet'!$B$11,Paramètres!$A$1:$I$89,3,0)*0.475*44/12</f>
        <v>41.625538859960997</v>
      </c>
      <c r="BR199" s="21">
        <f>EXP(-LN(2)/2)*BR198+(1-EXP(-LN(2)/2))/(LN(2)/2)*BL199*BO199*VLOOKUP('Données projet'!$B$11,Paramètres!$A$1:$I$89,3,0)*0.475*44/12</f>
        <v>1.3771928221632979</v>
      </c>
      <c r="BS199" s="22">
        <f t="shared" si="169"/>
        <v>180.38014634949826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2.5579538487363607E-13</v>
      </c>
      <c r="BZ199" s="13">
        <f>BY199*VLOOKUP('Données projet'!$B$12,Paramètres!$A$1:$I$89,3,0)*VLOOKUP('Données projet'!$B$12,Paramètres!$A$1:$I$89,5,0)</f>
        <v>2.7533815227798186E-13</v>
      </c>
      <c r="CA199" s="13">
        <f t="shared" si="170"/>
        <v>3.6763598146902537E-12</v>
      </c>
      <c r="CB199" s="20">
        <f t="shared" si="171"/>
        <v>6.88254062580301E-12</v>
      </c>
      <c r="CC199" s="59">
        <f t="shared" si="195"/>
        <v>293.33333333334019</v>
      </c>
      <c r="CD199" s="59">
        <f ca="1">AVERAGE(OFFSET($CC$3,0,0,'Données projet'!$E$12+1,1))-AVERAGE(OFFSET($H$3,0,0,'Données projet'!$E$12+1,1))</f>
        <v>502.65044103360322</v>
      </c>
      <c r="CE199" s="59">
        <f t="shared" si="207"/>
        <v>321.65762891855167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36.367597822138784</v>
      </c>
      <c r="CL199" s="21">
        <f>EXP(-LN(2)/25)*CL198+(1-EXP(-LN(2)/25))/(LN(2)/25)*Calculateur!CG199*Calculateur!CI199*VLOOKUP('Données projet'!$B$12,Paramètres!$A$1:$I$89,3,0)*0.475*44/12</f>
        <v>4.4929065162006099</v>
      </c>
      <c r="CM199" s="21">
        <f>EXP(-LN(2)/2)*CM198+(1-EXP(-LN(2)/2))/(LN(2)/2)*CG199*CJ199*VLOOKUP('Données projet'!$B$12,Paramètres!$A$1:$I$89,3,0)*0.475*44/12</f>
        <v>9.4303974659525285E-10</v>
      </c>
      <c r="CN199" s="22">
        <f t="shared" si="172"/>
        <v>40.860504339282436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239.26156489359892</v>
      </c>
      <c r="T200" s="59">
        <f t="shared" si="204"/>
        <v>213.97034450798111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1.2992629731007674</v>
      </c>
      <c r="AA200" s="21">
        <f>EXP(-LN(2)/25)*AA199+(1-EXP(-LN(2)/25))/(LN(2)/25)*Calculateur!V200*Calculateur!X200*VLOOKUP('Données projet'!$B$9,Paramètres!$A$1:$I$89,3,0)*0.475*44/12</f>
        <v>3.2873087172197661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4.5865716903205334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5.4001247917767614E-13</v>
      </c>
      <c r="AJ200" s="13">
        <f>AI200*VLOOKUP('Données projet'!$B$10,Paramètres!$A$1:$I$89,3,0)*VLOOKUP('Données projet'!$B$10,Paramètres!$A$1:$I$89,5,0)</f>
        <v>5.4757265388616366E-13</v>
      </c>
      <c r="AK200" s="13">
        <f t="shared" si="164"/>
        <v>6.7489963942904795E-12</v>
      </c>
      <c r="AL200" s="20">
        <f t="shared" si="165"/>
        <v>1.2708191092240986E-11</v>
      </c>
      <c r="AM200" s="59">
        <f t="shared" si="193"/>
        <v>293.33333333334605</v>
      </c>
      <c r="AN200" s="59">
        <f ca="1">AVERAGE(OFFSET($AM$3,0,0,'Données projet'!$E$10+1,1))-AVERAGE(OFFSET($H$3,0,0,'Données projet'!$E$10+1,1))</f>
        <v>543.88440431478944</v>
      </c>
      <c r="AO200" s="59">
        <f t="shared" si="205"/>
        <v>342.63929463709457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61.744441141296988</v>
      </c>
      <c r="AV200" s="21">
        <f>EXP(-LN(2)/25)*AV199+(1-EXP(-LN(2)/25))/(LN(2)/25)*Calculateur!AQ200*Calculateur!AS200*VLOOKUP('Données projet'!$B$10,Paramètres!$A$1:$I$89,3,0)*0.475*44/12</f>
        <v>8.226237236100669</v>
      </c>
      <c r="AW200" s="21">
        <f>EXP(-LN(2)/2)*AW199+(1-EXP(-LN(2)/2))/(LN(2)/2)*AQ200*AT200*VLOOKUP('Données projet'!$B$10,Paramètres!$A$1:$I$89,3,0)*0.475*44/12</f>
        <v>2.9239901437967337E-5</v>
      </c>
      <c r="AX200" s="21">
        <f t="shared" si="166"/>
        <v>69.970707617299098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-2.8421709430404007E-13</v>
      </c>
      <c r="BE200" s="13">
        <f>BD200*VLOOKUP('Données projet'!$B$11,Paramètres!$A$1:$I$89,3,0)*VLOOKUP('Données projet'!$B$11,Paramètres!$A$1:$I$89,5,0)</f>
        <v>-3.2366642699344083E-13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593.28343396240075</v>
      </c>
      <c r="BJ200" s="59">
        <f t="shared" si="206"/>
        <v>289.66477662068695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134.68352735769594</v>
      </c>
      <c r="BQ200" s="21">
        <f>EXP(-LN(2)/25)*BQ199+(1-EXP(-LN(2)/25))/(LN(2)/25)*Calculateur!BL200*Calculateur!BN200*VLOOKUP('Données projet'!$B$11,Paramètres!$A$1:$I$89,3,0)*0.475*44/12</f>
        <v>40.487286310843409</v>
      </c>
      <c r="BR200" s="21">
        <f>EXP(-LN(2)/2)*BR199+(1-EXP(-LN(2)/2))/(LN(2)/2)*BL200*BO200*VLOOKUP('Données projet'!$B$11,Paramètres!$A$1:$I$89,3,0)*0.475*44/12</f>
        <v>0.97382238355310702</v>
      </c>
      <c r="BS200" s="22">
        <f t="shared" si="169"/>
        <v>176.14463605209247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2.5579538487363607E-13</v>
      </c>
      <c r="BZ200" s="13">
        <f>BY200*VLOOKUP('Données projet'!$B$12,Paramètres!$A$1:$I$89,3,0)*VLOOKUP('Données projet'!$B$12,Paramètres!$A$1:$I$89,5,0)</f>
        <v>2.7533815227798186E-13</v>
      </c>
      <c r="CA200" s="13">
        <f t="shared" si="170"/>
        <v>3.6763598146902537E-12</v>
      </c>
      <c r="CB200" s="20">
        <f t="shared" si="171"/>
        <v>6.88254062580301E-12</v>
      </c>
      <c r="CC200" s="59">
        <f t="shared" si="195"/>
        <v>293.33333333334019</v>
      </c>
      <c r="CD200" s="59">
        <f ca="1">AVERAGE(OFFSET($CC$3,0,0,'Données projet'!$E$12+1,1))-AVERAGE(OFFSET($H$3,0,0,'Données projet'!$E$12+1,1))</f>
        <v>502.65044103360322</v>
      </c>
      <c r="CE200" s="59">
        <f t="shared" si="207"/>
        <v>321.65762891855167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35.654451410891021</v>
      </c>
      <c r="CL200" s="21">
        <f>EXP(-LN(2)/25)*CL199+(1-EXP(-LN(2)/25))/(LN(2)/25)*Calculateur!CG200*Calculateur!CI200*VLOOKUP('Données projet'!$B$12,Paramètres!$A$1:$I$89,3,0)*0.475*44/12</f>
        <v>4.370047751243419</v>
      </c>
      <c r="CM200" s="21">
        <f>EXP(-LN(2)/2)*CM199+(1-EXP(-LN(2)/2))/(LN(2)/2)*CG200*CJ200*VLOOKUP('Données projet'!$B$12,Paramètres!$A$1:$I$89,3,0)*0.475*44/12</f>
        <v>6.6682979974594667E-10</v>
      </c>
      <c r="CN200" s="22">
        <f t="shared" si="172"/>
        <v>40.02449916280127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239.26156489359892</v>
      </c>
      <c r="T201" s="59">
        <f t="shared" si="204"/>
        <v>213.97034450798111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1.2737852186704248</v>
      </c>
      <c r="AA201" s="21">
        <f>EXP(-LN(2)/25)*AA200+(1-EXP(-LN(2)/25))/(LN(2)/25)*Calculateur!V201*Calculateur!X201*VLOOKUP('Données projet'!$B$9,Paramètres!$A$1:$I$89,3,0)*0.475*44/12</f>
        <v>3.1974170874753396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4.4712023061457646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5.4001247917767614E-13</v>
      </c>
      <c r="AJ201" s="13">
        <f>AI201*VLOOKUP('Données projet'!$B$10,Paramètres!$A$1:$I$89,3,0)*VLOOKUP('Données projet'!$B$10,Paramètres!$A$1:$I$89,5,0)</f>
        <v>5.4757265388616366E-13</v>
      </c>
      <c r="AK201" s="13">
        <f t="shared" si="164"/>
        <v>6.7489963942904795E-12</v>
      </c>
      <c r="AL201" s="20">
        <f t="shared" si="165"/>
        <v>1.2708191092240986E-11</v>
      </c>
      <c r="AM201" s="59">
        <f t="shared" si="193"/>
        <v>293.33333333334605</v>
      </c>
      <c r="AN201" s="59">
        <f ca="1">AVERAGE(OFFSET($AM$3,0,0,'Données projet'!$E$10+1,1))-AVERAGE(OFFSET($H$3,0,0,'Données projet'!$E$10+1,1))</f>
        <v>543.88440431478944</v>
      </c>
      <c r="AO201" s="59">
        <f t="shared" si="205"/>
        <v>342.63929463709457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60.533670310906594</v>
      </c>
      <c r="AV201" s="21">
        <f>EXP(-LN(2)/25)*AV200+(1-EXP(-LN(2)/25))/(LN(2)/25)*Calculateur!AQ201*Calculateur!AS201*VLOOKUP('Données projet'!$B$10,Paramètres!$A$1:$I$89,3,0)*0.475*44/12</f>
        <v>8.0012903462804807</v>
      </c>
      <c r="AW201" s="21">
        <f>EXP(-LN(2)/2)*AW200+(1-EXP(-LN(2)/2))/(LN(2)/2)*AQ201*AT201*VLOOKUP('Données projet'!$B$10,Paramètres!$A$1:$I$89,3,0)*0.475*44/12</f>
        <v>2.0675732588012986E-5</v>
      </c>
      <c r="AX201" s="21">
        <f t="shared" si="166"/>
        <v>68.534981332919656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-2.8421709430404007E-13</v>
      </c>
      <c r="BE201" s="13">
        <f>BD201*VLOOKUP('Données projet'!$B$11,Paramètres!$A$1:$I$89,3,0)*VLOOKUP('Données projet'!$B$11,Paramètres!$A$1:$I$89,5,0)</f>
        <v>-3.2366642699344083E-13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593.28343396240075</v>
      </c>
      <c r="BJ201" s="59">
        <f t="shared" si="206"/>
        <v>289.66477662068695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132.04246553505169</v>
      </c>
      <c r="BQ201" s="21">
        <f>EXP(-LN(2)/25)*BQ200+(1-EXP(-LN(2)/25))/(LN(2)/25)*Calculateur!BL201*Calculateur!BN201*VLOOKUP('Données projet'!$B$11,Paramètres!$A$1:$I$89,3,0)*0.475*44/12</f>
        <v>39.380159337539546</v>
      </c>
      <c r="BR201" s="21">
        <f>EXP(-LN(2)/2)*BR200+(1-EXP(-LN(2)/2))/(LN(2)/2)*BL201*BO201*VLOOKUP('Données projet'!$B$11,Paramètres!$A$1:$I$89,3,0)*0.475*44/12</f>
        <v>0.68859641108164904</v>
      </c>
      <c r="BS201" s="22">
        <f t="shared" si="169"/>
        <v>172.11122128367288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2.5579538487363607E-13</v>
      </c>
      <c r="BZ201" s="13">
        <f>BY201*VLOOKUP('Données projet'!$B$12,Paramètres!$A$1:$I$89,3,0)*VLOOKUP('Données projet'!$B$12,Paramètres!$A$1:$I$89,5,0)</f>
        <v>2.7533815227798186E-13</v>
      </c>
      <c r="CA201" s="13">
        <f t="shared" si="170"/>
        <v>3.6763598146902537E-12</v>
      </c>
      <c r="CB201" s="20">
        <f t="shared" si="171"/>
        <v>6.88254062580301E-12</v>
      </c>
      <c r="CC201" s="59">
        <f t="shared" si="195"/>
        <v>293.33333333334019</v>
      </c>
      <c r="CD201" s="59">
        <f ca="1">AVERAGE(OFFSET($CC$3,0,0,'Données projet'!$E$12+1,1))-AVERAGE(OFFSET($H$3,0,0,'Données projet'!$E$12+1,1))</f>
        <v>502.65044103360322</v>
      </c>
      <c r="CE201" s="59">
        <f t="shared" si="207"/>
        <v>321.65762891855167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34.955289365791465</v>
      </c>
      <c r="CL201" s="21">
        <f>EXP(-LN(2)/25)*CL200+(1-EXP(-LN(2)/25))/(LN(2)/25)*Calculateur!CG201*Calculateur!CI201*VLOOKUP('Données projet'!$B$12,Paramètres!$A$1:$I$89,3,0)*0.475*44/12</f>
        <v>4.2505485656748441</v>
      </c>
      <c r="CM201" s="21">
        <f>EXP(-LN(2)/2)*CM200+(1-EXP(-LN(2)/2))/(LN(2)/2)*CG201*CJ201*VLOOKUP('Données projet'!$B$12,Paramètres!$A$1:$I$89,3,0)*0.475*44/12</f>
        <v>4.7151987329762642E-10</v>
      </c>
      <c r="CN201" s="22">
        <f t="shared" si="172"/>
        <v>39.205837931937829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239.26156489359892</v>
      </c>
      <c r="T202" s="59">
        <f t="shared" si="204"/>
        <v>213.97034450798111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1.2488070674645655</v>
      </c>
      <c r="AA202" s="21">
        <f>EXP(-LN(2)/25)*AA201+(1-EXP(-LN(2)/25))/(LN(2)/25)*Calculateur!V202*Calculateur!X202*VLOOKUP('Données projet'!$B$9,Paramètres!$A$1:$I$89,3,0)*0.475*44/12</f>
        <v>3.1099835490734695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4.3587906165380348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5.4001247917767614E-13</v>
      </c>
      <c r="AJ202" s="13">
        <f>AI202*VLOOKUP('Données projet'!$B$10,Paramètres!$A$1:$I$89,3,0)*VLOOKUP('Données projet'!$B$10,Paramètres!$A$1:$I$89,5,0)</f>
        <v>5.4757265388616366E-13</v>
      </c>
      <c r="AK202" s="13">
        <f t="shared" si="164"/>
        <v>6.7489963942904795E-12</v>
      </c>
      <c r="AL202" s="20">
        <f t="shared" si="165"/>
        <v>1.2708191092240986E-11</v>
      </c>
      <c r="AM202" s="59">
        <f t="shared" si="193"/>
        <v>293.33333333334605</v>
      </c>
      <c r="AN202" s="59">
        <f ca="1">AVERAGE(OFFSET($AM$3,0,0,'Données projet'!$E$10+1,1))-AVERAGE(OFFSET($H$3,0,0,'Données projet'!$E$10+1,1))</f>
        <v>543.88440431478944</v>
      </c>
      <c r="AO202" s="59">
        <f t="shared" si="205"/>
        <v>342.63929463709457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59.34664195800287</v>
      </c>
      <c r="AV202" s="21">
        <f>EXP(-LN(2)/25)*AV201+(1-EXP(-LN(2)/25))/(LN(2)/25)*Calculateur!AQ202*Calculateur!AS202*VLOOKUP('Données projet'!$B$10,Paramètres!$A$1:$I$89,3,0)*0.475*44/12</f>
        <v>7.7824946409918692</v>
      </c>
      <c r="AW202" s="21">
        <f>EXP(-LN(2)/2)*AW201+(1-EXP(-LN(2)/2))/(LN(2)/2)*AQ202*AT202*VLOOKUP('Données projet'!$B$10,Paramètres!$A$1:$I$89,3,0)*0.475*44/12</f>
        <v>1.4619950718983669E-5</v>
      </c>
      <c r="AX202" s="21">
        <f t="shared" si="166"/>
        <v>67.129151218945452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-2.8421709430404007E-13</v>
      </c>
      <c r="BE202" s="13">
        <f>BD202*VLOOKUP('Données projet'!$B$11,Paramètres!$A$1:$I$89,3,0)*VLOOKUP('Données projet'!$B$11,Paramètres!$A$1:$I$89,5,0)</f>
        <v>-3.2366642699344083E-13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593.28343396240075</v>
      </c>
      <c r="BJ202" s="59">
        <f t="shared" si="206"/>
        <v>289.66477662068695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129.45319332386083</v>
      </c>
      <c r="BQ202" s="21">
        <f>EXP(-LN(2)/25)*BQ201+(1-EXP(-LN(2)/25))/(LN(2)/25)*Calculateur!BL202*Calculateur!BN202*VLOOKUP('Données projet'!$B$11,Paramètres!$A$1:$I$89,3,0)*0.475*44/12</f>
        <v>38.303306809541951</v>
      </c>
      <c r="BR202" s="21">
        <f>EXP(-LN(2)/2)*BR201+(1-EXP(-LN(2)/2))/(LN(2)/2)*BL202*BO202*VLOOKUP('Données projet'!$B$11,Paramètres!$A$1:$I$89,3,0)*0.475*44/12</f>
        <v>0.48691119177655356</v>
      </c>
      <c r="BS202" s="22">
        <f t="shared" si="169"/>
        <v>168.24341132517932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2.5579538487363607E-13</v>
      </c>
      <c r="BZ202" s="13">
        <f>BY202*VLOOKUP('Données projet'!$B$12,Paramètres!$A$1:$I$89,3,0)*VLOOKUP('Données projet'!$B$12,Paramètres!$A$1:$I$89,5,0)</f>
        <v>2.7533815227798186E-13</v>
      </c>
      <c r="CA202" s="13">
        <f t="shared" si="170"/>
        <v>3.6763598146902537E-12</v>
      </c>
      <c r="CB202" s="20">
        <f t="shared" si="171"/>
        <v>6.88254062580301E-12</v>
      </c>
      <c r="CC202" s="59">
        <f t="shared" si="195"/>
        <v>293.33333333334019</v>
      </c>
      <c r="CD202" s="59">
        <f ca="1">AVERAGE(OFFSET($CC$3,0,0,'Données projet'!$E$12+1,1))-AVERAGE(OFFSET($H$3,0,0,'Données projet'!$E$12+1,1))</f>
        <v>502.65044103360322</v>
      </c>
      <c r="CE202" s="59">
        <f t="shared" si="207"/>
        <v>321.65762891855167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34.269837461949571</v>
      </c>
      <c r="CL202" s="21">
        <f>EXP(-LN(2)/25)*CL201+(1-EXP(-LN(2)/25))/(LN(2)/25)*Calculateur!CG202*Calculateur!CI202*VLOOKUP('Données projet'!$B$12,Paramètres!$A$1:$I$89,3,0)*0.475*44/12</f>
        <v>4.1343170916198311</v>
      </c>
      <c r="CM202" s="21">
        <f>EXP(-LN(2)/2)*CM201+(1-EXP(-LN(2)/2))/(LN(2)/2)*CG202*CJ202*VLOOKUP('Données projet'!$B$12,Paramètres!$A$1:$I$89,3,0)*0.475*44/12</f>
        <v>3.3341489987297334E-10</v>
      </c>
      <c r="CN202" s="22">
        <f t="shared" si="172"/>
        <v>38.404154553902814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65" thickBot="1" x14ac:dyDescent="0.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239.26156489359892</v>
      </c>
      <c r="T203" s="59">
        <f t="shared" si="204"/>
        <v>213.97034450798111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1.2243187225686851</v>
      </c>
      <c r="AA203" s="21">
        <f>EXP(-LN(2)/25)*AA202+(1-EXP(-LN(2)/25))/(LN(2)/25)*Calculateur!V203*Calculateur!X203*VLOOKUP('Données projet'!$B$9,Paramètres!$A$1:$I$89,3,0)*0.475*44/12</f>
        <v>3.0249408853771285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4.2492596079458131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5.4001247917767614E-13</v>
      </c>
      <c r="AJ203" s="13">
        <f>AI203*VLOOKUP('Données projet'!$B$10,Paramètres!$A$1:$I$89,3,0)*VLOOKUP('Données projet'!$B$10,Paramètres!$A$1:$I$89,5,0)</f>
        <v>5.4757265388616366E-13</v>
      </c>
      <c r="AK203" s="13">
        <f t="shared" si="164"/>
        <v>6.7489963942904795E-12</v>
      </c>
      <c r="AL203" s="20">
        <f t="shared" si="165"/>
        <v>1.2708191092240986E-11</v>
      </c>
      <c r="AM203" s="59">
        <f t="shared" si="193"/>
        <v>293.33333333334605</v>
      </c>
      <c r="AN203" s="59">
        <f ca="1">AVERAGE(OFFSET($AM$3,0,0,'Données projet'!$E$10+1,1))-AVERAGE(OFFSET($H$3,0,0,'Données projet'!$E$10+1,1))</f>
        <v>543.88440431478944</v>
      </c>
      <c r="AO203" s="59">
        <f t="shared" si="205"/>
        <v>342.63929463709457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58.182890507083783</v>
      </c>
      <c r="AV203" s="21">
        <f>EXP(-LN(2)/25)*AV202+(1-EXP(-LN(2)/25))/(LN(2)/25)*Calculateur!AQ203*Calculateur!AS203*VLOOKUP('Données projet'!$B$10,Paramètres!$A$1:$I$89,3,0)*0.475*44/12</f>
        <v>7.5696819157703406</v>
      </c>
      <c r="AW203" s="21">
        <f>EXP(-LN(2)/2)*AW202+(1-EXP(-LN(2)/2))/(LN(2)/2)*AQ203*AT203*VLOOKUP('Données projet'!$B$10,Paramètres!$A$1:$I$89,3,0)*0.475*44/12</f>
        <v>1.0337866294006493E-5</v>
      </c>
      <c r="AX203" s="21">
        <f t="shared" si="166"/>
        <v>65.752582760720429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-2.8421709430404007E-13</v>
      </c>
      <c r="BE203" s="13">
        <f>BD203*VLOOKUP('Données projet'!$B$11,Paramètres!$A$1:$I$89,3,0)*VLOOKUP('Données projet'!$B$11,Paramètres!$A$1:$I$89,5,0)</f>
        <v>-3.2366642699344083E-13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593.28343396240075</v>
      </c>
      <c r="BJ203" s="59">
        <f t="shared" si="206"/>
        <v>289.66477662068695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126.91469516143133</v>
      </c>
      <c r="BQ203" s="21">
        <f>EXP(-LN(2)/25)*BQ202+(1-EXP(-LN(2)/25))/(LN(2)/25)*Calculateur!BL203*Calculateur!BN203*VLOOKUP('Données projet'!$B$11,Paramètres!$A$1:$I$89,3,0)*0.475*44/12</f>
        <v>37.255900870551663</v>
      </c>
      <c r="BR203" s="21">
        <f>EXP(-LN(2)/2)*BR202+(1-EXP(-LN(2)/2))/(LN(2)/2)*BL203*BO203*VLOOKUP('Données projet'!$B$11,Paramètres!$A$1:$I$89,3,0)*0.475*44/12</f>
        <v>0.34429820554082458</v>
      </c>
      <c r="BS203" s="22">
        <f t="shared" si="169"/>
        <v>164.51489423752383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2.5579538487363607E-13</v>
      </c>
      <c r="BZ203" s="13">
        <f>BY203*VLOOKUP('Données projet'!$B$12,Paramètres!$A$1:$I$89,3,0)*VLOOKUP('Données projet'!$B$12,Paramètres!$A$1:$I$89,5,0)</f>
        <v>2.7533815227798186E-13</v>
      </c>
      <c r="CA203" s="13">
        <f t="shared" si="170"/>
        <v>3.6763598146902537E-12</v>
      </c>
      <c r="CB203" s="20">
        <f t="shared" si="171"/>
        <v>6.88254062580301E-12</v>
      </c>
      <c r="CC203" s="59">
        <f t="shared" si="195"/>
        <v>293.33333333334019</v>
      </c>
      <c r="CD203" s="59">
        <f ca="1">AVERAGE(OFFSET($CC$3,0,0,'Données projet'!$E$12+1,1))-AVERAGE(OFFSET($H$3,0,0,'Données projet'!$E$12+1,1))</f>
        <v>502.65044103360322</v>
      </c>
      <c r="CE203" s="59">
        <f t="shared" si="207"/>
        <v>321.65762891855167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33.59782685185764</v>
      </c>
      <c r="CL203" s="21">
        <f>EXP(-LN(2)/25)*CL202+(1-EXP(-LN(2)/25))/(LN(2)/25)*Calculateur!CG203*Calculateur!CI203*VLOOKUP('Données projet'!$B$12,Paramètres!$A$1:$I$89,3,0)*0.475*44/12</f>
        <v>4.0212639733352002</v>
      </c>
      <c r="CM203" s="21">
        <f>EXP(-LN(2)/2)*CM202+(1-EXP(-LN(2)/2))/(LN(2)/2)*CG203*CJ203*VLOOKUP('Données projet'!$B$12,Paramètres!$A$1:$I$89,3,0)*0.475*44/12</f>
        <v>2.3575993664881321E-10</v>
      </c>
      <c r="CN203" s="22">
        <f t="shared" si="172"/>
        <v>37.6190908254286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65" thickBot="1" x14ac:dyDescent="0.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65" thickBot="1" x14ac:dyDescent="0.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1.2770702581475548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1.1281922301282807</v>
      </c>
      <c r="BA205" s="82">
        <f>EXP(LN('Données projet'!B88)/'Données projet'!A88)</f>
        <v>1.0924684246274448</v>
      </c>
      <c r="BV205" s="82">
        <f>EXP(LN('Données projet'!B114)/'Données projet'!A114)</f>
        <v>1.141469227569226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484375" defaultRowHeight="14.25" x14ac:dyDescent="0.45"/>
  <cols>
    <col min="1" max="1" width="23.46484375" style="4" bestFit="1" customWidth="1"/>
    <col min="2" max="2" width="27.59765625" style="4" bestFit="1" customWidth="1"/>
    <col min="3" max="3" width="11.9296875" style="4" bestFit="1" customWidth="1"/>
    <col min="4" max="4" width="40" style="4" bestFit="1" customWidth="1"/>
    <col min="5" max="5" width="11.9296875" style="4" bestFit="1" customWidth="1"/>
    <col min="6" max="6" width="13.59765625" style="4" bestFit="1" customWidth="1"/>
    <col min="7" max="7" width="11.46484375" style="4" bestFit="1" customWidth="1"/>
    <col min="8" max="8" width="39" style="4" bestFit="1" customWidth="1"/>
    <col min="9" max="9" width="16.59765625" style="4" customWidth="1"/>
    <col min="10" max="14" width="11.46484375" style="4"/>
    <col min="15" max="15" width="23.46484375" style="4" bestFit="1" customWidth="1"/>
    <col min="16" max="16384" width="11.46484375" style="4"/>
  </cols>
  <sheetData>
    <row r="1" spans="1:16" ht="43.15" thickBot="1" x14ac:dyDescent="0.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4.65" thickBot="1" x14ac:dyDescent="0.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4.65" thickBot="1" x14ac:dyDescent="0.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4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4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4.65" thickBot="1" x14ac:dyDescent="0.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4.65" thickBot="1" x14ac:dyDescent="0.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4.65" thickBot="1" x14ac:dyDescent="0.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4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65" thickBot="1" x14ac:dyDescent="0.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5">
      <c r="A93" s="122" t="s">
        <v>208</v>
      </c>
    </row>
    <row r="94" spans="1:14" x14ac:dyDescent="0.45">
      <c r="A94" s="122" t="s">
        <v>209</v>
      </c>
    </row>
    <row r="95" spans="1:14" x14ac:dyDescent="0.4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C1" zoomScale="90" zoomScaleNormal="90" workbookViewId="0">
      <selection activeCell="D20" sqref="D20"/>
    </sheetView>
  </sheetViews>
  <sheetFormatPr baseColWidth="10" defaultColWidth="11.46484375" defaultRowHeight="14.25" x14ac:dyDescent="0.45"/>
  <cols>
    <col min="1" max="1" width="22.9296875" style="1" bestFit="1" customWidth="1"/>
    <col min="2" max="2" width="10.53125" style="1" bestFit="1" customWidth="1"/>
    <col min="3" max="3" width="15.53125" style="1" bestFit="1" customWidth="1"/>
    <col min="4" max="4" width="13.46484375" style="1" bestFit="1" customWidth="1"/>
    <col min="5" max="8" width="11.46484375" style="1"/>
    <col min="9" max="13" width="11.46484375" style="62"/>
    <col min="14" max="15" width="11.46484375" style="1"/>
    <col min="16" max="17" width="13.46484375" style="1" customWidth="1"/>
    <col min="18" max="16384" width="11.46484375" style="1"/>
  </cols>
  <sheetData>
    <row r="1" spans="1:6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5.9" thickBot="1" x14ac:dyDescent="0.8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65" thickBot="1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4" thickBot="1" x14ac:dyDescent="0.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5">
      <c r="A6" s="145" t="str">
        <f>IF('Données projet'!$B$9="","",'Données projet'!$B$9)</f>
        <v>Chêne chevelu</v>
      </c>
      <c r="B6" s="146">
        <f>'Données projet'!D9</f>
        <v>1.471875</v>
      </c>
      <c r="C6" s="147">
        <f ca="1">IF(OR('Données projet'!B9="",'Données projet'!C9="",'Données projet'!C9=0%),0,Calculateur!S3)</f>
        <v>239.26156489359892</v>
      </c>
      <c r="D6" s="147">
        <f>IF(OR('Données projet'!B9="",'Données projet'!C9="",'Données projet'!C9=0%),0,Calculateur!T3)</f>
        <v>213.97034450798111</v>
      </c>
      <c r="E6" s="147">
        <f ca="1">MIN(C6,D6)</f>
        <v>213.97034450798111</v>
      </c>
      <c r="F6" s="147">
        <f ca="1">E6*B6</f>
        <v>314.93760082268471</v>
      </c>
      <c r="G6" s="147">
        <f ca="1">F6*(100%-'Données projet'!$C$24)*(100%-'Données projet'!$C$25)*(100%-'Données projet'!$C$26)*(100%-'Données projet'!$C$27)</f>
        <v>283.44384074041625</v>
      </c>
      <c r="H6" s="148">
        <f>IF(OR('Données projet'!B9="",'Données projet'!C9="",'Données projet'!C9=0%),0,AVERAGE(Calculateur!$AC$3:$AC$33)*B6)</f>
        <v>3.0520329918760694</v>
      </c>
      <c r="I6" s="149">
        <f>H6*(100%-'Données projet'!$C$24)*(100%-'Données projet'!$C$25)*(100%-'Données projet'!$C$26)*(100%-'Données projet'!$C$27)</f>
        <v>2.7468296926884626</v>
      </c>
      <c r="J6" s="150">
        <f>IF(OR('Données projet'!B9="",'Données projet'!C9="",'Données projet'!C9=0%),0,SUM(Calculateur!$V$3:$V$33)*VLOOKUP('Données projet'!$B$9,Paramètres!$A$1:$I$89,9,0)*B6)</f>
        <v>16.03966346153846</v>
      </c>
      <c r="K6" s="151">
        <f>J6*(100%-'Données projet'!$C$24)*(100%-'Données projet'!$C$25)*(100%-'Données projet'!$C$26)*(100%-'Données projet'!$C$27)</f>
        <v>14.435697115384615</v>
      </c>
      <c r="L6" s="152">
        <f ca="1">G6+I6+K6</f>
        <v>300.62636754848933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5">
      <c r="A7" s="153" t="str">
        <f>IF('Données projet'!$B$10="","",'Données projet'!$B$10)</f>
        <v>Chêne pubescent</v>
      </c>
      <c r="B7" s="154">
        <f>'Données projet'!D10</f>
        <v>1.778125</v>
      </c>
      <c r="C7" s="147">
        <f ca="1">IF(OR('Données projet'!B10="",'Données projet'!C10="",'Données projet'!C10=0%),0,Calculateur!AN3)</f>
        <v>543.88440431478944</v>
      </c>
      <c r="D7" s="147">
        <f>IF(OR('Données projet'!B10="",'Données projet'!C10="",'Données projet'!C10=0%),0,Calculateur!AO3)</f>
        <v>342.63929463709457</v>
      </c>
      <c r="E7" s="147">
        <f t="shared" ref="E7:E15" ca="1" si="0">MIN(C7,D7)</f>
        <v>342.63929463709457</v>
      </c>
      <c r="F7" s="147">
        <f t="shared" ref="F7:F15" ca="1" si="1">E7*B7</f>
        <v>609.25549577658376</v>
      </c>
      <c r="G7" s="147">
        <f ca="1">F7*(100%-'Données projet'!$C$24)*(100%-'Données projet'!$C$25)*(100%-'Données projet'!$C$26)*(100%-'Données projet'!$C$27)</f>
        <v>548.32994619892543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548.32994619892543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5">
      <c r="A8" s="153" t="str">
        <f>IF('Données projet'!$B$11="","",'Données projet'!$B$11)</f>
        <v>Chêne vert</v>
      </c>
      <c r="B8" s="154">
        <f>'Données projet'!D11</f>
        <v>0.25</v>
      </c>
      <c r="C8" s="147">
        <f ca="1">IF(OR('Données projet'!B11="",'Données projet'!C11="",'Données projet'!C11=0%),0,Calculateur!BI3)</f>
        <v>593.28343396240075</v>
      </c>
      <c r="D8" s="147">
        <f>IF(OR('Données projet'!B11="",'Données projet'!C11="",'Données projet'!C11=0%),0,Calculateur!BJ3)</f>
        <v>289.66477662068695</v>
      </c>
      <c r="E8" s="147">
        <f t="shared" ca="1" si="0"/>
        <v>289.66477662068695</v>
      </c>
      <c r="F8" s="147">
        <f t="shared" ca="1" si="1"/>
        <v>72.416194155171738</v>
      </c>
      <c r="G8" s="147">
        <f ca="1">F8*(100%-'Données projet'!$C$24)*(100%-'Données projet'!$C$25)*(100%-'Données projet'!$C$26)*(100%-'Données projet'!$C$27)</f>
        <v>65.17457473965456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65.17457473965456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5">
      <c r="A9" s="153" t="str">
        <f>IF('Données projet'!$B$12="","",'Données projet'!$B$12)</f>
        <v>Cormier</v>
      </c>
      <c r="B9" s="154">
        <f>'Données projet'!D12</f>
        <v>0.25</v>
      </c>
      <c r="C9" s="147">
        <f ca="1">IF(OR('Données projet'!B12="",'Données projet'!C12="",'Données projet'!C12=0%),0,Calculateur!CD3)</f>
        <v>502.65044103360322</v>
      </c>
      <c r="D9" s="147">
        <f>IF(OR('Données projet'!B12="",'Données projet'!C12="",'Données projet'!C12=0%),0,Calculateur!CE3)</f>
        <v>321.65762891855167</v>
      </c>
      <c r="E9" s="147">
        <f t="shared" ca="1" si="0"/>
        <v>321.65762891855167</v>
      </c>
      <c r="F9" s="147">
        <f t="shared" ca="1" si="1"/>
        <v>80.414407229637916</v>
      </c>
      <c r="G9" s="147">
        <f ca="1">F9*(100%-'Données projet'!$C$24)*(100%-'Données projet'!$C$25)*(100%-'Données projet'!$C$26)*(100%-'Données projet'!$C$27)</f>
        <v>72.372966506674132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72.372966506674132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65" thickBot="1" x14ac:dyDescent="0.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65" thickBot="1" x14ac:dyDescent="0.5">
      <c r="A16" s="209"/>
      <c r="B16" s="213"/>
      <c r="C16" s="214"/>
      <c r="D16" s="23"/>
      <c r="E16" s="23"/>
      <c r="F16" s="165">
        <f t="shared" ref="F16:L16" ca="1" si="3">SUM(F6:F15)</f>
        <v>1077.0236979840781</v>
      </c>
      <c r="G16" s="166">
        <f t="shared" ca="1" si="3"/>
        <v>969.32132818567038</v>
      </c>
      <c r="H16" s="167">
        <f t="shared" si="3"/>
        <v>3.0520329918760694</v>
      </c>
      <c r="I16" s="167">
        <f t="shared" si="3"/>
        <v>2.7468296926884626</v>
      </c>
      <c r="J16" s="168">
        <f t="shared" si="3"/>
        <v>16.03966346153846</v>
      </c>
      <c r="K16" s="168">
        <f t="shared" si="3"/>
        <v>14.435697115384615</v>
      </c>
      <c r="L16" s="169">
        <f t="shared" ca="1" si="3"/>
        <v>986.5038549937434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5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5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65" thickBo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65" thickBot="1" x14ac:dyDescent="0.5">
      <c r="A21" s="170" t="str">
        <f>A6</f>
        <v>Chêne chevelu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65" thickBot="1" x14ac:dyDescent="0.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65" thickBot="1" x14ac:dyDescent="0.5">
      <c r="A39" s="170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65" thickBot="1" x14ac:dyDescent="0.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65" thickBot="1" x14ac:dyDescent="0.5">
      <c r="A57" s="170" t="str">
        <f>A8</f>
        <v>Chêne vert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65" thickBot="1" x14ac:dyDescent="0.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65" thickBot="1" x14ac:dyDescent="0.5">
      <c r="A76" s="170" t="str">
        <f>A9</f>
        <v>Cormier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65" thickBot="1" x14ac:dyDescent="0.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65" thickBot="1" x14ac:dyDescent="0.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65" thickBot="1" x14ac:dyDescent="0.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65" thickBot="1" x14ac:dyDescent="0.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65" thickBot="1" x14ac:dyDescent="0.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65" thickBot="1" x14ac:dyDescent="0.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65" thickBot="1" x14ac:dyDescent="0.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65" thickBot="1" x14ac:dyDescent="0.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65" thickBot="1" x14ac:dyDescent="0.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65" thickBot="1" x14ac:dyDescent="0.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65" thickBot="1" x14ac:dyDescent="0.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65" thickBot="1" x14ac:dyDescent="0.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G1" zoomScale="80" zoomScaleNormal="80" workbookViewId="0">
      <selection activeCell="V32" sqref="V32"/>
    </sheetView>
  </sheetViews>
  <sheetFormatPr baseColWidth="10" defaultColWidth="11.46484375" defaultRowHeight="14.25" x14ac:dyDescent="0.45"/>
  <cols>
    <col min="1" max="1" width="11.46484375" style="1"/>
    <col min="2" max="2" width="30.9296875" style="1" bestFit="1" customWidth="1"/>
    <col min="3" max="3" width="18.06640625" style="1" bestFit="1" customWidth="1"/>
    <col min="4" max="5" width="11.46484375" style="1"/>
    <col min="6" max="6" width="14" style="1" customWidth="1"/>
    <col min="7" max="7" width="17.53125" style="1" customWidth="1"/>
    <col min="8" max="8" width="21.59765625" style="1" customWidth="1"/>
    <col min="9" max="9" width="37" style="1" customWidth="1"/>
    <col min="10" max="10" width="11.46484375" style="1"/>
    <col min="11" max="11" width="8.9296875" style="1" customWidth="1"/>
    <col min="12" max="12" width="11.46484375" style="1"/>
    <col min="13" max="13" width="21" style="1" customWidth="1"/>
    <col min="14" max="16" width="11.46484375" style="1"/>
    <col min="17" max="17" width="8" style="1" customWidth="1"/>
    <col min="18" max="18" width="11.46484375" style="1"/>
    <col min="19" max="19" width="31" style="1" customWidth="1"/>
    <col min="20" max="20" width="18.06640625" style="1" customWidth="1"/>
    <col min="21" max="21" width="16.46484375" style="1" customWidth="1"/>
    <col min="22" max="22" width="17.9296875" style="1" customWidth="1"/>
    <col min="23" max="16384" width="11.46484375" style="1"/>
  </cols>
  <sheetData>
    <row r="1" spans="1:4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5.9" thickBot="1" x14ac:dyDescent="0.8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5">
      <c r="A4" s="4"/>
      <c r="B4" s="4"/>
      <c r="C4" s="4"/>
      <c r="D4" s="4"/>
      <c r="E4" s="4"/>
      <c r="G4" s="4"/>
      <c r="H4" s="263" t="s">
        <v>315</v>
      </c>
      <c r="I4" s="263"/>
      <c r="K4" s="287" t="s">
        <v>253</v>
      </c>
      <c r="L4" s="288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65" thickBot="1" x14ac:dyDescent="0.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8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7" t="s">
        <v>310</v>
      </c>
      <c r="S7" s="298"/>
      <c r="T7" s="298"/>
      <c r="U7" s="298"/>
      <c r="V7" s="299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chevelu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330.91953589708123</v>
      </c>
      <c r="U10" s="178">
        <f>'Données projet'!D9</f>
        <v>1.471875</v>
      </c>
      <c r="V10" s="177">
        <f>U10*T10</f>
        <v>487.07219189851645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pubescent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485.77624415690514</v>
      </c>
      <c r="U11" s="178">
        <f>'Données projet'!D10</f>
        <v>1.778125</v>
      </c>
      <c r="V11" s="177">
        <f t="shared" ref="V11" si="0">U11*T11</f>
        <v>863.77088414149694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vert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192.12815123188648</v>
      </c>
      <c r="U12" s="178">
        <f>'Données projet'!D11</f>
        <v>0.25</v>
      </c>
      <c r="V12" s="177">
        <f t="shared" ref="V12:V19" si="1">U12*T12</f>
        <v>48.032037807971619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Cormier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962.0178825334126</v>
      </c>
      <c r="U13" s="178">
        <f>'Données projet'!D12</f>
        <v>0.25</v>
      </c>
      <c r="V13" s="177">
        <f t="shared" si="1"/>
        <v>240.50447063335315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5">
      <c r="A14" s="46" t="s">
        <v>165</v>
      </c>
      <c r="B14" s="174" t="str">
        <f>IF('Données projet'!$B$9="","",'Données projet'!$B$9)</f>
        <v>Chêne chevelu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5">
      <c r="A15" s="4"/>
      <c r="B15" s="4"/>
      <c r="C15" s="4"/>
      <c r="D15" s="4"/>
      <c r="E15" s="4"/>
      <c r="F15" s="230"/>
      <c r="G15" s="290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0"/>
      <c r="H16" s="190"/>
      <c r="I16" s="191"/>
      <c r="J16" s="202"/>
      <c r="K16" s="208"/>
      <c r="L16" s="287" t="s">
        <v>254</v>
      </c>
      <c r="M16" s="288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90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90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90"/>
      <c r="H19" s="212" t="s">
        <v>178</v>
      </c>
      <c r="I19" s="212" t="s">
        <v>287</v>
      </c>
      <c r="J19" s="93"/>
      <c r="K19" s="173"/>
      <c r="L19" s="287" t="s">
        <v>288</v>
      </c>
      <c r="M19" s="288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0"/>
      <c r="H20" s="190">
        <v>1</v>
      </c>
      <c r="I20" s="191">
        <v>7749.5225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384.45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384.45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5">
      <c r="A23" s="180">
        <f>'Données projet'!A36</f>
        <v>10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5</v>
      </c>
      <c r="I23" s="191">
        <v>384.45</v>
      </c>
      <c r="J23" s="257"/>
      <c r="K23" s="208"/>
      <c r="L23" s="289" t="s">
        <v>260</v>
      </c>
      <c r="M23" s="289"/>
      <c r="N23" s="289"/>
      <c r="O23" s="23"/>
      <c r="P23" s="23"/>
      <c r="Q23" s="234"/>
      <c r="R23" s="23"/>
      <c r="S23" s="36" t="s">
        <v>264</v>
      </c>
      <c r="T23" s="30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-29910.33761099615</v>
      </c>
      <c r="U23" s="302"/>
      <c r="V23" s="302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5">
      <c r="A24" s="180">
        <f>'Données projet'!A37</f>
        <v>15</v>
      </c>
      <c r="B24" s="181">
        <f>'Données projet'!D37</f>
        <v>0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3">
        <f ca="1">'Scénario référence'!$B$8*$M$30*'Données projet'!$C$5+('Scénario référence'!B9+'Scénario référence'!B10+'Scénario référence'!F8+'Scénario référence'!F9)*$N$19/(1+M4)^N16*'Données projet'!$C$5</f>
        <v>6881.2788347179148</v>
      </c>
      <c r="U24" s="303"/>
      <c r="V24" s="303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5">
      <c r="A25" s="180">
        <f>'Données projet'!A38</f>
        <v>20</v>
      </c>
      <c r="B25" s="181">
        <f>'Données projet'!D38</f>
        <v>18.589743589743588</v>
      </c>
      <c r="C25" s="193">
        <v>13.5625</v>
      </c>
      <c r="D25" s="182">
        <f t="shared" si="2"/>
        <v>252.1233974358974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80</v>
      </c>
      <c r="Q25" s="234"/>
      <c r="R25" s="23"/>
      <c r="S25" s="186" t="s">
        <v>266</v>
      </c>
      <c r="T25" s="304">
        <f ca="1">T23-T24</f>
        <v>-36791.616445714062</v>
      </c>
      <c r="U25" s="304"/>
      <c r="V25" s="30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5">
      <c r="A26" s="180">
        <f>'Données projet'!A39</f>
        <v>25</v>
      </c>
      <c r="B26" s="181">
        <f>'Données projet'!D39</f>
        <v>12.179487179487179</v>
      </c>
      <c r="C26" s="193">
        <v>13.5625</v>
      </c>
      <c r="D26" s="182">
        <f t="shared" si="2"/>
        <v>165.18429487179486</v>
      </c>
      <c r="E26" s="193">
        <v>60</v>
      </c>
      <c r="F26" s="233"/>
      <c r="G26" s="229"/>
      <c r="H26" s="190"/>
      <c r="I26" s="191"/>
      <c r="K26" s="208"/>
      <c r="L26" s="291" t="s">
        <v>258</v>
      </c>
      <c r="M26" s="292"/>
      <c r="N26" s="292"/>
      <c r="O26" s="292"/>
      <c r="P26" s="293"/>
      <c r="Q26" s="234"/>
      <c r="R26" s="23"/>
      <c r="S26" s="186" t="s">
        <v>265</v>
      </c>
      <c r="T26" s="301" t="str">
        <f ca="1">IF(T25&lt;0,"Votre projet est additionnel","Votre projet n'est pas additionnel")</f>
        <v>Votre projet est additionnel</v>
      </c>
      <c r="U26" s="301"/>
      <c r="V26" s="301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5">
      <c r="A27" s="180">
        <f>'Données projet'!A40</f>
        <v>30</v>
      </c>
      <c r="B27" s="181">
        <f>'Données projet'!D40</f>
        <v>12.820512820512819</v>
      </c>
      <c r="C27" s="193">
        <v>13.5625</v>
      </c>
      <c r="D27" s="182">
        <f t="shared" si="2"/>
        <v>173.87820512820511</v>
      </c>
      <c r="E27" s="193">
        <v>60</v>
      </c>
      <c r="F27" s="233"/>
      <c r="G27" s="229"/>
      <c r="H27" s="190"/>
      <c r="I27" s="191"/>
      <c r="K27" s="208"/>
      <c r="L27" s="294"/>
      <c r="M27" s="295"/>
      <c r="N27" s="295"/>
      <c r="O27" s="295"/>
      <c r="P27" s="296"/>
      <c r="Q27" s="234"/>
      <c r="R27" s="23"/>
      <c r="S27" s="300" t="s">
        <v>267</v>
      </c>
      <c r="T27" s="300"/>
      <c r="U27" s="300"/>
      <c r="V27" s="300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5">
      <c r="A28" s="180">
        <f>'Données projet'!A41</f>
        <v>35</v>
      </c>
      <c r="B28" s="181">
        <f>'Données projet'!D41</f>
        <v>12.820512820512819</v>
      </c>
      <c r="C28" s="193">
        <v>13.5625</v>
      </c>
      <c r="D28" s="182">
        <f t="shared" si="2"/>
        <v>173.87820512820511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5">
      <c r="A29" s="180">
        <f>'Données projet'!A42</f>
        <v>40</v>
      </c>
      <c r="B29" s="181">
        <f>'Données projet'!D42</f>
        <v>12.820512820512819</v>
      </c>
      <c r="C29" s="193">
        <v>13.5625</v>
      </c>
      <c r="D29" s="182">
        <f t="shared" si="2"/>
        <v>173.87820512820511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5">
      <c r="A30" s="180">
        <f>'Données projet'!A43</f>
        <v>45</v>
      </c>
      <c r="B30" s="181">
        <f>'Données projet'!D43</f>
        <v>12.179487179487179</v>
      </c>
      <c r="C30" s="193">
        <v>13.5625</v>
      </c>
      <c r="D30" s="182">
        <f t="shared" si="2"/>
        <v>165.18429487179486</v>
      </c>
      <c r="E30" s="193">
        <v>60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1835.0076892581105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5">
      <c r="A31" s="180">
        <f>'Données projet'!A44</f>
        <v>50</v>
      </c>
      <c r="B31" s="181">
        <f>'Données projet'!D44</f>
        <v>11.538461538461538</v>
      </c>
      <c r="C31" s="193">
        <v>13.5625</v>
      </c>
      <c r="D31" s="182">
        <f t="shared" si="2"/>
        <v>156.49038461538461</v>
      </c>
      <c r="E31" s="193">
        <v>60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5">
      <c r="A32" s="180">
        <f>'Données projet'!A45</f>
        <v>55</v>
      </c>
      <c r="B32" s="181">
        <f>'Données projet'!D45</f>
        <v>10.897435897435898</v>
      </c>
      <c r="C32" s="193">
        <v>13.5625</v>
      </c>
      <c r="D32" s="182">
        <f t="shared" si="2"/>
        <v>147.79647435897436</v>
      </c>
      <c r="E32" s="193">
        <v>60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5">
      <c r="A33" s="180">
        <f>'Données projet'!A46</f>
        <v>60</v>
      </c>
      <c r="B33" s="181">
        <f>'Données projet'!D46</f>
        <v>10.256410256410255</v>
      </c>
      <c r="C33" s="193">
        <v>13.5625</v>
      </c>
      <c r="D33" s="182">
        <f t="shared" si="2"/>
        <v>139.10256410256409</v>
      </c>
      <c r="E33" s="193">
        <v>60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80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5">
      <c r="A34" s="180">
        <f>'Données projet'!A47</f>
        <v>65</v>
      </c>
      <c r="B34" s="181">
        <f>'Données projet'!D47</f>
        <v>9.615384615384615</v>
      </c>
      <c r="C34" s="193">
        <v>32.787500000000001</v>
      </c>
      <c r="D34" s="182">
        <f t="shared" si="2"/>
        <v>315.26442307692309</v>
      </c>
      <c r="E34" s="193">
        <v>60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76.555023923444978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5">
      <c r="A35" s="180">
        <f>'Données projet'!A48</f>
        <v>70</v>
      </c>
      <c r="B35" s="181">
        <f>'Données projet'!D48</f>
        <v>8.9743589743589745</v>
      </c>
      <c r="C35" s="193">
        <v>32.787500000000001</v>
      </c>
      <c r="D35" s="182">
        <f t="shared" si="2"/>
        <v>294.24679487179486</v>
      </c>
      <c r="E35" s="193">
        <v>60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73.258396098990417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5">
      <c r="A36" s="180">
        <f>'Données projet'!A49</f>
        <v>75</v>
      </c>
      <c r="B36" s="181">
        <f>'Données projet'!D49</f>
        <v>7.6923076923076916</v>
      </c>
      <c r="C36" s="193">
        <v>32.787500000000001</v>
      </c>
      <c r="D36" s="182">
        <f t="shared" si="2"/>
        <v>252.21153846153845</v>
      </c>
      <c r="E36" s="193">
        <v>60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70.103728324392748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5">
      <c r="A37" s="180">
        <f>'Données projet'!A50</f>
        <v>80</v>
      </c>
      <c r="B37" s="181">
        <f>'Données projet'!D50</f>
        <v>7.0512820512820511</v>
      </c>
      <c r="C37" s="193">
        <v>32.787500000000001</v>
      </c>
      <c r="D37" s="182">
        <f t="shared" si="2"/>
        <v>231.19391025641025</v>
      </c>
      <c r="E37" s="193">
        <v>60</v>
      </c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67.084907487457187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5">
      <c r="A38" s="180">
        <f>'Données projet'!A51</f>
        <v>85</v>
      </c>
      <c r="B38" s="181">
        <f>'Données projet'!D51</f>
        <v>6.4102564102564097</v>
      </c>
      <c r="C38" s="193">
        <v>32.787500000000001</v>
      </c>
      <c r="D38" s="182">
        <f t="shared" si="2"/>
        <v>210.17628205128204</v>
      </c>
      <c r="E38" s="193">
        <v>60</v>
      </c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64.19608372005473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5">
      <c r="A39" s="180">
        <f>'Données projet'!A52</f>
        <v>90</v>
      </c>
      <c r="B39" s="181">
        <f>'Données projet'!D52</f>
        <v>6.4102564102564097</v>
      </c>
      <c r="C39" s="193">
        <v>32.787500000000001</v>
      </c>
      <c r="D39" s="182">
        <f t="shared" si="2"/>
        <v>210.17628205128204</v>
      </c>
      <c r="E39" s="193">
        <v>60</v>
      </c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61.431659062253345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5">
      <c r="A40" s="180">
        <f>'Données projet'!A53</f>
        <v>95</v>
      </c>
      <c r="B40" s="181">
        <f>'Données projet'!D53</f>
        <v>7.0512820512820511</v>
      </c>
      <c r="C40" s="193">
        <v>32.787500000000001</v>
      </c>
      <c r="D40" s="182">
        <f t="shared" si="2"/>
        <v>231.19391025641025</v>
      </c>
      <c r="E40" s="193">
        <v>60</v>
      </c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58.786276614596495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5">
      <c r="A41" s="180">
        <f>'Données projet'!A54</f>
        <v>100</v>
      </c>
      <c r="B41" s="181">
        <f>'Données projet'!D54</f>
        <v>142.94871794871796</v>
      </c>
      <c r="C41" s="193">
        <v>32.787500000000001</v>
      </c>
      <c r="D41" s="182">
        <f t="shared" si="2"/>
        <v>4686.9310897435898</v>
      </c>
      <c r="E41" s="193">
        <v>60</v>
      </c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56.254810157508629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53.832354217711611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51.51421456240346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49.295899102778435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5">
      <c r="A45" s="46" t="s">
        <v>166</v>
      </c>
      <c r="B45" s="174" t="str">
        <f>IF('Données projet'!$B$10="","",'Données projet'!$B$10)</f>
        <v>Chêne pubescent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47.173109189261666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45.141731281590111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43.197828977598206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41.337635385261436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39.557545823216699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37.854110835614065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36.224029507764662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34.664143069631258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33.171428774766767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5">
      <c r="A54" s="180">
        <f>'Données projet'!A62</f>
        <v>44</v>
      </c>
      <c r="B54" s="181">
        <f>'Données projet'!D62</f>
        <v>76.680000000000007</v>
      </c>
      <c r="C54" s="191">
        <v>15</v>
      </c>
      <c r="D54" s="179">
        <f>B54*C54</f>
        <v>1150.2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31.742994042839005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5">
      <c r="A55" s="180">
        <f>'Données projet'!A63</f>
        <v>51</v>
      </c>
      <c r="B55" s="181">
        <f>'Données projet'!D63</f>
        <v>48.769999999999982</v>
      </c>
      <c r="C55" s="191">
        <v>15</v>
      </c>
      <c r="D55" s="179">
        <f t="shared" ref="D55:D73" si="4">B55*C55</f>
        <v>731.54999999999973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30.376070854391404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5">
      <c r="A56" s="180">
        <f>'Données projet'!A64</f>
        <v>59</v>
      </c>
      <c r="B56" s="181">
        <f>'Données projet'!D64</f>
        <v>52.75</v>
      </c>
      <c r="C56" s="191">
        <v>25</v>
      </c>
      <c r="D56" s="179">
        <f t="shared" si="4"/>
        <v>1318.75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29.068010386977416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5">
      <c r="A57" s="180">
        <f>'Données projet'!A65</f>
        <v>67</v>
      </c>
      <c r="B57" s="181">
        <f>'Données projet'!D65</f>
        <v>44.170000000000016</v>
      </c>
      <c r="C57" s="191">
        <v>25</v>
      </c>
      <c r="D57" s="179">
        <f t="shared" si="4"/>
        <v>1104.2500000000005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27.816277882275045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5">
      <c r="A58" s="180">
        <f>'Données projet'!A66</f>
        <v>75</v>
      </c>
      <c r="B58" s="181">
        <f>'Données projet'!D66</f>
        <v>43.289999999999992</v>
      </c>
      <c r="C58" s="191">
        <v>25</v>
      </c>
      <c r="D58" s="179">
        <f t="shared" si="4"/>
        <v>1082.2499999999998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26.618447734234497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5">
      <c r="A59" s="180">
        <f>'Données projet'!A67</f>
        <v>84</v>
      </c>
      <c r="B59" s="181">
        <f>'Données projet'!D67</f>
        <v>49.669999999999987</v>
      </c>
      <c r="C59" s="191">
        <v>25</v>
      </c>
      <c r="D59" s="179">
        <f t="shared" si="4"/>
        <v>1241.7499999999998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25.472198788741153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5">
      <c r="A60" s="180">
        <f>'Données projet'!A68</f>
        <v>93</v>
      </c>
      <c r="B60" s="181">
        <f>'Données projet'!D68</f>
        <v>42.910000000000025</v>
      </c>
      <c r="C60" s="191">
        <v>25</v>
      </c>
      <c r="D60" s="179">
        <f t="shared" si="4"/>
        <v>1072.7500000000007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24.375309845685312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5">
      <c r="A61" s="180">
        <f>'Données projet'!A69</f>
        <v>103</v>
      </c>
      <c r="B61" s="181">
        <f>'Données projet'!D69</f>
        <v>56.789999999999964</v>
      </c>
      <c r="C61" s="191">
        <v>25</v>
      </c>
      <c r="D61" s="179">
        <f t="shared" si="4"/>
        <v>1419.7499999999991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23.325655354722791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5">
      <c r="A62" s="180">
        <f>'Données projet'!A70</f>
        <v>113</v>
      </c>
      <c r="B62" s="181">
        <f>'Données projet'!D70</f>
        <v>45.660000000000025</v>
      </c>
      <c r="C62" s="191">
        <v>48</v>
      </c>
      <c r="D62" s="179">
        <f t="shared" si="4"/>
        <v>2191.6800000000012</v>
      </c>
      <c r="E62" s="193">
        <v>60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22.321201296385443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5">
      <c r="A63" s="180">
        <f>'Données projet'!A71</f>
        <v>125</v>
      </c>
      <c r="B63" s="181">
        <f>'Données projet'!D71</f>
        <v>70</v>
      </c>
      <c r="C63" s="191">
        <v>48</v>
      </c>
      <c r="D63" s="179">
        <f t="shared" si="4"/>
        <v>3360</v>
      </c>
      <c r="E63" s="193">
        <v>60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21.360001240560241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5">
      <c r="A64" s="180">
        <f>'Données projet'!A72</f>
        <v>137</v>
      </c>
      <c r="B64" s="181">
        <f>'Données projet'!D72</f>
        <v>74.669999999999959</v>
      </c>
      <c r="C64" s="191">
        <v>48</v>
      </c>
      <c r="D64" s="179">
        <f t="shared" si="4"/>
        <v>3584.159999999998</v>
      </c>
      <c r="E64" s="193">
        <v>60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20.440192574698791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5">
      <c r="A65" s="180">
        <f>'Données projet'!A73</f>
        <v>149</v>
      </c>
      <c r="B65" s="181">
        <f>'Données projet'!D73</f>
        <v>176.67000000000002</v>
      </c>
      <c r="C65" s="191">
        <v>82</v>
      </c>
      <c r="D65" s="179">
        <f t="shared" si="4"/>
        <v>14486.94</v>
      </c>
      <c r="E65" s="193">
        <v>60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19.559992894448612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5">
      <c r="A66" s="180">
        <f>'Données projet'!A74</f>
        <v>153</v>
      </c>
      <c r="B66" s="181">
        <f>'Données projet'!D74</f>
        <v>102.89000000000001</v>
      </c>
      <c r="C66" s="191">
        <v>82</v>
      </c>
      <c r="D66" s="179">
        <f t="shared" si="4"/>
        <v>8436.9800000000014</v>
      </c>
      <c r="E66" s="193">
        <v>60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18.717696549711594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5">
      <c r="A67" s="180">
        <f>'Données projet'!A75</f>
        <v>157</v>
      </c>
      <c r="B67" s="181">
        <f>'Données projet'!D75</f>
        <v>67.13000000000001</v>
      </c>
      <c r="C67" s="191">
        <v>82</v>
      </c>
      <c r="D67" s="179">
        <f t="shared" si="4"/>
        <v>5504.6600000000008</v>
      </c>
      <c r="E67" s="193">
        <v>60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17.911671339436936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5">
      <c r="A68" s="180">
        <f>'Données projet'!A76</f>
        <v>161</v>
      </c>
      <c r="B68" s="181">
        <f>'Données projet'!D76</f>
        <v>134.26</v>
      </c>
      <c r="C68" s="191">
        <v>82</v>
      </c>
      <c r="D68" s="179">
        <f t="shared" si="4"/>
        <v>11009.32</v>
      </c>
      <c r="E68" s="193">
        <v>60</v>
      </c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17.14035534874348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16.402253922242565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15.695936767696237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15.020035184398315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14.373239410907479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13.754296086992806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13.1620058248735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12.595220885046414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5">
      <c r="A76" s="46" t="s">
        <v>167</v>
      </c>
      <c r="B76" s="174" t="str">
        <f>IF('Données projet'!B11="","",'Données projet'!B11)</f>
        <v>Chêne vert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12.052842952197524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11.533821006887585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11.03714928888764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10.561865348217841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10.107048180112765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9.6718164402993008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9.2553267371285184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8.8567719972521726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8.4753799016767193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5">
      <c r="A85" s="180">
        <f>'Données projet'!A88</f>
        <v>60</v>
      </c>
      <c r="B85" s="181">
        <f>'Données projet'!D88</f>
        <v>72.87</v>
      </c>
      <c r="C85" s="191">
        <v>15</v>
      </c>
      <c r="D85" s="179">
        <f>B85*C85</f>
        <v>1093.0500000000002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8.1104113891643266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5">
      <c r="A86" s="180">
        <f>'Données projet'!A89</f>
        <v>69</v>
      </c>
      <c r="B86" s="181">
        <f>'Données projet'!D89</f>
        <v>42.22</v>
      </c>
      <c r="C86" s="191">
        <v>15</v>
      </c>
      <c r="D86" s="179">
        <f t="shared" ref="D86:D104" si="6">B86*C86</f>
        <v>633.29999999999995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7.7611592240806955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5">
      <c r="A87" s="180">
        <f>'Données projet'!A90</f>
        <v>77</v>
      </c>
      <c r="B87" s="181">
        <f>'Données projet'!D90</f>
        <v>33.950000000000017</v>
      </c>
      <c r="C87" s="191">
        <v>15</v>
      </c>
      <c r="D87" s="179">
        <f t="shared" si="6"/>
        <v>509.25000000000023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7.4269466259145442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5">
      <c r="A88" s="180">
        <f>'Données projet'!A91</f>
        <v>86</v>
      </c>
      <c r="B88" s="181">
        <f>'Données projet'!D91</f>
        <v>37.54000000000002</v>
      </c>
      <c r="C88" s="191">
        <v>25</v>
      </c>
      <c r="D88" s="179">
        <f t="shared" si="6"/>
        <v>938.50000000000045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7.1071259578129595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5">
      <c r="A89" s="180">
        <f>'Données projet'!A92</f>
        <v>95</v>
      </c>
      <c r="B89" s="181">
        <f>'Données projet'!D92</f>
        <v>42.199999999999989</v>
      </c>
      <c r="C89" s="191">
        <v>25</v>
      </c>
      <c r="D89" s="179">
        <f t="shared" si="6"/>
        <v>1054.9999999999998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6.8010774715913502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5">
      <c r="A90" s="180">
        <f>'Données projet'!A93</f>
        <v>104</v>
      </c>
      <c r="B90" s="181">
        <f>'Données projet'!D93</f>
        <v>39.400000000000006</v>
      </c>
      <c r="C90" s="191">
        <v>25</v>
      </c>
      <c r="D90" s="179">
        <f t="shared" si="6"/>
        <v>985.00000000000011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6.5082081067859825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5">
      <c r="A91" s="180">
        <f>'Données projet'!A94</f>
        <v>113</v>
      </c>
      <c r="B91" s="181">
        <f>'Données projet'!D94</f>
        <v>41.639999999999986</v>
      </c>
      <c r="C91" s="191">
        <v>25</v>
      </c>
      <c r="D91" s="179">
        <f t="shared" si="6"/>
        <v>1040.9999999999995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6.2279503414219937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5">
      <c r="A92" s="180">
        <f>'Données projet'!A95</f>
        <v>122</v>
      </c>
      <c r="B92" s="181">
        <f>'Données projet'!D95</f>
        <v>45.829999999999984</v>
      </c>
      <c r="C92" s="191">
        <v>25</v>
      </c>
      <c r="D92" s="179">
        <f t="shared" si="6"/>
        <v>1145.7499999999995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5.9597610922698507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5">
      <c r="A93" s="180">
        <f>'Données projet'!A96</f>
        <v>132</v>
      </c>
      <c r="B93" s="181">
        <f>'Données projet'!D96</f>
        <v>48.699999999999989</v>
      </c>
      <c r="C93" s="191">
        <v>25</v>
      </c>
      <c r="D93" s="179">
        <f t="shared" si="6"/>
        <v>1217.4999999999998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5.7031206624591881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5">
      <c r="A94" s="180">
        <f>'Données projet'!A97</f>
        <v>144</v>
      </c>
      <c r="B94" s="181">
        <f>'Données projet'!D97</f>
        <v>60.949999999999989</v>
      </c>
      <c r="C94" s="191">
        <v>25</v>
      </c>
      <c r="D94" s="179">
        <f t="shared" si="6"/>
        <v>1523.7499999999998</v>
      </c>
      <c r="E94" s="193">
        <v>60</v>
      </c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5.457531734410705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5">
      <c r="A95" s="180">
        <f>'Données projet'!A98</f>
        <v>156</v>
      </c>
      <c r="B95" s="181">
        <f>'Données projet'!D98</f>
        <v>65.69</v>
      </c>
      <c r="C95" s="191">
        <v>48</v>
      </c>
      <c r="D95" s="179">
        <f t="shared" si="6"/>
        <v>3153.12</v>
      </c>
      <c r="E95" s="193">
        <v>60</v>
      </c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5.2225184061346486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5">
      <c r="A96" s="180">
        <f>'Données projet'!A99</f>
        <v>168</v>
      </c>
      <c r="B96" s="181">
        <f>'Données projet'!D99</f>
        <v>71.37</v>
      </c>
      <c r="C96" s="191">
        <v>48</v>
      </c>
      <c r="D96" s="179">
        <f t="shared" si="6"/>
        <v>3425.76</v>
      </c>
      <c r="E96" s="193">
        <v>60</v>
      </c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4.9976252690283705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5">
      <c r="A97" s="180">
        <f>'Données projet'!A100</f>
        <v>180</v>
      </c>
      <c r="B97" s="181">
        <f>'Données projet'!D100</f>
        <v>175.59000000000003</v>
      </c>
      <c r="C97" s="191">
        <v>48</v>
      </c>
      <c r="D97" s="179">
        <f t="shared" si="6"/>
        <v>8428.3200000000015</v>
      </c>
      <c r="E97" s="193">
        <v>60</v>
      </c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4.7824165253860036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5">
      <c r="A98" s="180">
        <f>'Données projet'!A101</f>
        <v>184</v>
      </c>
      <c r="B98" s="181">
        <f>'Données projet'!D101</f>
        <v>101.19999999999999</v>
      </c>
      <c r="C98" s="191">
        <v>48</v>
      </c>
      <c r="D98" s="179">
        <f t="shared" si="6"/>
        <v>4857.5999999999995</v>
      </c>
      <c r="E98" s="193">
        <v>60</v>
      </c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4.5764751439100513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5">
      <c r="A99" s="180">
        <f>'Données projet'!A102</f>
        <v>188</v>
      </c>
      <c r="B99" s="181">
        <f>'Données projet'!D102</f>
        <v>72.180000000000007</v>
      </c>
      <c r="C99" s="191">
        <v>48</v>
      </c>
      <c r="D99" s="179">
        <f t="shared" si="6"/>
        <v>3464.6400000000003</v>
      </c>
      <c r="E99" s="193">
        <v>60</v>
      </c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4.379402051588567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5">
      <c r="A100" s="180">
        <f>'Données projet'!A103</f>
        <v>191</v>
      </c>
      <c r="B100" s="181">
        <f>'Données projet'!D103</f>
        <v>145.01</v>
      </c>
      <c r="C100" s="191">
        <v>82</v>
      </c>
      <c r="D100" s="179">
        <f t="shared" si="6"/>
        <v>11890.82</v>
      </c>
      <c r="E100" s="193">
        <v>60</v>
      </c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4.1908153603718343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4.0103496271500809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3.837655145598164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3.6723972685149904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3.5142557593444885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3.362924171621521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3.2181092551402117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5">
      <c r="A107" s="46" t="s">
        <v>168</v>
      </c>
      <c r="B107" s="174" t="str">
        <f>IF('Données projet'!B12="","",'Données projet'!B12)</f>
        <v>Cormier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3.0795303876939828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2.9469190312861078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2.8200182117570418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2.6985820208201354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2.5823751395408001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2.4711723823356939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2.3647582606083204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>
        <f>IF(O113+1&lt;=MIN('Données projet'!$E$9:$E$18),O113+1,"STOP")</f>
        <v>81</v>
      </c>
      <c r="P114" s="185">
        <f t="shared" si="7"/>
        <v>2.2629265651754262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>
        <f>IF(O114+1&lt;=MIN('Données projet'!$E$9:$E$18),O114+1,"STOP")</f>
        <v>82</v>
      </c>
      <c r="P115" s="185">
        <f t="shared" si="7"/>
        <v>2.1654799666750493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5">
      <c r="A116" s="180">
        <f>'Données projet'!A114</f>
        <v>38</v>
      </c>
      <c r="B116" s="181">
        <f>'Données projet'!D114</f>
        <v>71.569999999999993</v>
      </c>
      <c r="C116" s="191">
        <v>15</v>
      </c>
      <c r="D116" s="179">
        <f>B116*C116</f>
        <v>1073.55</v>
      </c>
      <c r="E116" s="193">
        <v>60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>
        <f>IF(O115+1&lt;=MIN('Données projet'!$E$9:$E$18),O115+1,"STOP")</f>
        <v>83</v>
      </c>
      <c r="P116" s="185">
        <f t="shared" si="7"/>
        <v>2.0722296331818657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5">
      <c r="A117" s="180">
        <f>'Données projet'!A115</f>
        <v>45</v>
      </c>
      <c r="B117" s="181">
        <f>'Données projet'!D115</f>
        <v>41.69</v>
      </c>
      <c r="C117" s="191">
        <v>15</v>
      </c>
      <c r="D117" s="179">
        <f t="shared" ref="D117:D135" si="8">B117*C117</f>
        <v>625.34999999999991</v>
      </c>
      <c r="E117" s="193">
        <v>60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>
        <f>IF(O116+1&lt;=MIN('Données projet'!$E$9:$E$18),O116+1,"STOP")</f>
        <v>84</v>
      </c>
      <c r="P117" s="185">
        <f t="shared" si="7"/>
        <v>1.9829948642888671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5">
      <c r="A118" s="180">
        <f>'Données projet'!A116</f>
        <v>52</v>
      </c>
      <c r="B118" s="181">
        <f>'Données projet'!D116</f>
        <v>44.400000000000006</v>
      </c>
      <c r="C118" s="191">
        <v>32</v>
      </c>
      <c r="D118" s="179">
        <f t="shared" si="8"/>
        <v>1420.8000000000002</v>
      </c>
      <c r="E118" s="193">
        <v>60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>
        <f>IF(O117+1&lt;=MIN('Données projet'!$E$9:$E$18),O117+1,"STOP")</f>
        <v>85</v>
      </c>
      <c r="P118" s="185">
        <f t="shared" si="7"/>
        <v>1.8976027409462841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5">
      <c r="A119" s="180">
        <f>'Données projet'!A117</f>
        <v>59</v>
      </c>
      <c r="B119" s="181">
        <f>'Données projet'!D117</f>
        <v>41.81</v>
      </c>
      <c r="C119" s="191">
        <v>32</v>
      </c>
      <c r="D119" s="179">
        <f t="shared" si="8"/>
        <v>1337.92</v>
      </c>
      <c r="E119" s="193">
        <v>60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>
        <f>IF(O118+1&lt;=MIN('Données projet'!$E$9:$E$18),O118+1,"STOP")</f>
        <v>86</v>
      </c>
      <c r="P119" s="185">
        <f t="shared" si="7"/>
        <v>1.8158877903792197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5">
      <c r="A120" s="180">
        <f>'Données projet'!A118</f>
        <v>67</v>
      </c>
      <c r="B120" s="181">
        <f>'Données projet'!D118</f>
        <v>42.550000000000011</v>
      </c>
      <c r="C120" s="191">
        <v>32</v>
      </c>
      <c r="D120" s="179">
        <f t="shared" si="8"/>
        <v>1361.6000000000004</v>
      </c>
      <c r="E120" s="193">
        <v>60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>
        <f>IF(O119+1&lt;=MIN('Données projet'!$E$9:$E$18),O119+1,"STOP")</f>
        <v>87</v>
      </c>
      <c r="P120" s="185">
        <f t="shared" si="7"/>
        <v>1.7376916654346599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5">
      <c r="A121" s="180">
        <f>'Données projet'!A119</f>
        <v>75</v>
      </c>
      <c r="B121" s="181">
        <f>'Données projet'!D119</f>
        <v>43.519999999999982</v>
      </c>
      <c r="C121" s="191">
        <v>32</v>
      </c>
      <c r="D121" s="179">
        <f t="shared" si="8"/>
        <v>1392.6399999999994</v>
      </c>
      <c r="E121" s="193">
        <v>60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>
        <f>IF(O120+1&lt;=MIN('Données projet'!$E$9:$E$18),O120+1,"STOP")</f>
        <v>88</v>
      </c>
      <c r="P121" s="185">
        <f t="shared" si="7"/>
        <v>1.6628628377365171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5">
      <c r="A122" s="180">
        <f>'Données projet'!A120</f>
        <v>83</v>
      </c>
      <c r="B122" s="181">
        <f>'Données projet'!D120</f>
        <v>49.980000000000018</v>
      </c>
      <c r="C122" s="191">
        <v>32</v>
      </c>
      <c r="D122" s="179">
        <f t="shared" si="8"/>
        <v>1599.3600000000006</v>
      </c>
      <c r="E122" s="193">
        <v>60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>
        <f>IF(O121+1&lt;=MIN('Données projet'!$E$9:$E$18),O121+1,"STOP")</f>
        <v>89</v>
      </c>
      <c r="P122" s="185">
        <f t="shared" si="7"/>
        <v>1.5912563040540835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5">
      <c r="A123" s="180">
        <f>'Données projet'!A121</f>
        <v>93</v>
      </c>
      <c r="B123" s="181">
        <f>'Données projet'!D121</f>
        <v>67.45999999999998</v>
      </c>
      <c r="C123" s="191">
        <v>63</v>
      </c>
      <c r="D123" s="179">
        <f t="shared" si="8"/>
        <v>4249.9799999999987</v>
      </c>
      <c r="E123" s="193">
        <v>60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>
        <f>IF(O122+1&lt;=MIN('Données projet'!$E$9:$E$18),O122+1,"STOP")</f>
        <v>90</v>
      </c>
      <c r="P123" s="185">
        <f t="shared" si="7"/>
        <v>1.5227333053149128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5">
      <c r="A124" s="180">
        <f>'Données projet'!A122</f>
        <v>103</v>
      </c>
      <c r="B124" s="181">
        <f>'Données projet'!D122</f>
        <v>67.759999999999991</v>
      </c>
      <c r="C124" s="191">
        <v>63</v>
      </c>
      <c r="D124" s="179">
        <f t="shared" si="8"/>
        <v>4268.8799999999992</v>
      </c>
      <c r="E124" s="193">
        <v>60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>
        <f>IF(O123+1&lt;=MIN('Données projet'!$E$9:$E$18),O123+1,"STOP")</f>
        <v>91</v>
      </c>
      <c r="P124" s="185">
        <f t="shared" si="7"/>
        <v>1.4571610577176197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5">
      <c r="A125" s="180">
        <f>'Données projet'!A123</f>
        <v>113</v>
      </c>
      <c r="B125" s="181">
        <f>'Données projet'!D123</f>
        <v>68.670000000000016</v>
      </c>
      <c r="C125" s="191">
        <v>63</v>
      </c>
      <c r="D125" s="179">
        <f t="shared" si="8"/>
        <v>4326.2100000000009</v>
      </c>
      <c r="E125" s="193">
        <v>60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>
        <f>IF(O124+1&lt;=MIN('Données projet'!$E$9:$E$18),O124+1,"STOP")</f>
        <v>92</v>
      </c>
      <c r="P125" s="185">
        <f t="shared" si="7"/>
        <v>1.3944124954235599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5">
      <c r="A126" s="180">
        <f>'Données projet'!A124</f>
        <v>123</v>
      </c>
      <c r="B126" s="181">
        <f>'Données projet'!D124</f>
        <v>203.78999999999996</v>
      </c>
      <c r="C126" s="191">
        <v>92</v>
      </c>
      <c r="D126" s="179">
        <f t="shared" si="8"/>
        <v>18748.679999999997</v>
      </c>
      <c r="E126" s="193">
        <v>60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>
        <f>IF(O125+1&lt;=MIN('Données projet'!$E$9:$E$18),O125+1,"STOP")</f>
        <v>93</v>
      </c>
      <c r="P126" s="185">
        <f t="shared" si="7"/>
        <v>1.3343660243287654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5">
      <c r="A127" s="180">
        <f>'Données projet'!A125</f>
        <v>125</v>
      </c>
      <c r="B127" s="181">
        <f>'Données projet'!D125</f>
        <v>70.609999999999985</v>
      </c>
      <c r="C127" s="191">
        <v>92</v>
      </c>
      <c r="D127" s="179">
        <f t="shared" si="8"/>
        <v>6496.119999999999</v>
      </c>
      <c r="E127" s="193">
        <v>60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>
        <f>IF(O126+1&lt;=MIN('Données projet'!$E$9:$E$18),O126+1,"STOP")</f>
        <v>94</v>
      </c>
      <c r="P127" s="185">
        <f t="shared" si="7"/>
        <v>1.2769052864390105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5">
      <c r="A128" s="180">
        <f>'Données projet'!A126</f>
        <v>127</v>
      </c>
      <c r="B128" s="181">
        <f>'Données projet'!D126</f>
        <v>46.039999999999992</v>
      </c>
      <c r="C128" s="191">
        <v>92</v>
      </c>
      <c r="D128" s="179">
        <f t="shared" si="8"/>
        <v>4235.6799999999994</v>
      </c>
      <c r="E128" s="193">
        <v>60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>
        <f>IF(O127+1&lt;=MIN('Données projet'!$E$9:$E$18),O127+1,"STOP")</f>
        <v>95</v>
      </c>
      <c r="P128" s="185">
        <f t="shared" si="7"/>
        <v>1.2219189343913972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5">
      <c r="A129" s="180">
        <f>'Données projet'!A127</f>
        <v>130</v>
      </c>
      <c r="B129" s="181">
        <f>'Données projet'!D127</f>
        <v>112.75</v>
      </c>
      <c r="C129" s="191">
        <v>92</v>
      </c>
      <c r="D129" s="179">
        <f t="shared" si="8"/>
        <v>10373</v>
      </c>
      <c r="E129" s="193">
        <v>60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>
        <f>IF(O128+1&lt;=MIN('Données projet'!$E$9:$E$18),O128+1,"STOP")</f>
        <v>96</v>
      </c>
      <c r="P129" s="185">
        <f t="shared" ref="P129:P132" si="9">$P$25/(1+$M$4)^O129</f>
        <v>1.1693004156855482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>
        <f>IF(O129+1&lt;=MIN('Données projet'!$E$9:$E$18),O129+1,"STOP")</f>
        <v>97</v>
      </c>
      <c r="P130" s="185">
        <f t="shared" si="9"/>
        <v>1.1189477662062666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>
        <f>IF(O130+1&lt;=MIN('Données projet'!$E$9:$E$18),O130+1,"STOP")</f>
        <v>98</v>
      </c>
      <c r="P131" s="185">
        <f t="shared" si="9"/>
        <v>1.0707634126375756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>
        <f>IF(O131+1&lt;=MIN('Données projet'!$E$9:$E$18),O131+1,"STOP")</f>
        <v>99</v>
      </c>
      <c r="P132" s="185">
        <f t="shared" si="9"/>
        <v>1.0246539833852397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eate a new document." ma:contentTypeScope="" ma:versionID="b650ad57ab3a7623fd3df204a7303bfb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87e2e07588c417d1119dc0de3bcdcb0c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Props1.xml><?xml version="1.0" encoding="utf-8"?>
<ds:datastoreItem xmlns:ds="http://schemas.openxmlformats.org/officeDocument/2006/customXml" ds:itemID="{9B81553E-2140-4B47-B618-8EA6F35DD7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Lucas ELLENS</cp:lastModifiedBy>
  <dcterms:created xsi:type="dcterms:W3CDTF">2021-02-01T08:22:39Z</dcterms:created>
  <dcterms:modified xsi:type="dcterms:W3CDTF">2024-09-11T10:22:44Z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