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COSSEC (Vezins) - 13792300 LE/"/>
    </mc:Choice>
  </mc:AlternateContent>
  <xr:revisionPtr revIDLastSave="148" documentId="13_ncr:1_{91C62E09-7A97-40C6-8A6D-8C8B5668C142}" xr6:coauthVersionLast="47" xr6:coauthVersionMax="47" xr10:uidLastSave="{41A11B9F-38C5-4855-A64D-24DBB05A9837}"/>
  <bookViews>
    <workbookView xWindow="-28920" yWindow="7515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D155" i="2" s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ED161" i="2" s="1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D163" i="2" s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DG167" i="2"/>
  <c r="EA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B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DI200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24" i="2" l="1" a="1"/>
  <c r="CS24" i="2" s="1"/>
  <c r="CS38" i="2" a="1"/>
  <c r="CS38" i="2" s="1"/>
  <c r="CS52" i="2" a="1"/>
  <c r="CS52" i="2" s="1"/>
  <c r="CS129" i="2" a="1"/>
  <c r="CS129" i="2" s="1"/>
  <c r="CS105" i="2" a="1"/>
  <c r="CS105" i="2" s="1"/>
  <c r="AH163" i="2" a="1"/>
  <c r="AH163" i="2" s="1"/>
  <c r="AH199" i="2" a="1"/>
  <c r="AH199" i="2" s="1"/>
  <c r="AH166" i="2" a="1"/>
  <c r="AH166" i="2" s="1"/>
  <c r="AH62" i="2" a="1"/>
  <c r="AH62" i="2" s="1"/>
  <c r="AH92" i="2" a="1"/>
  <c r="AH92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11" i="2" l="1"/>
  <c r="CD193" i="2"/>
  <c r="CD23" i="2"/>
  <c r="CD163" i="2"/>
  <c r="CD203" i="2"/>
  <c r="CD3" i="2"/>
  <c r="C9" i="4" s="1"/>
  <c r="E9" i="4" s="1"/>
  <c r="F9" i="4" s="1"/>
  <c r="G9" i="4" s="1"/>
  <c r="L9" i="4" s="1"/>
  <c r="CD170" i="2"/>
  <c r="CD71" i="2"/>
  <c r="CD60" i="2"/>
  <c r="CD110" i="2"/>
  <c r="CD79" i="2"/>
  <c r="CD154" i="2"/>
  <c r="CD88" i="2"/>
  <c r="CD63" i="2"/>
  <c r="CD81" i="2"/>
  <c r="CD104" i="2"/>
  <c r="CD201" i="2"/>
  <c r="CD125" i="2"/>
  <c r="CD47" i="2"/>
  <c r="CD174" i="2"/>
  <c r="CD17" i="2"/>
  <c r="CD138" i="2"/>
  <c r="CD187" i="2"/>
  <c r="CD28" i="2"/>
  <c r="CD107" i="2"/>
  <c r="CD97" i="2"/>
  <c r="CD158" i="2"/>
  <c r="CD58" i="2"/>
  <c r="CD157" i="2"/>
  <c r="CD198" i="2"/>
  <c r="CD116" i="2"/>
  <c r="CD21" i="2"/>
  <c r="CD156" i="2"/>
  <c r="CD49" i="2"/>
  <c r="CD86" i="2"/>
  <c r="CD130" i="2"/>
  <c r="CD68" i="2"/>
  <c r="CD61" i="2"/>
  <c r="CD32" i="2"/>
  <c r="CD191" i="2"/>
  <c r="CD146" i="2"/>
  <c r="CD189" i="2"/>
  <c r="CD74" i="2"/>
  <c r="CD144" i="2"/>
  <c r="CD94" i="2"/>
  <c r="CD121" i="2"/>
  <c r="CD59" i="2"/>
  <c r="CD7" i="2"/>
  <c r="CD96" i="2"/>
  <c r="CD64" i="2"/>
  <c r="CD155" i="2"/>
  <c r="CD122" i="2"/>
  <c r="CD72" i="2"/>
  <c r="CD109" i="2"/>
  <c r="CD20" i="2"/>
  <c r="CD67" i="2"/>
  <c r="CD140" i="2"/>
  <c r="CD162" i="2"/>
  <c r="CD37" i="2"/>
  <c r="CD195" i="2"/>
  <c r="CD80" i="2"/>
  <c r="CD56" i="2"/>
  <c r="CD35" i="2"/>
  <c r="CD152" i="2"/>
  <c r="CD77" i="2"/>
  <c r="CD87" i="2"/>
  <c r="CD181" i="2"/>
  <c r="CD36" i="2"/>
  <c r="CD165" i="2"/>
  <c r="CD185" i="2"/>
  <c r="CD164" i="2"/>
  <c r="CD132" i="2"/>
  <c r="CD65" i="2"/>
  <c r="CD30" i="2"/>
  <c r="CD84" i="2"/>
  <c r="CD123" i="2"/>
  <c r="CD199" i="2"/>
  <c r="CD145" i="2"/>
  <c r="CD127" i="2"/>
  <c r="CD200" i="2"/>
  <c r="CD192" i="2"/>
  <c r="CD131" i="2"/>
  <c r="CD39" i="2"/>
  <c r="CD128" i="2"/>
  <c r="CD66" i="2"/>
  <c r="CD22" i="2"/>
  <c r="CD188" i="2"/>
  <c r="CD114" i="2"/>
  <c r="CD180" i="2"/>
  <c r="CD41" i="2"/>
  <c r="CD10" i="2"/>
  <c r="CD12" i="2"/>
  <c r="CD151" i="2"/>
  <c r="CD194" i="2"/>
  <c r="CD19" i="2"/>
  <c r="CD159" i="2"/>
  <c r="CD169" i="2"/>
  <c r="CD99" i="2"/>
  <c r="CD148" i="2"/>
  <c r="CD89" i="2"/>
  <c r="CD48" i="2"/>
  <c r="CD166" i="2"/>
  <c r="CD26" i="2"/>
  <c r="CD190" i="2"/>
  <c r="CD150" i="2"/>
  <c r="CD27" i="2"/>
  <c r="CD51" i="2"/>
  <c r="CD183" i="2"/>
  <c r="CD161" i="2"/>
  <c r="CD54" i="2"/>
  <c r="CD33" i="2"/>
  <c r="CD44" i="2"/>
  <c r="CD136" i="2"/>
  <c r="CD78" i="2"/>
  <c r="CD76" i="2"/>
  <c r="CD129" i="2"/>
  <c r="CD57" i="2"/>
  <c r="CD167" i="2"/>
  <c r="CD118" i="2"/>
  <c r="CD8" i="2"/>
  <c r="CD112" i="2"/>
  <c r="CD120" i="2"/>
  <c r="CD16" i="2"/>
  <c r="CD126" i="2"/>
  <c r="CD34" i="2"/>
  <c r="CD46" i="2"/>
  <c r="CD95" i="2"/>
  <c r="CD98" i="2"/>
  <c r="CD101" i="2"/>
  <c r="CD168" i="2"/>
  <c r="CD184" i="2"/>
  <c r="CD197" i="2"/>
  <c r="CD141" i="2"/>
  <c r="CD142" i="2"/>
  <c r="CD153" i="2"/>
  <c r="CD134" i="2"/>
  <c r="CD18" i="2"/>
  <c r="CD50" i="2"/>
  <c r="CD113" i="2"/>
  <c r="CD92" i="2"/>
  <c r="CD172" i="2"/>
  <c r="CD11" i="2"/>
  <c r="CD70" i="2"/>
  <c r="CD93" i="2"/>
  <c r="CD15" i="2"/>
  <c r="CD178" i="2"/>
  <c r="CD117" i="2"/>
  <c r="CD103" i="2"/>
  <c r="CD106" i="2"/>
  <c r="CD55" i="2"/>
  <c r="CD45" i="2"/>
  <c r="CD75" i="2"/>
  <c r="CD182" i="2"/>
  <c r="CD149" i="2"/>
  <c r="CD202" i="2"/>
  <c r="CD179" i="2"/>
  <c r="CD83" i="2"/>
  <c r="CD196" i="2"/>
  <c r="CD119" i="2"/>
  <c r="CD143" i="2"/>
  <c r="CD85" i="2"/>
  <c r="CD171" i="2"/>
  <c r="CD135" i="2"/>
  <c r="CD105" i="2"/>
  <c r="CD14" i="2"/>
  <c r="CD115" i="2"/>
  <c r="CD25" i="2"/>
  <c r="CD40" i="2"/>
  <c r="CD139" i="2"/>
  <c r="CD91" i="2"/>
  <c r="CD177" i="2"/>
  <c r="CD5" i="2"/>
  <c r="CD137" i="2"/>
  <c r="CD6" i="2"/>
  <c r="CD108" i="2"/>
  <c r="CD133" i="2"/>
  <c r="CD43" i="2"/>
  <c r="CD52" i="2"/>
  <c r="CD124" i="2"/>
  <c r="CD102" i="2"/>
  <c r="CD38" i="2"/>
  <c r="CD176" i="2"/>
  <c r="CD31" i="2"/>
  <c r="CD62" i="2"/>
  <c r="CD175" i="2"/>
  <c r="CD147" i="2"/>
  <c r="CD160" i="2"/>
  <c r="CD69" i="2"/>
  <c r="CD82" i="2"/>
  <c r="CD13" i="2"/>
  <c r="CD9" i="2"/>
  <c r="CD24" i="2"/>
  <c r="CD4" i="2"/>
  <c r="CD186" i="2"/>
  <c r="CD42" i="2"/>
  <c r="CD73" i="2"/>
  <c r="CD173" i="2"/>
  <c r="CD100" i="2"/>
  <c r="CD53" i="2"/>
  <c r="CD90" i="2"/>
  <c r="CD29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30" i="2" l="1"/>
  <c r="BI145" i="2"/>
  <c r="BI18" i="2"/>
  <c r="BI53" i="2"/>
  <c r="BI199" i="2"/>
  <c r="BI90" i="2"/>
  <c r="BI166" i="2"/>
  <c r="BI48" i="2"/>
  <c r="BI81" i="2"/>
  <c r="BI4" i="2"/>
  <c r="BI96" i="2"/>
  <c r="BI201" i="2"/>
  <c r="BI161" i="2"/>
  <c r="BI25" i="2"/>
  <c r="BI8" i="2"/>
  <c r="BI164" i="2"/>
  <c r="BI148" i="2"/>
  <c r="BI95" i="2"/>
  <c r="BI110" i="2"/>
  <c r="BI191" i="2"/>
  <c r="BI47" i="2"/>
  <c r="BI188" i="2"/>
  <c r="BI178" i="2"/>
  <c r="BI52" i="2"/>
  <c r="BI100" i="2"/>
  <c r="BI7" i="2"/>
  <c r="BI34" i="2"/>
  <c r="BI46" i="2"/>
  <c r="BI134" i="2"/>
  <c r="BI67" i="2"/>
  <c r="BI6" i="2"/>
  <c r="BI157" i="2"/>
  <c r="BI17" i="2"/>
  <c r="BI170" i="2"/>
  <c r="BI150" i="2"/>
  <c r="BI74" i="2"/>
  <c r="BI184" i="2"/>
  <c r="BI194" i="2"/>
  <c r="BI14" i="2"/>
  <c r="BI181" i="2"/>
  <c r="BI11" i="2"/>
  <c r="BI64" i="2"/>
  <c r="BI130" i="2"/>
  <c r="BI106" i="2"/>
  <c r="BI19" i="2"/>
  <c r="BI49" i="2"/>
  <c r="BI162" i="2"/>
  <c r="BI40" i="2"/>
  <c r="BI50" i="2"/>
  <c r="BI36" i="2"/>
  <c r="BI126" i="2"/>
  <c r="BI79" i="2"/>
  <c r="BI151" i="2"/>
  <c r="BI88" i="2"/>
  <c r="BI16" i="2"/>
  <c r="BI180" i="2"/>
  <c r="BI24" i="2"/>
  <c r="BI203" i="2"/>
  <c r="BI42" i="2"/>
  <c r="BI133" i="2"/>
  <c r="BI128" i="2"/>
  <c r="BI102" i="2"/>
  <c r="BI99" i="2"/>
  <c r="BI65" i="2"/>
  <c r="BI137" i="2"/>
  <c r="BI121" i="2"/>
  <c r="BI73" i="2"/>
  <c r="BI131" i="2"/>
  <c r="BI105" i="2"/>
  <c r="BI197" i="2"/>
  <c r="BI80" i="2"/>
  <c r="BI147" i="2"/>
  <c r="BI70" i="2"/>
  <c r="BI156" i="2"/>
  <c r="BI196" i="2"/>
  <c r="BI37" i="2"/>
  <c r="BI115" i="2"/>
  <c r="BI41" i="2"/>
  <c r="BI138" i="2"/>
  <c r="BI103" i="2"/>
  <c r="BI43" i="2"/>
  <c r="BI172" i="2"/>
  <c r="BI91" i="2"/>
  <c r="BI10" i="2"/>
  <c r="BI192" i="2"/>
  <c r="BI116" i="2"/>
  <c r="BI160" i="2"/>
  <c r="BI112" i="2"/>
  <c r="BI78" i="2"/>
  <c r="BI167" i="2"/>
  <c r="BI113" i="2"/>
  <c r="BI152" i="2"/>
  <c r="BI5" i="2"/>
  <c r="BI200" i="2"/>
  <c r="BI44" i="2"/>
  <c r="BI118" i="2"/>
  <c r="BI185" i="2"/>
  <c r="BI175" i="2"/>
  <c r="BI58" i="2"/>
  <c r="BI136" i="2"/>
  <c r="BI69" i="2"/>
  <c r="BI59" i="2"/>
  <c r="BI68" i="2"/>
  <c r="BI190" i="2"/>
  <c r="BI12" i="2"/>
  <c r="BI177" i="2"/>
  <c r="BI20" i="2"/>
  <c r="BI31" i="2"/>
  <c r="BI77" i="2"/>
  <c r="BI186" i="2"/>
  <c r="BI135" i="2"/>
  <c r="BI86" i="2"/>
  <c r="BI83" i="2"/>
  <c r="BI193" i="2"/>
  <c r="BI98" i="2"/>
  <c r="BI38" i="2"/>
  <c r="BI155" i="2"/>
  <c r="BI27" i="2"/>
  <c r="BI29" i="2"/>
  <c r="BI117" i="2"/>
  <c r="BI82" i="2"/>
  <c r="BI182" i="2"/>
  <c r="BI123" i="2"/>
  <c r="BI119" i="2"/>
  <c r="BI72" i="2"/>
  <c r="BI202" i="2"/>
  <c r="BI33" i="2"/>
  <c r="BI26" i="2"/>
  <c r="BI66" i="2"/>
  <c r="BI149" i="2"/>
  <c r="BI22" i="2"/>
  <c r="BI28" i="2"/>
  <c r="BI23" i="2"/>
  <c r="BI198" i="2"/>
  <c r="BI61" i="2"/>
  <c r="BI109" i="2"/>
  <c r="BI111" i="2"/>
  <c r="BI176" i="2"/>
  <c r="BI87" i="2"/>
  <c r="BI127" i="2"/>
  <c r="BI107" i="2"/>
  <c r="BI120" i="2"/>
  <c r="BI32" i="2"/>
  <c r="BI146" i="2"/>
  <c r="BI140" i="2"/>
  <c r="BI143" i="2"/>
  <c r="BI114" i="2"/>
  <c r="BI124" i="2"/>
  <c r="BI108" i="2"/>
  <c r="BI93" i="2"/>
  <c r="BI75" i="2"/>
  <c r="BI63" i="2"/>
  <c r="BI141" i="2"/>
  <c r="BI132" i="2"/>
  <c r="BI89" i="2"/>
  <c r="BI21" i="2"/>
  <c r="BI174" i="2"/>
  <c r="BI179" i="2"/>
  <c r="BI187" i="2"/>
  <c r="BI159" i="2"/>
  <c r="BI153" i="2"/>
  <c r="BI9" i="2"/>
  <c r="BI139" i="2"/>
  <c r="BI195" i="2"/>
  <c r="BI168" i="2"/>
  <c r="BI183" i="2"/>
  <c r="BI13" i="2"/>
  <c r="BI142" i="2"/>
  <c r="BI122" i="2"/>
  <c r="BI35" i="2"/>
  <c r="BI173" i="2"/>
  <c r="BI56" i="2"/>
  <c r="BI144" i="2"/>
  <c r="BI3" i="2"/>
  <c r="C8" i="4" s="1"/>
  <c r="E8" i="4" s="1"/>
  <c r="F8" i="4" s="1"/>
  <c r="G8" i="4" s="1"/>
  <c r="L8" i="4" s="1"/>
  <c r="BI171" i="2"/>
  <c r="BI84" i="2"/>
  <c r="BI85" i="2"/>
  <c r="BI62" i="2"/>
  <c r="BI45" i="2"/>
  <c r="BI97" i="2"/>
  <c r="BI189" i="2"/>
  <c r="BI51" i="2"/>
  <c r="BI104" i="2"/>
  <c r="BI71" i="2"/>
  <c r="BI54" i="2"/>
  <c r="BI57" i="2"/>
  <c r="BI55" i="2"/>
  <c r="BI158" i="2"/>
  <c r="BI94" i="2"/>
  <c r="BI92" i="2"/>
  <c r="BI76" i="2"/>
  <c r="BI169" i="2"/>
  <c r="BI154" i="2"/>
  <c r="BI101" i="2"/>
  <c r="BI15" i="2"/>
  <c r="BI163" i="2"/>
  <c r="BI39" i="2"/>
  <c r="BI165" i="2"/>
  <c r="BI60" i="2"/>
  <c r="BI125" i="2"/>
  <c r="BI1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<sst xmlns="http://schemas.openxmlformats.org/spreadsheetml/2006/main" count="1179" uniqueCount="329">
  <si>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</si>
  <si>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</si>
  <si>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</si>
  <si>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</si>
  <si>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</si>
  <si>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</si>
  <si>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</si>
  <si>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</si>
  <si>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</si>
  <si>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</si>
  <si>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</si>
  <si>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</si>
  <si>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</si>
  <si>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</si>
  <si>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</si>
  <si>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</si>
  <si>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</si>
  <si>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</si>
  <si>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</si>
  <si>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</si>
  <si>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</si>
  <si>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</si>
  <si>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</si>
  <si>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</si>
  <si>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</si>
  <si>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</si>
  <si>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</si>
  <si>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</si>
  <si>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</si>
  <si>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</si>
  <si>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</si>
  <si>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</si>
  <si>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</si>
  <si>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</si>
  <si>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</si>
  <si>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</si>
  <si>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</si>
  <si>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</si>
  <si>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</si>
  <si>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</si>
  <si>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</si>
  <si>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</si>
  <si>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</si>
  <si>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</si>
  <si>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</si>
  <si>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</si>
  <si>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</si>
  <si>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</si>
  <si>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</si>
  <si>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</si>
  <si>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</si>
  <si>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</si>
  <si>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</si>
  <si>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</si>
  <si>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</si>
  <si>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</si>
  <si>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</si>
  <si>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</si>
  <si>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</si>
  <si>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</si>
  <si>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</si>
  <si>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</si>
  <si>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</si>
  <si>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</si>
  <si>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</si>
  <si>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</si>
  <si>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</si>
  <si>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</si>
  <si>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</si>
  <si>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</si>
  <si>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</si>
  <si>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</si>
  <si>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</si>
  <si>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</si>
  <si>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</si>
  <si>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</si>
  <si>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</si>
  <si>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</si>
  <si>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</si>
  <si>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</si>
  <si>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</si>
  <si>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</si>
  <si>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</si>
  <si>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</si>
  <si>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</si>
  <si>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</si>
  <si>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</si>
  <si>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</si>
  <si>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</si>
  <si>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</si>
  <si>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</si>
  <si>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</si>
  <si>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</si>
  <si>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</si>
  <si>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</si>
  <si>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</si>
  <si>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</si>
  <si>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</si>
  <si>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</si>
  <si>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</si>
  <si>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</si>
  <si>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</si>
  <si>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</si>
  <si>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</si>
  <si>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</si>
  <si>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</si>
  <si>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</si>
  <si>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</si>
  <si>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</si>
  <si>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</si>
  <si>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</si>
  <si>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</si>
  <si>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</si>
  <si>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</si>
  <si>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</si>
  <si>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</si>
  <si>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</si>
  <si>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</si>
  <si>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</si>
  <si>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</si>
  <si>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</si>
  <si>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</si>
  <si>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</si>
  <si>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</si>
  <si>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</si>
  <si>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</si>
  <si>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</si>
  <si>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</si>
  <si>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</si>
  <si>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</si>
  <si>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</si>
  <si>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</si>
  <si>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</si>
  <si>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</si>
  <si>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</si>
  <si>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</si>
  <si>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</si>
  <si>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</si>
  <si>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</si>
  <si>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</si>
  <si>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</si>
  <si>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</si>
  <si>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</si>
  <si>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</si>
  <si>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</si>
  <si>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</si>
  <si>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</si>
  <si>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</si>
  <si>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</si>
  <si>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</si>
  <si>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</si>
  <si>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</si>
  <si>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</si>
  <si>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</si>
  <si>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</si>
  <si>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</si>
  <si>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</si>
  <si>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</si>
  <si>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</si>
  <si>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</si>
  <si>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</si>
  <si>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</si>
  <si>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</si>
  <si>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</si>
  <si>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</si>
  <si>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</si>
  <si>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</si>
  <si>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</si>
  <si>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</si>
  <si>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</si>
  <si>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</si>
  <si>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</si>
  <si>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</si>
  <si>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</si>
  <si>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</si>
  <si>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</si>
  <si>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</si>
  <si>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</si>
  <si>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</si>
  <si>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</si>
  <si>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</si>
  <si>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</si>
  <si>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</si>
  <si>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</si>
  <si>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</si>
  <si>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</si>
  <si>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</si>
  <si>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</si>
  <si>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</si>
  <si>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</si>
  <si>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</si>
  <si>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</si>
  <si>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</si>
  <si>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</si>
  <si>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</si>
  <si>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</si>
  <si>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</si>
  <si>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</si>
  <si>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</si>
  <si>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</si>
  <si>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</si>
  <si>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</si>
  <si>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</si>
  <si>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</si>
  <si>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</si>
  <si>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</si>
  <si>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</si>
  <si>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</si>
  <si>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</si>
  <si>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</si>
  <si>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</si>
  <si>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</si>
  <si>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</si>
  <si>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</si>
  <si>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</si>
  <si>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</si>
  <si>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</si>
  <si>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</si>
  <si>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</si>
  <si>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</si>
  <si>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</si>
  <si>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</si>
  <si>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</si>
  <si>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</si>
  <si>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</si>
  <si>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</si>
  <si>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</si>
  <si>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</si>
  <si>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</si>
  <si>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</si>
  <si>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</si>
  <si>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</si>
  <si>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</si>
  <si>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</si>
  <si>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</si>
  <si>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</si>
  <si>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</si>
  <si>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</si>
  <si>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</si>
  <si>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</si>
  <si>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</si>
  <si>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</si>
  <si>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</si>
  <si>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</si>
  <si>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</si>
  <si>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</si>
  <si>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</si>
  <si>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</si>
  <si>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</si>
  <si>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</si>
  <si>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</si>
  <si>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</si>
  <si>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</si>
  <si>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</si>
  <si>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</si>
  <si>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</si>
  <si>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</si>
  <si>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</si>
  <si>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</si>
  <si>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</si>
  <si>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</si>
  <si>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</si>
  <si>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</si>
  <si>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</si>
  <si>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</si>
  <si>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</si>
  <si>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</si>
  <si>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</si>
  <si>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</si>
  <si>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</si>
  <si>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</si>
  <si>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</si>
  <si>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</si>
  <si>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</si>
  <si>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</si>
  <si>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</si>
  <si>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</si>
  <si>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</si>
  <si>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</si>
  <si>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</si>
  <si>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</si>
  <si>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</si>
  <si>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</si>
  <si>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</si>
  <si>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</si>
  <si>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</si>
  <si>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</si>
  <si>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</si>
  <si>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</si>
  <si>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</si>
  <si>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</si>
  <si>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</si>
  <si>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</si>
  <si>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</si>
  <si>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</si>
  <si>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</si>
  <si>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</si>
  <si>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</si>
  <si>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</si>
  <si>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</si>
  <si>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</si>
  <si>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</si>
  <si>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</si>
  <si>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</si>
  <si>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</si>
  <si>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</si>
  <si>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</si>
  <si>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</si>
  <si>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</si>
  <si>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</si>
  <si>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</si>
  <si>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</si>
  <si>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</si>
  <si>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</si>
  <si>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</si>
  <si>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</si>
  <si>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</si>
  <si>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</si>
  <si>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</si>
  <si>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</si>
  <si>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</si>
  <si>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</si>
  <si>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</si>
  <si>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</si>
  <si>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ONF_F1</t>
  </si>
  <si>
    <t>ONF_Loire basin_F1</t>
  </si>
  <si>
    <t>ONF_CHS_Loire basin_F2</t>
  </si>
  <si>
    <t>ONF_CHP_F2</t>
  </si>
  <si>
    <t>SAB_UK For Com_F6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</si>
</sst>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2.5214086749849955</c:v>
                </c:pt>
                <c:pt idx="2">
                  <c:v>2.9476746959687219</c:v>
                </c:pt>
                <c:pt idx="3">
                  <c:v>3.4462679343355425</c:v>
                </c:pt>
                <c:pt idx="4">
                  <c:v>4.0295028091066616</c:v>
                </c:pt>
                <c:pt idx="5">
                  <c:v>4.7117971330513244</c:v>
                </c:pt>
                <c:pt idx="6">
                  <c:v>5.5100324614070191</c:v>
                </c:pt>
                <c:pt idx="7">
                  <c:v>6.443976345102846</c:v>
                </c:pt>
                <c:pt idx="8">
                  <c:v>7.5367771500501375</c:v>
                </c:pt>
                <c:pt idx="9">
                  <c:v>8.8155439445162127</c:v>
                </c:pt>
                <c:pt idx="10">
                  <c:v>10.312026115425956</c:v>
                </c:pt>
                <c:pt idx="11">
                  <c:v>12.063409906823109</c:v>
                </c:pt>
                <c:pt idx="12">
                  <c:v>14.113252044429068</c:v>
                </c:pt>
                <c:pt idx="13">
                  <c:v>16.512574095269713</c:v>
                </c:pt>
                <c:pt idx="14">
                  <c:v>19.321145299909375</c:v>
                </c:pt>
                <c:pt idx="15">
                  <c:v>22.608986411643873</c:v>
                </c:pt>
                <c:pt idx="16">
                  <c:v>26.458132704965564</c:v>
                </c:pt>
                <c:pt idx="17">
                  <c:v>30.964700918988459</c:v>
                </c:pt>
                <c:pt idx="18">
                  <c:v>36.241312649655946</c:v>
                </c:pt>
                <c:pt idx="19">
                  <c:v>42.419935796240964</c:v>
                </c:pt>
                <c:pt idx="20">
                  <c:v>49.655216336254263</c:v>
                </c:pt>
                <c:pt idx="21">
                  <c:v>58.12838522236234</c:v>
                </c:pt>
                <c:pt idx="22">
                  <c:v>68.05183988691067</c:v>
                </c:pt>
                <c:pt idx="23">
                  <c:v>79.674517081749613</c:v>
                </c:pt>
                <c:pt idx="24">
                  <c:v>93.288194016590026</c:v>
                </c:pt>
                <c:pt idx="25">
                  <c:v>109.23487850857845</c:v>
                </c:pt>
                <c:pt idx="26">
                  <c:v>127.91547673030321</c:v>
                </c:pt>
                <c:pt idx="27">
                  <c:v>149.79995986059552</c:v>
                </c:pt>
                <c:pt idx="28">
                  <c:v>175.43928934481758</c:v>
                </c:pt>
                <c:pt idx="29">
                  <c:v>205.47940554818516</c:v>
                </c:pt>
                <c:pt idx="30">
                  <c:v>240.67763749877909</c:v>
                </c:pt>
                <c:pt idx="31">
                  <c:v>281.92195353046623</c:v>
                </c:pt>
                <c:pt idx="32">
                  <c:v>186.15874891220116</c:v>
                </c:pt>
                <c:pt idx="33">
                  <c:v>209.83368794515187</c:v>
                </c:pt>
                <c:pt idx="34">
                  <c:v>233.44697549877742</c:v>
                </c:pt>
                <c:pt idx="35">
                  <c:v>257.00572454608067</c:v>
                </c:pt>
                <c:pt idx="36">
                  <c:v>280.51563609526079</c:v>
                </c:pt>
                <c:pt idx="37">
                  <c:v>303.9813769502631</c:v>
                </c:pt>
                <c:pt idx="38">
                  <c:v>249.93134365355093</c:v>
                </c:pt>
                <c:pt idx="39">
                  <c:v>275.24300456507007</c:v>
                </c:pt>
                <c:pt idx="40">
                  <c:v>300.50238084792096</c:v>
                </c:pt>
                <c:pt idx="41">
                  <c:v>325.71448267949529</c:v>
                </c:pt>
                <c:pt idx="42">
                  <c:v>350.88348121626149</c:v>
                </c:pt>
                <c:pt idx="43">
                  <c:v>376.01290047897925</c:v>
                </c:pt>
                <c:pt idx="44">
                  <c:v>401.10575519534768</c:v>
                </c:pt>
                <c:pt idx="45">
                  <c:v>325.22050406363837</c:v>
                </c:pt>
                <c:pt idx="46">
                  <c:v>350.81669879053698</c:v>
                </c:pt>
                <c:pt idx="47">
                  <c:v>376.37195036636803</c:v>
                </c:pt>
                <c:pt idx="48">
                  <c:v>401.88942714694684</c:v>
                </c:pt>
                <c:pt idx="49">
                  <c:v>427.3718625323624</c:v>
                </c:pt>
                <c:pt idx="50">
                  <c:v>452.82163758400475</c:v>
                </c:pt>
                <c:pt idx="51">
                  <c:v>478.24084409423403</c:v>
                </c:pt>
                <c:pt idx="52">
                  <c:v>404.40156465488667</c:v>
                </c:pt>
                <c:pt idx="53">
                  <c:v>429.70934519857565</c:v>
                </c:pt>
                <c:pt idx="54">
                  <c:v>454.98510429602402</c:v>
                </c:pt>
                <c:pt idx="55">
                  <c:v>480.23086913061974</c:v>
                </c:pt>
                <c:pt idx="56">
                  <c:v>505.44843654803253</c:v>
                </c:pt>
                <c:pt idx="57">
                  <c:v>530.63940964580081</c:v>
                </c:pt>
                <c:pt idx="58">
                  <c:v>555.8052270551816</c:v>
                </c:pt>
                <c:pt idx="59">
                  <c:v>484.25885843561099</c:v>
                </c:pt>
                <c:pt idx="60">
                  <c:v>508.95737395672654</c:v>
                </c:pt>
                <c:pt idx="61">
                  <c:v>533.63057203582343</c:v>
                </c:pt>
                <c:pt idx="62">
                  <c:v>558.27978660587723</c:v>
                </c:pt>
                <c:pt idx="63">
                  <c:v>582.90622432661985</c:v>
                </c:pt>
                <c:pt idx="64">
                  <c:v>607.51098169934687</c:v>
                </c:pt>
                <c:pt idx="65">
                  <c:v>632.09505926670727</c:v>
                </c:pt>
                <c:pt idx="66">
                  <c:v>555.18973040239189</c:v>
                </c:pt>
                <c:pt idx="67">
                  <c:v>578.99055234834634</c:v>
                </c:pt>
                <c:pt idx="68">
                  <c:v>602.77097241840545</c:v>
                </c:pt>
                <c:pt idx="69">
                  <c:v>626.53190782078082</c:v>
                </c:pt>
                <c:pt idx="70">
                  <c:v>650.27420060140787</c:v>
                </c:pt>
                <c:pt idx="71">
                  <c:v>673.99862637735123</c:v>
                </c:pt>
                <c:pt idx="72">
                  <c:v>697.7059017777359</c:v>
                </c:pt>
                <c:pt idx="73">
                  <c:v>602.93967730666452</c:v>
                </c:pt>
                <c:pt idx="74">
                  <c:v>625.51680524449841</c:v>
                </c:pt>
                <c:pt idx="75">
                  <c:v>648.07707164832061</c:v>
                </c:pt>
                <c:pt idx="76">
                  <c:v>670.62114542387724</c:v>
                </c:pt>
                <c:pt idx="77">
                  <c:v>693.14964688919997</c:v>
                </c:pt>
                <c:pt idx="78">
                  <c:v>715.6631527999167</c:v>
                </c:pt>
                <c:pt idx="79">
                  <c:v>738.16220070997394</c:v>
                </c:pt>
                <c:pt idx="80">
                  <c:v>760.6472927736221</c:v>
                </c:pt>
                <c:pt idx="81">
                  <c:v>783.11889907497971</c:v>
                </c:pt>
                <c:pt idx="82">
                  <c:v>649.41198661029523</c:v>
                </c:pt>
                <c:pt idx="83">
                  <c:v>670.53247445778163</c:v>
                </c:pt>
                <c:pt idx="84">
                  <c:v>691.63929237213654</c:v>
                </c:pt>
                <c:pt idx="85">
                  <c:v>712.73291578265901</c:v>
                </c:pt>
                <c:pt idx="86">
                  <c:v>733.81378971522111</c:v>
                </c:pt>
                <c:pt idx="87">
                  <c:v>754.88233157162733</c:v>
                </c:pt>
                <c:pt idx="88">
                  <c:v>775.93893358289245</c:v>
                </c:pt>
                <c:pt idx="89">
                  <c:v>796.98396498266914</c:v>
                </c:pt>
                <c:pt idx="90">
                  <c:v>818.01777393944451</c:v>
                </c:pt>
                <c:pt idx="91">
                  <c:v>680.82655733150739</c:v>
                </c:pt>
                <c:pt idx="92">
                  <c:v>700.70631747336199</c:v>
                </c:pt>
                <c:pt idx="93">
                  <c:v>720.57453904071701</c:v>
                </c:pt>
                <c:pt idx="94">
                  <c:v>740.43158463823545</c:v>
                </c:pt>
                <c:pt idx="95">
                  <c:v>760.27779585760072</c:v>
                </c:pt>
                <c:pt idx="96">
                  <c:v>780.11349502299515</c:v>
                </c:pt>
                <c:pt idx="97">
                  <c:v>799.93898675001083</c:v>
                </c:pt>
                <c:pt idx="98">
                  <c:v>819.75455934216086</c:v>
                </c:pt>
                <c:pt idx="99">
                  <c:v>839.56048604549721</c:v>
                </c:pt>
                <c:pt idx="100">
                  <c:v>450.03971253828541</c:v>
                </c:pt>
                <c:pt idx="101">
                  <c:v>462.6078555511578</c:v>
                </c:pt>
                <c:pt idx="102">
                  <c:v>323.18652647116113</c:v>
                </c:pt>
                <c:pt idx="103">
                  <c:v>331.85696738542345</c:v>
                </c:pt>
                <c:pt idx="104">
                  <c:v>232.05276952362252</c:v>
                </c:pt>
                <c:pt idx="105">
                  <c:v>238.1604703053099</c:v>
                </c:pt>
                <c:pt idx="106">
                  <c:v>244.26460221870877</c:v>
                </c:pt>
                <c:pt idx="107">
                  <c:v>1.4484243304663672E-12</c:v>
                </c:pt>
                <c:pt idx="108">
                  <c:v>1.4484243304663672E-12</c:v>
                </c:pt>
                <c:pt idx="109">
                  <c:v>1.4484243304663672E-12</c:v>
                </c:pt>
                <c:pt idx="110">
                  <c:v>1.4484243304663672E-12</c:v>
                </c:pt>
                <c:pt idx="111">
                  <c:v>1.4484243304663672E-12</c:v>
                </c:pt>
                <c:pt idx="112">
                  <c:v>1.4484243304663672E-12</c:v>
                </c:pt>
                <c:pt idx="113">
                  <c:v>1.4484243304663672E-12</c:v>
                </c:pt>
                <c:pt idx="114">
                  <c:v>1.4484243304663672E-12</c:v>
                </c:pt>
                <c:pt idx="115">
                  <c:v>1.4484243304663672E-12</c:v>
                </c:pt>
                <c:pt idx="116">
                  <c:v>1.4484243304663672E-12</c:v>
                </c:pt>
                <c:pt idx="117">
                  <c:v>1.4484243304663672E-12</c:v>
                </c:pt>
                <c:pt idx="118">
                  <c:v>1.4484243304663672E-12</c:v>
                </c:pt>
                <c:pt idx="119">
                  <c:v>1.4484243304663672E-12</c:v>
                </c:pt>
                <c:pt idx="120">
                  <c:v>1.4484243304663672E-12</c:v>
                </c:pt>
                <c:pt idx="121">
                  <c:v>1.4484243304663672E-12</c:v>
                </c:pt>
                <c:pt idx="122">
                  <c:v>1.4484243304663672E-12</c:v>
                </c:pt>
                <c:pt idx="123">
                  <c:v>1.4484243304663672E-12</c:v>
                </c:pt>
                <c:pt idx="124">
                  <c:v>1.4484243304663672E-12</c:v>
                </c:pt>
                <c:pt idx="125">
                  <c:v>1.4484243304663672E-12</c:v>
                </c:pt>
                <c:pt idx="126">
                  <c:v>1.4484243304663672E-12</c:v>
                </c:pt>
                <c:pt idx="127">
                  <c:v>1.4484243304663672E-12</c:v>
                </c:pt>
                <c:pt idx="128">
                  <c:v>1.4484243304663672E-12</c:v>
                </c:pt>
                <c:pt idx="129">
                  <c:v>1.4484243304663672E-12</c:v>
                </c:pt>
                <c:pt idx="130">
                  <c:v>1.4484243304663672E-12</c:v>
                </c:pt>
                <c:pt idx="131">
                  <c:v>1.4484243304663672E-12</c:v>
                </c:pt>
                <c:pt idx="132">
                  <c:v>1.4484243304663672E-12</c:v>
                </c:pt>
                <c:pt idx="133">
                  <c:v>1.4484243304663672E-12</c:v>
                </c:pt>
                <c:pt idx="134">
                  <c:v>1.4484243304663672E-12</c:v>
                </c:pt>
                <c:pt idx="135">
                  <c:v>1.4484243304663672E-12</c:v>
                </c:pt>
                <c:pt idx="136">
                  <c:v>1.4484243304663672E-12</c:v>
                </c:pt>
                <c:pt idx="137">
                  <c:v>1.4484243304663672E-12</c:v>
                </c:pt>
                <c:pt idx="138">
                  <c:v>1.4484243304663672E-12</c:v>
                </c:pt>
                <c:pt idx="139">
                  <c:v>1.4484243304663672E-12</c:v>
                </c:pt>
                <c:pt idx="140">
                  <c:v>1.4484243304663672E-12</c:v>
                </c:pt>
                <c:pt idx="141">
                  <c:v>1.4484243304663672E-12</c:v>
                </c:pt>
                <c:pt idx="142">
                  <c:v>1.4484243304663672E-12</c:v>
                </c:pt>
                <c:pt idx="143">
                  <c:v>1.4484243304663672E-12</c:v>
                </c:pt>
                <c:pt idx="144">
                  <c:v>1.4484243304663672E-12</c:v>
                </c:pt>
                <c:pt idx="145">
                  <c:v>1.4484243304663672E-12</c:v>
                </c:pt>
                <c:pt idx="146">
                  <c:v>1.4484243304663672E-12</c:v>
                </c:pt>
                <c:pt idx="147">
                  <c:v>1.4484243304663672E-12</c:v>
                </c:pt>
                <c:pt idx="148">
                  <c:v>1.4484243304663672E-12</c:v>
                </c:pt>
                <c:pt idx="149">
                  <c:v>1.4484243304663672E-12</c:v>
                </c:pt>
                <c:pt idx="150">
                  <c:v>1.4484243304663672E-12</c:v>
                </c:pt>
                <c:pt idx="151">
                  <c:v>1.4484243304663672E-12</c:v>
                </c:pt>
                <c:pt idx="152">
                  <c:v>1.4484243304663672E-12</c:v>
                </c:pt>
                <c:pt idx="153">
                  <c:v>1.4484243304663672E-12</c:v>
                </c:pt>
                <c:pt idx="154">
                  <c:v>1.4484243304663672E-12</c:v>
                </c:pt>
                <c:pt idx="155">
                  <c:v>1.4484243304663672E-12</c:v>
                </c:pt>
                <c:pt idx="156">
                  <c:v>1.4484243304663672E-12</c:v>
                </c:pt>
                <c:pt idx="157">
                  <c:v>1.4484243304663672E-12</c:v>
                </c:pt>
                <c:pt idx="158">
                  <c:v>1.4484243304663672E-12</c:v>
                </c:pt>
                <c:pt idx="159">
                  <c:v>1.4484243304663672E-12</c:v>
                </c:pt>
                <c:pt idx="160">
                  <c:v>1.4484243304663672E-12</c:v>
                </c:pt>
                <c:pt idx="161">
                  <c:v>1.4484243304663672E-12</c:v>
                </c:pt>
                <c:pt idx="162">
                  <c:v>1.4484243304663672E-12</c:v>
                </c:pt>
                <c:pt idx="163">
                  <c:v>1.4484243304663672E-12</c:v>
                </c:pt>
                <c:pt idx="164">
                  <c:v>1.4484243304663672E-12</c:v>
                </c:pt>
                <c:pt idx="165">
                  <c:v>1.4484243304663672E-12</c:v>
                </c:pt>
                <c:pt idx="166">
                  <c:v>1.4484243304663672E-12</c:v>
                </c:pt>
                <c:pt idx="167">
                  <c:v>1.4484243304663672E-12</c:v>
                </c:pt>
                <c:pt idx="168">
                  <c:v>1.4484243304663672E-12</c:v>
                </c:pt>
                <c:pt idx="169">
                  <c:v>1.4484243304663672E-12</c:v>
                </c:pt>
                <c:pt idx="170">
                  <c:v>1.4484243304663672E-12</c:v>
                </c:pt>
                <c:pt idx="171">
                  <c:v>1.4484243304663672E-12</c:v>
                </c:pt>
                <c:pt idx="172">
                  <c:v>1.4484243304663672E-12</c:v>
                </c:pt>
                <c:pt idx="173">
                  <c:v>1.4484243304663672E-12</c:v>
                </c:pt>
                <c:pt idx="174">
                  <c:v>1.4484243304663672E-12</c:v>
                </c:pt>
                <c:pt idx="175">
                  <c:v>1.4484243304663672E-12</c:v>
                </c:pt>
                <c:pt idx="176">
                  <c:v>1.4484243304663672E-12</c:v>
                </c:pt>
                <c:pt idx="177">
                  <c:v>1.4484243304663672E-12</c:v>
                </c:pt>
                <c:pt idx="178">
                  <c:v>1.4484243304663672E-12</c:v>
                </c:pt>
                <c:pt idx="179">
                  <c:v>1.4484243304663672E-12</c:v>
                </c:pt>
                <c:pt idx="180">
                  <c:v>1.4484243304663672E-12</c:v>
                </c:pt>
                <c:pt idx="181">
                  <c:v>1.4484243304663672E-12</c:v>
                </c:pt>
                <c:pt idx="182">
                  <c:v>1.4484243304663672E-12</c:v>
                </c:pt>
                <c:pt idx="183">
                  <c:v>1.4484243304663672E-12</c:v>
                </c:pt>
                <c:pt idx="184">
                  <c:v>1.4484243304663672E-12</c:v>
                </c:pt>
                <c:pt idx="185">
                  <c:v>1.4484243304663672E-12</c:v>
                </c:pt>
                <c:pt idx="186">
                  <c:v>1.4484243304663672E-12</c:v>
                </c:pt>
                <c:pt idx="187">
                  <c:v>1.4484243304663672E-12</c:v>
                </c:pt>
                <c:pt idx="188">
                  <c:v>1.4484243304663672E-12</c:v>
                </c:pt>
                <c:pt idx="189">
                  <c:v>1.4484243304663672E-12</c:v>
                </c:pt>
                <c:pt idx="190">
                  <c:v>1.4484243304663672E-12</c:v>
                </c:pt>
                <c:pt idx="191">
                  <c:v>1.4484243304663672E-12</c:v>
                </c:pt>
                <c:pt idx="192">
                  <c:v>1.4484243304663672E-12</c:v>
                </c:pt>
                <c:pt idx="193">
                  <c:v>1.4484243304663672E-12</c:v>
                </c:pt>
                <c:pt idx="194">
                  <c:v>1.4484243304663672E-12</c:v>
                </c:pt>
                <c:pt idx="195">
                  <c:v>1.4484243304663672E-12</c:v>
                </c:pt>
                <c:pt idx="196">
                  <c:v>1.4484243304663672E-12</c:v>
                </c:pt>
                <c:pt idx="197">
                  <c:v>1.4484243304663672E-12</c:v>
                </c:pt>
                <c:pt idx="198">
                  <c:v>1.4484243304663672E-12</c:v>
                </c:pt>
                <c:pt idx="199">
                  <c:v>1.4484243304663672E-12</c:v>
                </c:pt>
                <c:pt idx="200">
                  <c:v>1.4484243304663672E-12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9.2814592541766938</c:v>
                </c:pt>
                <c:pt idx="2">
                  <c:v>18.156050862234036</c:v>
                </c:pt>
                <c:pt idx="3">
                  <c:v>26.89924464407305</c:v>
                </c:pt>
                <c:pt idx="4">
                  <c:v>35.561441748540922</c:v>
                </c:pt>
                <c:pt idx="5">
                  <c:v>44.16548562855413</c:v>
                </c:pt>
                <c:pt idx="6">
                  <c:v>52.724407143396995</c:v>
                </c:pt>
                <c:pt idx="7">
                  <c:v>61.246606784204609</c:v>
                </c:pt>
                <c:pt idx="8">
                  <c:v>69.737935824703797</c:v>
                </c:pt>
                <c:pt idx="9">
                  <c:v>78.202695025517883</c:v>
                </c:pt>
                <c:pt idx="10">
                  <c:v>86.644173354980055</c:v>
                </c:pt>
                <c:pt idx="11">
                  <c:v>95.064963922995389</c:v>
                </c:pt>
                <c:pt idx="12">
                  <c:v>103.4671613227128</c:v>
                </c:pt>
                <c:pt idx="13">
                  <c:v>111.85249114133325</c:v>
                </c:pt>
                <c:pt idx="14">
                  <c:v>120.22239841041811</c:v>
                </c:pt>
                <c:pt idx="15">
                  <c:v>128.57811003097649</c:v>
                </c:pt>
                <c:pt idx="16">
                  <c:v>136.92068006235593</c:v>
                </c:pt>
                <c:pt idx="17">
                  <c:v>145.25102335953207</c:v>
                </c:pt>
                <c:pt idx="18">
                  <c:v>153.56994106738651</c:v>
                </c:pt>
                <c:pt idx="19">
                  <c:v>161.87814028716744</c:v>
                </c:pt>
                <c:pt idx="20">
                  <c:v>170.17624948452939</c:v>
                </c:pt>
                <c:pt idx="21">
                  <c:v>178.46483072839058</c:v>
                </c:pt>
                <c:pt idx="22">
                  <c:v>186.74438953252874</c:v>
                </c:pt>
                <c:pt idx="23">
                  <c:v>195.01538285721335</c:v>
                </c:pt>
                <c:pt idx="24">
                  <c:v>203.27822567998433</c:v>
                </c:pt>
                <c:pt idx="25">
                  <c:v>211.53329644044149</c:v>
                </c:pt>
                <c:pt idx="26">
                  <c:v>219.78094158934547</c:v>
                </c:pt>
                <c:pt idx="27">
                  <c:v>228.02147941817165</c:v>
                </c:pt>
                <c:pt idx="28">
                  <c:v>236.25520330537464</c:v>
                </c:pt>
                <c:pt idx="29">
                  <c:v>244.48238448586758</c:v>
                </c:pt>
                <c:pt idx="30">
                  <c:v>252.70327442777295</c:v>
                </c:pt>
                <c:pt idx="31">
                  <c:v>260.91810688337119</c:v>
                </c:pt>
                <c:pt idx="32">
                  <c:v>269.12709966797632</c:v>
                </c:pt>
                <c:pt idx="33">
                  <c:v>277.33045621020614</c:v>
                </c:pt>
                <c:pt idx="34">
                  <c:v>285.52836690906082</c:v>
                </c:pt>
                <c:pt idx="35">
                  <c:v>293.72101032685873</c:v>
                </c:pt>
                <c:pt idx="36">
                  <c:v>301.90855424200555</c:v>
                </c:pt>
                <c:pt idx="37">
                  <c:v>310.09115658149926</c:v>
                </c:pt>
                <c:pt idx="38">
                  <c:v>318.26896624979003</c:v>
                </c:pt>
                <c:pt idx="39">
                  <c:v>191.9101217139978</c:v>
                </c:pt>
                <c:pt idx="40">
                  <c:v>212.09049210693217</c:v>
                </c:pt>
                <c:pt idx="41">
                  <c:v>232.22660564527078</c:v>
                </c:pt>
                <c:pt idx="42">
                  <c:v>252.32283948832352</c:v>
                </c:pt>
                <c:pt idx="43">
                  <c:v>272.38281610504754</c:v>
                </c:pt>
                <c:pt idx="44">
                  <c:v>292.4095806006253</c:v>
                </c:pt>
                <c:pt idx="45">
                  <c:v>312.40572682672854</c:v>
                </c:pt>
                <c:pt idx="46">
                  <c:v>247.71827804440349</c:v>
                </c:pt>
                <c:pt idx="47">
                  <c:v>268.17158173268894</c:v>
                </c:pt>
                <c:pt idx="48">
                  <c:v>288.5897611303098</c:v>
                </c:pt>
                <c:pt idx="49">
                  <c:v>308.97565001903934</c:v>
                </c:pt>
                <c:pt idx="50">
                  <c:v>329.33167768857032</c:v>
                </c:pt>
                <c:pt idx="51">
                  <c:v>349.65994863235909</c:v>
                </c:pt>
                <c:pt idx="52">
                  <c:v>369.96230272517363</c:v>
                </c:pt>
                <c:pt idx="53">
                  <c:v>299.78093796348435</c:v>
                </c:pt>
                <c:pt idx="54">
                  <c:v>319.90884698949952</c:v>
                </c:pt>
                <c:pt idx="55">
                  <c:v>340.00873782334116</c:v>
                </c:pt>
                <c:pt idx="56">
                  <c:v>360.08249899753582</c:v>
                </c:pt>
                <c:pt idx="57">
                  <c:v>380.13179135254126</c:v>
                </c:pt>
                <c:pt idx="58">
                  <c:v>400.15808629834527</c:v>
                </c:pt>
                <c:pt idx="59">
                  <c:v>420.16269601462477</c:v>
                </c:pt>
                <c:pt idx="60">
                  <c:v>355.19187124027127</c:v>
                </c:pt>
                <c:pt idx="61">
                  <c:v>374.98260902977336</c:v>
                </c:pt>
                <c:pt idx="62">
                  <c:v>394.7506001517263</c:v>
                </c:pt>
                <c:pt idx="63">
                  <c:v>414.49714332625496</c:v>
                </c:pt>
                <c:pt idx="64">
                  <c:v>434.22340349345751</c:v>
                </c:pt>
                <c:pt idx="65">
                  <c:v>453.93043117002759</c:v>
                </c:pt>
                <c:pt idx="66">
                  <c:v>473.61917826951543</c:v>
                </c:pt>
                <c:pt idx="67">
                  <c:v>493.29051115534702</c:v>
                </c:pt>
                <c:pt idx="68">
                  <c:v>426.87070846345961</c:v>
                </c:pt>
                <c:pt idx="69">
                  <c:v>446.3903198300689</c:v>
                </c:pt>
                <c:pt idx="70">
                  <c:v>465.8916632033463</c:v>
                </c:pt>
                <c:pt idx="71">
                  <c:v>485.37561035454365</c:v>
                </c:pt>
                <c:pt idx="72">
                  <c:v>504.84295740152987</c:v>
                </c:pt>
                <c:pt idx="73">
                  <c:v>524.29443409766043</c:v>
                </c:pt>
                <c:pt idx="74">
                  <c:v>543.73071167094952</c:v>
                </c:pt>
                <c:pt idx="75">
                  <c:v>563.15240948454345</c:v>
                </c:pt>
                <c:pt idx="76">
                  <c:v>494.62871898759676</c:v>
                </c:pt>
                <c:pt idx="77">
                  <c:v>513.74094549179301</c:v>
                </c:pt>
                <c:pt idx="78">
                  <c:v>532.83816646386731</c:v>
                </c:pt>
                <c:pt idx="79">
                  <c:v>551.92099501784321</c:v>
                </c:pt>
                <c:pt idx="80">
                  <c:v>570.98999844477783</c:v>
                </c:pt>
                <c:pt idx="81">
                  <c:v>590.04570308454447</c:v>
                </c:pt>
                <c:pt idx="82">
                  <c:v>609.08859853591491</c:v>
                </c:pt>
                <c:pt idx="83">
                  <c:v>628.11914131309391</c:v>
                </c:pt>
                <c:pt idx="84">
                  <c:v>546.34675191309282</c:v>
                </c:pt>
                <c:pt idx="85">
                  <c:v>564.9980529687241</c:v>
                </c:pt>
                <c:pt idx="86">
                  <c:v>583.63648288916681</c:v>
                </c:pt>
                <c:pt idx="87">
                  <c:v>602.2625102615774</c:v>
                </c:pt>
                <c:pt idx="88">
                  <c:v>620.87657234938786</c:v>
                </c:pt>
                <c:pt idx="89">
                  <c:v>639.47907808161142</c:v>
                </c:pt>
                <c:pt idx="90">
                  <c:v>658.07041067647913</c:v>
                </c:pt>
                <c:pt idx="91">
                  <c:v>676.65092995340171</c:v>
                </c:pt>
                <c:pt idx="92">
                  <c:v>695.22097437799528</c:v>
                </c:pt>
                <c:pt idx="93">
                  <c:v>713.78086287743406</c:v>
                </c:pt>
                <c:pt idx="94">
                  <c:v>596.60609402508533</c:v>
                </c:pt>
                <c:pt idx="95">
                  <c:v>614.67185072691063</c:v>
                </c:pt>
                <c:pt idx="96">
                  <c:v>632.72660082215282</c:v>
                </c:pt>
                <c:pt idx="97">
                  <c:v>650.77070235029328</c:v>
                </c:pt>
                <c:pt idx="98">
                  <c:v>668.80449189389219</c:v>
                </c:pt>
                <c:pt idx="99">
                  <c:v>686.82828642014101</c:v>
                </c:pt>
                <c:pt idx="100">
                  <c:v>704.84238491922042</c:v>
                </c:pt>
                <c:pt idx="101">
                  <c:v>722.84706986660137</c:v>
                </c:pt>
                <c:pt idx="102">
                  <c:v>740.84260853221531</c:v>
                </c:pt>
                <c:pt idx="103">
                  <c:v>758.82925415592547</c:v>
                </c:pt>
                <c:pt idx="104">
                  <c:v>640.72231942176609</c:v>
                </c:pt>
                <c:pt idx="105">
                  <c:v>658.27081837032063</c:v>
                </c:pt>
                <c:pt idx="106">
                  <c:v>675.80968614869391</c:v>
                </c:pt>
                <c:pt idx="107">
                  <c:v>693.33920769670385</c:v>
                </c:pt>
                <c:pt idx="108">
                  <c:v>710.85965238406754</c:v>
                </c:pt>
                <c:pt idx="109">
                  <c:v>728.37127523180015</c:v>
                </c:pt>
                <c:pt idx="110">
                  <c:v>745.87431801015293</c:v>
                </c:pt>
                <c:pt idx="111">
                  <c:v>763.36901022822894</c:v>
                </c:pt>
                <c:pt idx="112">
                  <c:v>780.85557002825271</c:v>
                </c:pt>
                <c:pt idx="113">
                  <c:v>798.33420499564829</c:v>
                </c:pt>
                <c:pt idx="114">
                  <c:v>678.43349468551708</c:v>
                </c:pt>
                <c:pt idx="115">
                  <c:v>695.85754841077744</c:v>
                </c:pt>
                <c:pt idx="116">
                  <c:v>713.27266986417487</c:v>
                </c:pt>
                <c:pt idx="117">
                  <c:v>730.67910765307681</c:v>
                </c:pt>
                <c:pt idx="118">
                  <c:v>748.07709758544399</c:v>
                </c:pt>
                <c:pt idx="119">
                  <c:v>765.46686361720276</c:v>
                </c:pt>
                <c:pt idx="120">
                  <c:v>782.84861870913744</c:v>
                </c:pt>
                <c:pt idx="121">
                  <c:v>800.22256560379947</c:v>
                </c:pt>
                <c:pt idx="122">
                  <c:v>817.58889753150731</c:v>
                </c:pt>
                <c:pt idx="123">
                  <c:v>834.94779885330809</c:v>
                </c:pt>
                <c:pt idx="124">
                  <c:v>435.81541740524904</c:v>
                </c:pt>
                <c:pt idx="125">
                  <c:v>445.61746930961482</c:v>
                </c:pt>
                <c:pt idx="126">
                  <c:v>309.15750305437888</c:v>
                </c:pt>
                <c:pt idx="127">
                  <c:v>315.92803182924689</c:v>
                </c:pt>
                <c:pt idx="128">
                  <c:v>226.85049213402147</c:v>
                </c:pt>
                <c:pt idx="129">
                  <c:v>231.84687636657415</c:v>
                </c:pt>
                <c:pt idx="130">
                  <c:v>236.84080061562653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0" zoomScaleNormal="70" workbookViewId="0">
      <selection activeCell="Q29" sqref="Q29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3.87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0.31067961165048541</v>
      </c>
      <c r="D9" s="33">
        <f t="shared" ref="D9:D18" si="0">C9*$C$5</f>
        <v>1.2023300970873785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11</v>
      </c>
      <c r="C10" s="32">
        <v>0.31067961165048541</v>
      </c>
      <c r="D10" s="33">
        <f t="shared" si="0"/>
        <v>1.2023300970873785</v>
      </c>
      <c r="E10" s="34">
        <v>106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12</v>
      </c>
      <c r="C11" s="32">
        <v>0.31067961165048541</v>
      </c>
      <c r="D11" s="33">
        <f t="shared" si="0"/>
        <v>1.2023300970873785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6</v>
      </c>
      <c r="C12" s="32">
        <v>3.3980582524271843E-2</v>
      </c>
      <c r="D12" s="33">
        <f t="shared" si="0"/>
        <v>0.13150485436893203</v>
      </c>
      <c r="E12" s="34">
        <v>130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21</v>
      </c>
      <c r="C13" s="32">
        <v>3.3980582524271843E-2</v>
      </c>
      <c r="D13" s="33">
        <f t="shared" si="0"/>
        <v>0.13150485436893203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0.99999999999999989</v>
      </c>
      <c r="D19" s="38">
        <f>SUM(D9:D18)</f>
        <v>3.8699999999999997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325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34</v>
      </c>
      <c r="B36" s="60">
        <v>173.04</v>
      </c>
      <c r="C36" s="60">
        <v>1</v>
      </c>
      <c r="D36" s="60">
        <v>36.679999999999978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5.0894117647058819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42</v>
      </c>
      <c r="B37" s="60">
        <v>248.01</v>
      </c>
      <c r="C37" s="60">
        <v>2</v>
      </c>
      <c r="D37" s="60">
        <v>58.099999999999994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13.956249999999997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50</v>
      </c>
      <c r="B38" s="60">
        <v>304.72000000000003</v>
      </c>
      <c r="C38" s="60">
        <v>3</v>
      </c>
      <c r="D38" s="60">
        <v>70.730000000000018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14.351250000000004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58</v>
      </c>
      <c r="B39" s="60">
        <v>346.58</v>
      </c>
      <c r="C39" s="60">
        <v>4</v>
      </c>
      <c r="D39" s="60">
        <v>65.819999999999993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14.073749999999997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66</v>
      </c>
      <c r="B40" s="60">
        <v>388.92</v>
      </c>
      <c r="C40" s="60">
        <v>5</v>
      </c>
      <c r="D40" s="60">
        <v>76.480000000000018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13.520000000000003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74</v>
      </c>
      <c r="B41" s="60">
        <v>414.8</v>
      </c>
      <c r="C41" s="60">
        <v>6</v>
      </c>
      <c r="D41" s="60">
        <v>75.29000000000002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12.795000000000002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82</v>
      </c>
      <c r="B42" s="60">
        <v>436.17</v>
      </c>
      <c r="C42" s="60">
        <v>7</v>
      </c>
      <c r="D42" s="60">
        <v>58.140000000000043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12.082500000000003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90</v>
      </c>
      <c r="B43" s="60">
        <v>471.37</v>
      </c>
      <c r="C43" s="60">
        <v>8</v>
      </c>
      <c r="D43" s="60">
        <v>68.54000000000002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11.667500000000004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100</v>
      </c>
      <c r="B44" s="60">
        <v>515.66999999999996</v>
      </c>
      <c r="C44" s="60">
        <v>9</v>
      </c>
      <c r="D44" s="60">
        <v>93.039999999999964</v>
      </c>
      <c r="E44" s="51">
        <v>0.5</v>
      </c>
      <c r="F44" s="51">
        <v>0.2</v>
      </c>
      <c r="G44" s="51">
        <v>0</v>
      </c>
      <c r="H44" s="51">
        <v>0.3</v>
      </c>
      <c r="I44" s="49">
        <f t="shared" si="1"/>
        <v>11.283999999999997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110</v>
      </c>
      <c r="B45" s="60">
        <v>531.04</v>
      </c>
      <c r="C45" s="60">
        <v>10</v>
      </c>
      <c r="D45" s="60">
        <v>73.299999999999955</v>
      </c>
      <c r="E45" s="51">
        <v>0.5</v>
      </c>
      <c r="F45" s="51">
        <v>0.2</v>
      </c>
      <c r="G45" s="51">
        <v>0</v>
      </c>
      <c r="H45" s="51">
        <v>0.3</v>
      </c>
      <c r="I45" s="49">
        <f t="shared" si="1"/>
        <v>10.840999999999998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120</v>
      </c>
      <c r="B46" s="60">
        <v>565</v>
      </c>
      <c r="C46" s="60">
        <v>11</v>
      </c>
      <c r="D46" s="60">
        <v>66.050000000000011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10.725999999999999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130</v>
      </c>
      <c r="B47" s="60">
        <v>606.41</v>
      </c>
      <c r="C47" s="60">
        <v>12</v>
      </c>
      <c r="D47" s="60">
        <v>75.799999999999955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10.745999999999999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140</v>
      </c>
      <c r="B48" s="60">
        <v>639.04999999999995</v>
      </c>
      <c r="C48" s="60">
        <v>13</v>
      </c>
      <c r="D48" s="60">
        <v>74.669999999999959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10.843999999999994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150</v>
      </c>
      <c r="B49" s="60">
        <v>673.13</v>
      </c>
      <c r="C49" s="60">
        <v>14</v>
      </c>
      <c r="D49" s="60">
        <v>259.52</v>
      </c>
      <c r="E49" s="51">
        <v>0.45</v>
      </c>
      <c r="F49" s="51">
        <v>0.05</v>
      </c>
      <c r="G49" s="51">
        <v>0.05</v>
      </c>
      <c r="H49" s="51">
        <v>0.45</v>
      </c>
      <c r="I49" s="49">
        <f t="shared" si="1"/>
        <v>10.875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153</v>
      </c>
      <c r="B50" s="50">
        <v>434.97</v>
      </c>
      <c r="C50" s="50">
        <v>15</v>
      </c>
      <c r="D50" s="50">
        <v>156.29000000000002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7.1200000000000045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156</v>
      </c>
      <c r="B51" s="50">
        <v>290.93</v>
      </c>
      <c r="C51" s="50">
        <v>16</v>
      </c>
      <c r="D51" s="50">
        <v>96.65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4.083333333333333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159</v>
      </c>
      <c r="B52" s="50">
        <v>201.48</v>
      </c>
      <c r="C52" s="50">
        <v>17</v>
      </c>
      <c r="D52" s="50">
        <v>201.48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2.3999999999999964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pédonculé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31</v>
      </c>
      <c r="B62" s="60">
        <v>152.27000000000001</v>
      </c>
      <c r="C62" s="60">
        <v>1</v>
      </c>
      <c r="D62" s="60">
        <v>65.77000000000001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4.9119354838709679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37</v>
      </c>
      <c r="B63" s="60">
        <v>164.49</v>
      </c>
      <c r="C63" s="60">
        <v>2</v>
      </c>
      <c r="D63" s="60">
        <v>43.890000000000015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12.998333333333335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44</v>
      </c>
      <c r="B64" s="60">
        <v>218.51</v>
      </c>
      <c r="C64" s="60">
        <v>3</v>
      </c>
      <c r="D64" s="60">
        <v>56.45999999999998</v>
      </c>
      <c r="E64" s="51">
        <v>0.35</v>
      </c>
      <c r="F64" s="51">
        <v>0.2</v>
      </c>
      <c r="G64" s="51">
        <v>0.1</v>
      </c>
      <c r="H64" s="51">
        <v>0.35</v>
      </c>
      <c r="I64" s="49">
        <f>IF(A64&lt;&gt;0,(B64-(B63-D63))/(A64-A63),"")</f>
        <v>13.987142857142857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51</v>
      </c>
      <c r="B65" s="60">
        <v>261.62</v>
      </c>
      <c r="C65" s="60">
        <v>4</v>
      </c>
      <c r="D65" s="60">
        <v>55.400000000000006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14.224285714285713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58</v>
      </c>
      <c r="B66" s="60">
        <v>305.12</v>
      </c>
      <c r="C66" s="60">
        <v>5</v>
      </c>
      <c r="D66" s="60">
        <v>53.97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14.12857142857143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65</v>
      </c>
      <c r="B67" s="60">
        <v>348.03</v>
      </c>
      <c r="C67" s="60">
        <v>6</v>
      </c>
      <c r="D67" s="60">
        <v>56.629999999999995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13.839999999999995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72</v>
      </c>
      <c r="B68" s="60">
        <v>385.02</v>
      </c>
      <c r="C68" s="60">
        <v>7</v>
      </c>
      <c r="D68" s="60">
        <v>66.109999999999957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13.374285714285715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81</v>
      </c>
      <c r="B69" s="50">
        <v>433.28</v>
      </c>
      <c r="C69" s="50">
        <v>8</v>
      </c>
      <c r="D69" s="50">
        <v>87.399999999999977</v>
      </c>
      <c r="E69" s="51">
        <v>0.5</v>
      </c>
      <c r="F69" s="51">
        <v>0.2</v>
      </c>
      <c r="G69" s="51">
        <v>0</v>
      </c>
      <c r="H69" s="51">
        <v>0.3</v>
      </c>
      <c r="I69" s="49">
        <f t="shared" si="2"/>
        <v>12.707777777777771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90</v>
      </c>
      <c r="B70" s="50">
        <v>453.03</v>
      </c>
      <c r="C70" s="50">
        <v>9</v>
      </c>
      <c r="D70" s="50">
        <v>88.75</v>
      </c>
      <c r="E70" s="51">
        <v>0.5</v>
      </c>
      <c r="F70" s="51">
        <v>0.2</v>
      </c>
      <c r="G70" s="51">
        <v>0</v>
      </c>
      <c r="H70" s="51">
        <v>0.3</v>
      </c>
      <c r="I70" s="49">
        <f t="shared" si="2"/>
        <v>11.905555555555553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99</v>
      </c>
      <c r="B71" s="50">
        <v>465.23</v>
      </c>
      <c r="C71" s="50">
        <v>10</v>
      </c>
      <c r="D71" s="50">
        <v>226.42000000000002</v>
      </c>
      <c r="E71" s="51">
        <v>0.45</v>
      </c>
      <c r="F71" s="51">
        <v>0.05</v>
      </c>
      <c r="G71" s="51">
        <v>0.05</v>
      </c>
      <c r="H71" s="51">
        <v>0.45</v>
      </c>
      <c r="I71" s="49">
        <f t="shared" si="2"/>
        <v>11.216666666666672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101</v>
      </c>
      <c r="B72" s="50">
        <v>252.87</v>
      </c>
      <c r="C72" s="50">
        <v>11</v>
      </c>
      <c r="D72" s="50">
        <v>82.539999999999992</v>
      </c>
      <c r="E72" s="51">
        <v>0.45</v>
      </c>
      <c r="F72" s="51">
        <v>0.05</v>
      </c>
      <c r="G72" s="51">
        <v>0.05</v>
      </c>
      <c r="H72" s="51">
        <v>0.45</v>
      </c>
      <c r="I72" s="49">
        <f t="shared" si="2"/>
        <v>7.0300000000000011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103</v>
      </c>
      <c r="B73" s="50">
        <v>179.96</v>
      </c>
      <c r="C73" s="50">
        <v>12</v>
      </c>
      <c r="D73" s="50">
        <v>58.600000000000009</v>
      </c>
      <c r="E73" s="51">
        <v>0.45</v>
      </c>
      <c r="F73" s="51">
        <v>0.05</v>
      </c>
      <c r="G73" s="51">
        <v>0.05</v>
      </c>
      <c r="H73" s="51">
        <v>0.45</v>
      </c>
      <c r="I73" s="49">
        <f t="shared" si="2"/>
        <v>4.8149999999999977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106</v>
      </c>
      <c r="B74" s="50">
        <v>131.46</v>
      </c>
      <c r="C74" s="50">
        <v>13</v>
      </c>
      <c r="D74" s="50">
        <v>131.46</v>
      </c>
      <c r="E74" s="51">
        <v>0.45</v>
      </c>
      <c r="F74" s="51">
        <v>0.05</v>
      </c>
      <c r="G74" s="51">
        <v>0.05</v>
      </c>
      <c r="H74" s="51">
        <v>0.45</v>
      </c>
      <c r="I74" s="49">
        <f t="shared" si="2"/>
        <v>3.3666666666666694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327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38</v>
      </c>
      <c r="B114" s="60">
        <v>152.63</v>
      </c>
      <c r="C114" s="50">
        <v>1</v>
      </c>
      <c r="D114" s="60">
        <v>71.569999999999993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4.016578947368421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45</v>
      </c>
      <c r="B115" s="60">
        <v>149.75</v>
      </c>
      <c r="C115" s="50">
        <v>2</v>
      </c>
      <c r="D115" s="60">
        <v>41.69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9.8128571428571423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52</v>
      </c>
      <c r="B116" s="60">
        <v>178.07</v>
      </c>
      <c r="C116" s="50">
        <v>3</v>
      </c>
      <c r="D116" s="60">
        <v>44.400000000000006</v>
      </c>
      <c r="E116" s="51">
        <v>0.35</v>
      </c>
      <c r="F116" s="51">
        <v>0.2</v>
      </c>
      <c r="G116" s="51">
        <v>0.1</v>
      </c>
      <c r="H116" s="51">
        <v>0.35</v>
      </c>
      <c r="I116" s="53">
        <f t="shared" si="4"/>
        <v>10.001428571428571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59</v>
      </c>
      <c r="B117" s="60">
        <v>202.85</v>
      </c>
      <c r="C117" s="50">
        <v>4</v>
      </c>
      <c r="D117" s="60">
        <v>41.81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9.8828571428571443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67</v>
      </c>
      <c r="B118" s="60">
        <v>239.06</v>
      </c>
      <c r="C118" s="50">
        <v>5</v>
      </c>
      <c r="D118" s="60">
        <v>42.550000000000011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9.7525000000000013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75</v>
      </c>
      <c r="B119" s="60">
        <v>273.76</v>
      </c>
      <c r="C119" s="50">
        <v>6</v>
      </c>
      <c r="D119" s="60">
        <v>43.519999999999982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9.65625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83</v>
      </c>
      <c r="B120" s="60">
        <v>306.11</v>
      </c>
      <c r="C120" s="60">
        <v>7</v>
      </c>
      <c r="D120" s="60">
        <v>49.980000000000018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9.4837500000000006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93</v>
      </c>
      <c r="B121" s="60">
        <v>348.87</v>
      </c>
      <c r="C121" s="60">
        <v>8</v>
      </c>
      <c r="D121" s="60">
        <v>67.45999999999998</v>
      </c>
      <c r="E121" s="87">
        <v>0.5</v>
      </c>
      <c r="F121" s="87">
        <v>0.2</v>
      </c>
      <c r="G121" s="87">
        <v>0</v>
      </c>
      <c r="H121" s="87">
        <v>0.3</v>
      </c>
      <c r="I121" s="53">
        <f t="shared" si="4"/>
        <v>9.2740000000000009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103</v>
      </c>
      <c r="B122" s="60">
        <v>371.4</v>
      </c>
      <c r="C122" s="60">
        <v>9</v>
      </c>
      <c r="D122" s="60">
        <v>67.759999999999991</v>
      </c>
      <c r="E122" s="87">
        <v>0.5</v>
      </c>
      <c r="F122" s="87">
        <v>0.2</v>
      </c>
      <c r="G122" s="87">
        <v>0</v>
      </c>
      <c r="H122" s="87">
        <v>0.3</v>
      </c>
      <c r="I122" s="53">
        <f t="shared" si="4"/>
        <v>8.9989999999999952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113</v>
      </c>
      <c r="B123" s="60">
        <v>391.18</v>
      </c>
      <c r="C123" s="60">
        <v>10</v>
      </c>
      <c r="D123" s="60">
        <v>68.670000000000016</v>
      </c>
      <c r="E123" s="87">
        <v>0.5</v>
      </c>
      <c r="F123" s="87">
        <v>0.2</v>
      </c>
      <c r="G123" s="87">
        <v>0</v>
      </c>
      <c r="H123" s="87">
        <v>0.3</v>
      </c>
      <c r="I123" s="53">
        <f t="shared" si="4"/>
        <v>8.7540000000000013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123</v>
      </c>
      <c r="B124" s="60">
        <v>409.53</v>
      </c>
      <c r="C124" s="60">
        <v>11</v>
      </c>
      <c r="D124" s="60">
        <v>203.78999999999996</v>
      </c>
      <c r="E124" s="87">
        <v>0.45</v>
      </c>
      <c r="F124" s="87">
        <v>0.05</v>
      </c>
      <c r="G124" s="87">
        <v>0.05</v>
      </c>
      <c r="H124" s="87">
        <v>0.45</v>
      </c>
      <c r="I124" s="53">
        <f t="shared" si="4"/>
        <v>8.7019999999999982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125</v>
      </c>
      <c r="B125" s="60">
        <v>215.44</v>
      </c>
      <c r="C125" s="60">
        <v>12</v>
      </c>
      <c r="D125" s="60">
        <v>70.609999999999985</v>
      </c>
      <c r="E125" s="87">
        <v>0.45</v>
      </c>
      <c r="F125" s="87">
        <v>0.05</v>
      </c>
      <c r="G125" s="87">
        <v>0.05</v>
      </c>
      <c r="H125" s="87">
        <v>0.45</v>
      </c>
      <c r="I125" s="53">
        <f t="shared" si="4"/>
        <v>4.8499999999999943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127</v>
      </c>
      <c r="B126" s="60">
        <v>151.47999999999999</v>
      </c>
      <c r="C126" s="60">
        <v>13</v>
      </c>
      <c r="D126" s="60">
        <v>46.039999999999992</v>
      </c>
      <c r="E126" s="65">
        <v>0.45</v>
      </c>
      <c r="F126" s="65">
        <v>0.05</v>
      </c>
      <c r="G126" s="65">
        <v>0.05</v>
      </c>
      <c r="H126" s="65">
        <v>0.45</v>
      </c>
      <c r="I126" s="53">
        <f t="shared" si="4"/>
        <v>3.3249999999999886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130</v>
      </c>
      <c r="B127" s="60">
        <v>112.75</v>
      </c>
      <c r="C127" s="60">
        <v>14</v>
      </c>
      <c r="D127" s="60">
        <v>112.75</v>
      </c>
      <c r="E127" s="65">
        <v>0.45</v>
      </c>
      <c r="F127" s="65">
        <v>0.05</v>
      </c>
      <c r="G127" s="65">
        <v>0.05</v>
      </c>
      <c r="H127" s="65">
        <v>0.45</v>
      </c>
      <c r="I127" s="53">
        <f t="shared" si="4"/>
        <v>2.4366666666666674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328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Erable champêtre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15</v>
      </c>
      <c r="B140" s="60">
        <v>9</v>
      </c>
      <c r="C140" s="50">
        <v>1</v>
      </c>
      <c r="D140" s="60">
        <v>0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0.6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20</v>
      </c>
      <c r="B141" s="60">
        <v>57</v>
      </c>
      <c r="C141" s="50">
        <v>2</v>
      </c>
      <c r="D141" s="60">
        <v>21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25</v>
      </c>
      <c r="B142" s="60">
        <v>86</v>
      </c>
      <c r="C142" s="50">
        <v>3</v>
      </c>
      <c r="D142" s="60">
        <v>21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30</v>
      </c>
      <c r="B143" s="60">
        <v>114</v>
      </c>
      <c r="C143" s="50">
        <v>4</v>
      </c>
      <c r="D143" s="60">
        <v>21</v>
      </c>
      <c r="E143" s="51">
        <v>0</v>
      </c>
      <c r="F143" s="51">
        <v>0.25</v>
      </c>
      <c r="G143" s="51">
        <v>0.25</v>
      </c>
      <c r="H143" s="51">
        <v>0.5</v>
      </c>
      <c r="I143" s="57">
        <f t="shared" si="5"/>
        <v>9.8000000000000007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35</v>
      </c>
      <c r="B144" s="60">
        <v>136</v>
      </c>
      <c r="C144" s="50">
        <v>5</v>
      </c>
      <c r="D144" s="60">
        <v>21</v>
      </c>
      <c r="E144" s="51">
        <v>0</v>
      </c>
      <c r="F144" s="51">
        <v>0.25</v>
      </c>
      <c r="G144" s="51">
        <v>0.25</v>
      </c>
      <c r="H144" s="51">
        <v>0.5</v>
      </c>
      <c r="I144" s="57">
        <f t="shared" si="5"/>
        <v>8.6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40</v>
      </c>
      <c r="B145" s="60">
        <v>153</v>
      </c>
      <c r="C145" s="50">
        <v>6</v>
      </c>
      <c r="D145" s="60">
        <v>21</v>
      </c>
      <c r="E145" s="51">
        <v>0</v>
      </c>
      <c r="F145" s="51">
        <v>0.25</v>
      </c>
      <c r="G145" s="51">
        <v>0.25</v>
      </c>
      <c r="H145" s="51">
        <v>0.5</v>
      </c>
      <c r="I145" s="57">
        <f t="shared" si="5"/>
        <v>7.6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45</v>
      </c>
      <c r="B146" s="60">
        <v>164</v>
      </c>
      <c r="C146" s="50">
        <v>7</v>
      </c>
      <c r="D146" s="60">
        <v>18</v>
      </c>
      <c r="E146" s="51">
        <v>0</v>
      </c>
      <c r="F146" s="51">
        <v>0.25</v>
      </c>
      <c r="G146" s="51">
        <v>0.25</v>
      </c>
      <c r="H146" s="51">
        <v>0.5</v>
      </c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50</v>
      </c>
      <c r="B147" s="60">
        <v>174</v>
      </c>
      <c r="C147" s="50">
        <v>8</v>
      </c>
      <c r="D147" s="60">
        <v>13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55</v>
      </c>
      <c r="B148" s="60">
        <v>185</v>
      </c>
      <c r="C148" s="50">
        <v>9</v>
      </c>
      <c r="D148" s="60">
        <v>11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4.8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60</v>
      </c>
      <c r="B149" s="60">
        <v>194</v>
      </c>
      <c r="C149" s="50">
        <v>10</v>
      </c>
      <c r="D149" s="60">
        <v>9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65</v>
      </c>
      <c r="B150" s="60">
        <v>202</v>
      </c>
      <c r="C150" s="50">
        <v>11</v>
      </c>
      <c r="D150" s="60">
        <v>8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3.4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70</v>
      </c>
      <c r="B151" s="60">
        <v>209</v>
      </c>
      <c r="C151" s="50">
        <v>12</v>
      </c>
      <c r="D151" s="60">
        <v>8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75</v>
      </c>
      <c r="B152" s="60">
        <v>214</v>
      </c>
      <c r="C152" s="50">
        <v>13</v>
      </c>
      <c r="D152" s="60">
        <v>7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2.6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80</v>
      </c>
      <c r="B153" s="60">
        <v>219</v>
      </c>
      <c r="C153" s="50">
        <v>14</v>
      </c>
      <c r="D153" s="60">
        <v>219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2.4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B18" sqref="B18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pédonculé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pubescent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Charme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Erable champêtre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695.0879239758051</v>
      </c>
      <c r="T3" s="59">
        <f>IF('Données projet'!E9&gt;30,$R$33-$H$33,LOOKUP('Données projet'!$E$9,$A$3:$A$203,R3:R203)-LOOKUP('Données projet'!$E$9,$A$3:$A$203,$H$3:$H$203))</f>
        <v>226.22150997227476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424.81155998881928</v>
      </c>
      <c r="AO3" s="59">
        <f>IF('Données projet'!E10&gt;30,$AM$33-$H$33,LOOKUP('Données projet'!$E$10,$A$3:$A$203,AM3:AM203)-LOOKUP('Données projet'!$E$10,$A$3:$A$203,$H$3:$H$203))</f>
        <v>277.34430416544575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706.69239849991595</v>
      </c>
      <c r="BJ3" s="59">
        <f>IF('Données projet'!E11&gt;30,$BH$33-$H$33,LOOKUP('Données projet'!$E$11,$A$3:$A$203,BH3:BH203)-LOOKUP('Données projet'!$E$11,$A$3:$A$203,$H$3:$H$203))</f>
        <v>310.59887275116529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449.28947235329758</v>
      </c>
      <c r="CE3" s="59">
        <f>IF('Données projet'!E12&gt;30,$CC$33-$H$33,LOOKUP('Données projet'!$E$12,$A$3:$A$203,CC3:CC203)-LOOKUP('Données projet'!$E$12,$A$3:$A$203,$H$3:$H$203))</f>
        <v>289.36994109443964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261.93797831021766</v>
      </c>
      <c r="CZ3" s="59">
        <f>IF('Données projet'!E13&gt;30,$CX$33-$H$33,LOOKUP('Données projet'!$E$13,$A$3:$A$203,CX3:CX203)-LOOKUP('Données projet'!$E$13,$A$3:$A$203,$H$3:$H$203))</f>
        <v>256.90876395053073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5.0894117647058819</v>
      </c>
      <c r="N4" s="13">
        <f>IF('Données projet'!$A$36&gt;35,N3+M4-V3,IF(A4&lt;'Données projet'!$A$36,$K$205^A4,IF(A4='Données projet'!$A$36,'Données projet'!$B$36,N3+M4-V3)))</f>
        <v>1.1636646418946561</v>
      </c>
      <c r="O4" s="13">
        <f>N4*VLOOKUP('Données projet'!$B$9,Paramètres!$A$1:$I$89,3,0)*VLOOKUP('Données projet'!$B$9,Paramètres!$A$1:$I$89,5,0)</f>
        <v>1.0528837679862848</v>
      </c>
      <c r="P4" s="13">
        <f>EXP(-1.0587+0.8836*LN(O4)+0.284)</f>
        <v>0.48231127341028485</v>
      </c>
      <c r="Q4" s="20">
        <f t="shared" ref="Q4:Q34" si="2">(O4+P4)*0.475*44/12</f>
        <v>2.6737980304323585</v>
      </c>
      <c r="R4" s="59">
        <f t="shared" si="0"/>
        <v>260.56268691932121</v>
      </c>
      <c r="S4" s="59">
        <f ca="1">AVERAGE(OFFSET($R$3,0,0,'Données projet'!$E$9+1,1))-AVERAGE(OFFSET($H$3,0,0,'Données projet'!$E$9+1,1))</f>
        <v>695.0879239758051</v>
      </c>
      <c r="T4" s="59">
        <f>$T$3</f>
        <v>226.22150997227476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4.9119354838709679</v>
      </c>
      <c r="AI4" s="13">
        <f>IF('Données projet'!$A$62&gt;35,AI3+AH4-AQ3,IF(A4&lt;'Données projet'!$A$62,$AF$205^A4,IF(A4='Données projet'!$A$62,'Données projet'!$B$62,AI3+AH4-AQ3)))</f>
        <v>1.175998897105349</v>
      </c>
      <c r="AJ4" s="13">
        <f>AI4*VLOOKUP('Données projet'!$B$10,Paramètres!$A$1:$I$89,3,0)*VLOOKUP('Données projet'!$B$10,Paramètres!$A$1:$I$89,5,0)</f>
        <v>0.99066147092154599</v>
      </c>
      <c r="AK4" s="13">
        <f>EXP(-1.0587+0.8836*LN(AJ4)+0.284)</f>
        <v>0.45703728983538922</v>
      </c>
      <c r="AL4" s="20">
        <f t="shared" ref="AL4:AL67" si="4">(AJ4+AK4)*0.475*44/12</f>
        <v>2.5214086749849955</v>
      </c>
      <c r="AM4" s="59">
        <f t="shared" ref="AM4:AM67" si="5">AL4+(AD4+AE4)*44/12</f>
        <v>260.41029756387383</v>
      </c>
      <c r="AN4" s="59">
        <f ca="1">AVERAGE(OFFSET($AM$3,0,0,'Données projet'!$E$10+1,1))-AVERAGE(OFFSET($H$3,0,0,'Données projet'!$E$10+1,1))</f>
        <v>424.81155998881928</v>
      </c>
      <c r="AO4" s="59">
        <f>$AO$3</f>
        <v>277.34430416544575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4.151605714285715</v>
      </c>
      <c r="BF4" s="13">
        <f>EXP(-1.0587+0.8836*LN(BE4)+0.284)</f>
        <v>1.6210925568488095</v>
      </c>
      <c r="BG4" s="20">
        <f t="shared" ref="BG4:BG67" si="7">(BE4+BF4)*0.475*44/12</f>
        <v>10.054116155559297</v>
      </c>
      <c r="BH4" s="59">
        <f t="shared" ref="BH4:BH67" si="8">BG4+(AY4+AZ4)*44/12</f>
        <v>267.94300504444817</v>
      </c>
      <c r="BI4" s="59">
        <f ca="1">AVERAGE(OFFSET($BH$3,0,0,'Données projet'!$E$11+1,1))-AVERAGE(OFFSET($H$3,0,0,'Données projet'!$E$11+1,1))</f>
        <v>706.69239849991595</v>
      </c>
      <c r="BJ4" s="59">
        <f>$BJ$3</f>
        <v>310.59887275116529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4.016578947368421</v>
      </c>
      <c r="BY4" s="12">
        <f>IF('Données projet'!$A$114&gt;35,BY3+BX4-CG3,IF(A4&lt;'Données projet'!$A$114,$BV$205^A4,IF(A4='Données projet'!$A$114,'Données projet'!$B$114,BY3+BX4-CG3)))</f>
        <v>4.016578947368421</v>
      </c>
      <c r="BZ4" s="13">
        <f>BY4*VLOOKUP('Données projet'!$B$12,Paramètres!$A$1:$I$89,3,0)*VLOOKUP('Données projet'!$B$12,Paramètres!$A$1:$I$89,5,0)</f>
        <v>3.8221765263157894</v>
      </c>
      <c r="CA4" s="13">
        <f>EXP(-1.0587+0.8836*LN(BZ4)+0.284)</f>
        <v>1.5068909880440347</v>
      </c>
      <c r="CB4" s="20">
        <f t="shared" ref="CB4:CB67" si="10">(BZ4+CA4)*0.475*44/12</f>
        <v>9.2814592541766938</v>
      </c>
      <c r="CC4" s="59">
        <f t="shared" ref="CC4:CC67" si="11">CB4+(BT4+BU4)*44/12</f>
        <v>267.17034814306555</v>
      </c>
      <c r="CD4" s="59">
        <f ca="1">AVERAGE(OFFSET($CC$3,0,0,'Données projet'!$E$12+1,1))-AVERAGE(OFFSET($H$3,0,0,'Données projet'!$E$12+1,1))</f>
        <v>449.28947235329758</v>
      </c>
      <c r="CE4" s="59">
        <f>$CE$3</f>
        <v>289.36994109443964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0.6</v>
      </c>
      <c r="CT4" s="12">
        <f>IF('Données projet'!$A$140&gt;35,CT3+CS4-DB3,IF(A4&lt;'Données projet'!$A$140,$CQ$205^A4,IF(A4='Données projet'!$A$140,'Données projet'!$B$140,CT3+CS4-DB3)))</f>
        <v>1.1577536725165907</v>
      </c>
      <c r="CU4" s="17">
        <f>CT4*VLOOKUP('Données projet'!$B$13,Paramètres!$A$1:$I$89,3,0)*VLOOKUP('Données projet'!$B$13,Paramètres!$A$1:$I$89,5,0)</f>
        <v>1.0114136083104937</v>
      </c>
      <c r="CV4" s="13">
        <f>EXP(-1.0587+0.8836*LN(CU4)+0.284)</f>
        <v>0.46548655994988658</v>
      </c>
      <c r="CW4" s="20">
        <f t="shared" ref="CW4:CW67" si="13">(CU4+CV4)*0.475*44/12</f>
        <v>2.5722677930534954</v>
      </c>
      <c r="CX4" s="59">
        <f t="shared" ref="CX4:CX67" si="14">CW4+(CO4+CP4)*44/12</f>
        <v>260.46115668194233</v>
      </c>
      <c r="CY4" s="59">
        <f ca="1">AVERAGE(OFFSET($CX$3,0,0,'Données projet'!$E$13+1,1))-AVERAGE(OFFSET($H$3,0,0,'Données projet'!$E$13+1,1))</f>
        <v>261.93797831021766</v>
      </c>
      <c r="CZ4" s="59">
        <f>$CZ$3</f>
        <v>256.90876395053073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5.0894117647058819</v>
      </c>
      <c r="N5" s="13">
        <f>IF('Données projet'!$A$36&gt;35,N4+M5-V4,IF(A5&lt;'Données projet'!$A$36,$K$205^A5,IF(A5='Données projet'!$A$36,'Données projet'!$B$36,N4+M5-V4)))</f>
        <v>1.3541153987958183</v>
      </c>
      <c r="O5" s="13">
        <f>N5*VLOOKUP('Données projet'!$B$9,Paramètres!$A$1:$I$89,3,0)*VLOOKUP('Données projet'!$B$9,Paramètres!$A$1:$I$89,5,0)</f>
        <v>1.2252036128304564</v>
      </c>
      <c r="P5" s="13">
        <f t="shared" ref="P5:P68" si="33">EXP(-1.0587+0.8836*LN(O5)+0.284)</f>
        <v>0.55143317604780007</v>
      </c>
      <c r="Q5" s="20">
        <f t="shared" si="2"/>
        <v>3.0943090739629628</v>
      </c>
      <c r="R5" s="59">
        <f t="shared" si="0"/>
        <v>262.2054201850741</v>
      </c>
      <c r="S5" s="59">
        <f ca="1">AVERAGE(OFFSET($R$3,0,0,'Données projet'!$E$9+1,1))-AVERAGE(OFFSET($H$3,0,0,'Données projet'!$E$9+1,1))</f>
        <v>695.0879239758051</v>
      </c>
      <c r="T5" s="59">
        <f t="shared" ref="T5:T68" si="34">$T$3</f>
        <v>226.22150997227476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4.9119354838709679</v>
      </c>
      <c r="AI5" s="13">
        <f>IF('Données projet'!$A$62&gt;35,AI4+AH5-AQ4,IF(A5&lt;'Données projet'!$A$62,$AF$205^A5,IF(A5='Données projet'!$A$62,'Données projet'!$B$62,AI4+AH5-AQ4)))</f>
        <v>1.3829734059929972</v>
      </c>
      <c r="AJ5" s="13">
        <f>AI5*VLOOKUP('Données projet'!$B$10,Paramètres!$A$1:$I$89,3,0)*VLOOKUP('Données projet'!$B$10,Paramètres!$A$1:$I$89,5,0)</f>
        <v>1.165016797208501</v>
      </c>
      <c r="AK5" s="13">
        <f t="shared" ref="AK5:AK68" si="35">EXP(-1.0587+0.8836*LN(AJ5)+0.284)</f>
        <v>0.52742800430464087</v>
      </c>
      <c r="AL5" s="20">
        <f t="shared" si="4"/>
        <v>2.9476746959687219</v>
      </c>
      <c r="AM5" s="59">
        <f t="shared" si="5"/>
        <v>262.05878580707986</v>
      </c>
      <c r="AN5" s="59">
        <f ca="1">AVERAGE(OFFSET($AM$3,0,0,'Données projet'!$E$10+1,1))-AVERAGE(OFFSET($H$3,0,0,'Données projet'!$E$10+1,1))</f>
        <v>424.81155998881928</v>
      </c>
      <c r="AO5" s="59">
        <f t="shared" ref="AO5:AO68" si="36">$AO$3</f>
        <v>277.34430416544575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8.30321142857143</v>
      </c>
      <c r="BF5" s="13">
        <f t="shared" ref="BF5:BF68" si="37">EXP(-1.0587+0.8836*LN(BE5)+0.284)</f>
        <v>2.9908726125223399</v>
      </c>
      <c r="BG5" s="20">
        <f t="shared" si="7"/>
        <v>19.670529704904983</v>
      </c>
      <c r="BH5" s="59">
        <f t="shared" si="8"/>
        <v>278.78164081601614</v>
      </c>
      <c r="BI5" s="59">
        <f ca="1">AVERAGE(OFFSET($BH$3,0,0,'Données projet'!$E$11+1,1))-AVERAGE(OFFSET($H$3,0,0,'Données projet'!$E$11+1,1))</f>
        <v>706.69239849991595</v>
      </c>
      <c r="BJ5" s="59">
        <f t="shared" ref="BJ5:BJ68" si="38">$BJ$3</f>
        <v>310.59887275116529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4.016578947368421</v>
      </c>
      <c r="BY5" s="12">
        <f>IF('Données projet'!$A$114&gt;35,BY4+BX5-CG4,IF(A5&lt;'Données projet'!$A$114,$BV$205^A5,IF(A5='Données projet'!$A$114,'Données projet'!$B$114,BY4+BX5-CG4)))</f>
        <v>8.0331578947368421</v>
      </c>
      <c r="BZ5" s="13">
        <f>BY5*VLOOKUP('Données projet'!$B$12,Paramètres!$A$1:$I$89,3,0)*VLOOKUP('Données projet'!$B$12,Paramètres!$A$1:$I$89,5,0)</f>
        <v>7.6443530526315788</v>
      </c>
      <c r="CA5" s="13">
        <f t="shared" ref="CA5:CA68" si="39">EXP(-1.0587+0.8836*LN(BZ5)+0.284)</f>
        <v>2.7801737582204993</v>
      </c>
      <c r="CB5" s="20">
        <f t="shared" si="10"/>
        <v>18.156050862234036</v>
      </c>
      <c r="CC5" s="59">
        <f t="shared" si="11"/>
        <v>277.2671619733452</v>
      </c>
      <c r="CD5" s="59">
        <f ca="1">AVERAGE(OFFSET($CC$3,0,0,'Données projet'!$E$12+1,1))-AVERAGE(OFFSET($H$3,0,0,'Données projet'!$E$12+1,1))</f>
        <v>449.28947235329758</v>
      </c>
      <c r="CE5" s="59">
        <f t="shared" ref="CE5:CE68" si="40">$CE$3</f>
        <v>289.36994109443964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0.6</v>
      </c>
      <c r="CT5" s="12">
        <f>IF('Données projet'!$A$140&gt;35,CT4+CS5-DB4,IF(A5&lt;'Données projet'!$A$140,$CQ$205^A5,IF(A5='Données projet'!$A$140,'Données projet'!$B$140,CT4+CS5-DB4)))</f>
        <v>1.340393566225653</v>
      </c>
      <c r="CU5" s="17">
        <f>CT5*VLOOKUP('Données projet'!$B$13,Paramètres!$A$1:$I$89,3,0)*VLOOKUP('Données projet'!$B$13,Paramètres!$A$1:$I$89,5,0)</f>
        <v>1.1709678194547306</v>
      </c>
      <c r="CV5" s="13">
        <f t="shared" ref="CV5:CV68" si="41">EXP(-1.0587+0.8836*LN(CU5)+0.284)</f>
        <v>0.52980785325350399</v>
      </c>
      <c r="CW5" s="20">
        <f t="shared" si="13"/>
        <v>2.9621842966335081</v>
      </c>
      <c r="CX5" s="59">
        <f t="shared" si="14"/>
        <v>262.07329540774464</v>
      </c>
      <c r="CY5" s="59">
        <f ca="1">AVERAGE(OFFSET($CX$3,0,0,'Données projet'!$E$13+1,1))-AVERAGE(OFFSET($H$3,0,0,'Données projet'!$E$13+1,1))</f>
        <v>261.93797831021766</v>
      </c>
      <c r="CZ5" s="59">
        <f t="shared" ref="CZ5:CZ68" si="42">$CZ$3</f>
        <v>256.90876395053073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5.0894117647058819</v>
      </c>
      <c r="N6" s="13">
        <f>IF('Données projet'!$A$36&gt;35,N5+M6-V5,IF(A6&lt;'Données projet'!$A$36,$K$205^A6,IF(A6='Données projet'!$A$36,'Données projet'!$B$36,N5+M6-V5)))</f>
        <v>1.5757362106237753</v>
      </c>
      <c r="O6" s="13">
        <f>N6*VLOOKUP('Données projet'!$B$9,Paramètres!$A$1:$I$89,3,0)*VLOOKUP('Données projet'!$B$9,Paramètres!$A$1:$I$89,5,0)</f>
        <v>1.4257261233723919</v>
      </c>
      <c r="P6" s="13">
        <f t="shared" si="33"/>
        <v>0.63046120712898079</v>
      </c>
      <c r="Q6" s="20">
        <f t="shared" si="2"/>
        <v>3.5811929339565567</v>
      </c>
      <c r="R6" s="59">
        <f t="shared" si="0"/>
        <v>263.91452626728989</v>
      </c>
      <c r="S6" s="59">
        <f ca="1">AVERAGE(OFFSET($R$3,0,0,'Données projet'!$E$9+1,1))-AVERAGE(OFFSET($H$3,0,0,'Données projet'!$E$9+1,1))</f>
        <v>695.0879239758051</v>
      </c>
      <c r="T6" s="59">
        <f t="shared" si="34"/>
        <v>226.22150997227476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4.9119354838709679</v>
      </c>
      <c r="AI6" s="13">
        <f>IF('Données projet'!$A$62&gt;35,AI5+AH6-AQ5,IF(A6&lt;'Données projet'!$A$62,$AF$205^A6,IF(A6='Données projet'!$A$62,'Données projet'!$B$62,AI5+AH6-AQ5)))</f>
        <v>1.6263752001737928</v>
      </c>
      <c r="AJ6" s="13">
        <f>AI6*VLOOKUP('Données projet'!$B$10,Paramètres!$A$1:$I$89,3,0)*VLOOKUP('Données projet'!$B$10,Paramètres!$A$1:$I$89,5,0)</f>
        <v>1.3700584686264032</v>
      </c>
      <c r="AK6" s="13">
        <f t="shared" si="35"/>
        <v>0.60865996257103727</v>
      </c>
      <c r="AL6" s="20">
        <f t="shared" si="4"/>
        <v>3.4462679343355425</v>
      </c>
      <c r="AM6" s="59">
        <f t="shared" si="5"/>
        <v>263.77960126766885</v>
      </c>
      <c r="AN6" s="59">
        <f ca="1">AVERAGE(OFFSET($AM$3,0,0,'Données projet'!$E$10+1,1))-AVERAGE(OFFSET($H$3,0,0,'Données projet'!$E$10+1,1))</f>
        <v>424.81155998881928</v>
      </c>
      <c r="AO6" s="59">
        <f t="shared" si="36"/>
        <v>277.34430416544575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12.454817142857145</v>
      </c>
      <c r="BF6" s="13">
        <f t="shared" si="37"/>
        <v>4.279491345414665</v>
      </c>
      <c r="BG6" s="20">
        <f t="shared" si="7"/>
        <v>29.145587283740067</v>
      </c>
      <c r="BH6" s="59">
        <f t="shared" si="8"/>
        <v>289.47892061707336</v>
      </c>
      <c r="BI6" s="59">
        <f ca="1">AVERAGE(OFFSET($BH$3,0,0,'Données projet'!$E$11+1,1))-AVERAGE(OFFSET($H$3,0,0,'Données projet'!$E$11+1,1))</f>
        <v>706.69239849991595</v>
      </c>
      <c r="BJ6" s="59">
        <f t="shared" si="38"/>
        <v>310.59887275116529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4.016578947368421</v>
      </c>
      <c r="BY6" s="12">
        <f>IF('Données projet'!$A$114&gt;35,BY5+BX6-CG5,IF(A6&lt;'Données projet'!$A$114,$BV$205^A6,IF(A6='Données projet'!$A$114,'Données projet'!$B$114,BY5+BX6-CG5)))</f>
        <v>12.049736842105263</v>
      </c>
      <c r="BZ6" s="13">
        <f>BY6*VLOOKUP('Données projet'!$B$12,Paramètres!$A$1:$I$89,3,0)*VLOOKUP('Données projet'!$B$12,Paramètres!$A$1:$I$89,5,0)</f>
        <v>11.466529578947368</v>
      </c>
      <c r="CA6" s="13">
        <f t="shared" si="39"/>
        <v>3.9780128004247182</v>
      </c>
      <c r="CB6" s="20">
        <f t="shared" si="10"/>
        <v>26.89924464407305</v>
      </c>
      <c r="CC6" s="59">
        <f t="shared" si="11"/>
        <v>287.23257797740638</v>
      </c>
      <c r="CD6" s="59">
        <f ca="1">AVERAGE(OFFSET($CC$3,0,0,'Données projet'!$E$12+1,1))-AVERAGE(OFFSET($H$3,0,0,'Données projet'!$E$12+1,1))</f>
        <v>449.28947235329758</v>
      </c>
      <c r="CE6" s="59">
        <f t="shared" si="40"/>
        <v>289.36994109443964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0.6</v>
      </c>
      <c r="CT6" s="12">
        <f>IF('Données projet'!$A$140&gt;35,CT5+CS6-DB5,IF(A6&lt;'Données projet'!$A$140,$CQ$205^A6,IF(A6='Données projet'!$A$140,'Données projet'!$B$140,CT5+CS6-DB5)))</f>
        <v>1.5518455739153598</v>
      </c>
      <c r="CU6" s="17">
        <f>CT6*VLOOKUP('Données projet'!$B$13,Paramètres!$A$1:$I$89,3,0)*VLOOKUP('Données projet'!$B$13,Paramètres!$A$1:$I$89,5,0)</f>
        <v>1.3556922933724584</v>
      </c>
      <c r="CV6" s="13">
        <f t="shared" si="41"/>
        <v>0.6030171126730397</v>
      </c>
      <c r="CW6" s="20">
        <f t="shared" si="13"/>
        <v>3.4114188821959091</v>
      </c>
      <c r="CX6" s="59">
        <f t="shared" si="14"/>
        <v>263.74475221552922</v>
      </c>
      <c r="CY6" s="59">
        <f ca="1">AVERAGE(OFFSET($CX$3,0,0,'Données projet'!$E$13+1,1))-AVERAGE(OFFSET($H$3,0,0,'Données projet'!$E$13+1,1))</f>
        <v>261.93797831021766</v>
      </c>
      <c r="CZ6" s="59">
        <f t="shared" si="42"/>
        <v>256.90876395053073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5.0894117647058819</v>
      </c>
      <c r="N7" s="13">
        <f>IF('Données projet'!$A$36&gt;35,N6+M7-V6,IF(A7&lt;'Données projet'!$A$36,$K$205^A7,IF(A7='Données projet'!$A$36,'Données projet'!$B$36,N6+M7-V6)))</f>
        <v>1.833628513255958</v>
      </c>
      <c r="O7" s="13">
        <f>N7*VLOOKUP('Données projet'!$B$9,Paramètres!$A$1:$I$89,3,0)*VLOOKUP('Données projet'!$B$9,Paramètres!$A$1:$I$89,5,0)</f>
        <v>1.6590670787939907</v>
      </c>
      <c r="P7" s="13">
        <f t="shared" si="33"/>
        <v>0.72081505241185662</v>
      </c>
      <c r="Q7" s="20">
        <f t="shared" si="2"/>
        <v>4.1449613785168511</v>
      </c>
      <c r="R7" s="59">
        <f t="shared" si="0"/>
        <v>265.70051693407237</v>
      </c>
      <c r="S7" s="59">
        <f ca="1">AVERAGE(OFFSET($R$3,0,0,'Données projet'!$E$9+1,1))-AVERAGE(OFFSET($H$3,0,0,'Données projet'!$E$9+1,1))</f>
        <v>695.0879239758051</v>
      </c>
      <c r="T7" s="59">
        <f t="shared" si="34"/>
        <v>226.22150997227476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4.9119354838709679</v>
      </c>
      <c r="AI7" s="13">
        <f>IF('Données projet'!$A$62&gt;35,AI6+AH7-AQ6,IF(A7&lt;'Données projet'!$A$62,$AF$205^A7,IF(A7='Données projet'!$A$62,'Données projet'!$B$62,AI6+AH7-AQ6)))</f>
        <v>1.9126154416838717</v>
      </c>
      <c r="AJ7" s="13">
        <f>AI7*VLOOKUP('Données projet'!$B$10,Paramètres!$A$1:$I$89,3,0)*VLOOKUP('Données projet'!$B$10,Paramètres!$A$1:$I$89,5,0)</f>
        <v>1.6111872480744935</v>
      </c>
      <c r="AK7" s="13">
        <f t="shared" si="35"/>
        <v>0.70240288155612574</v>
      </c>
      <c r="AL7" s="20">
        <f t="shared" si="4"/>
        <v>4.0295028091066616</v>
      </c>
      <c r="AM7" s="59">
        <f t="shared" si="5"/>
        <v>265.58505836466219</v>
      </c>
      <c r="AN7" s="59">
        <f ca="1">AVERAGE(OFFSET($AM$3,0,0,'Données projet'!$E$10+1,1))-AVERAGE(OFFSET($H$3,0,0,'Données projet'!$E$10+1,1))</f>
        <v>424.81155998881928</v>
      </c>
      <c r="AO7" s="59">
        <f t="shared" si="36"/>
        <v>277.34430416544575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16.60642285714286</v>
      </c>
      <c r="BF7" s="13">
        <f t="shared" si="37"/>
        <v>5.5180803505289857</v>
      </c>
      <c r="BG7" s="20">
        <f t="shared" si="7"/>
        <v>38.533509753361791</v>
      </c>
      <c r="BH7" s="59">
        <f t="shared" si="8"/>
        <v>300.08906530891733</v>
      </c>
      <c r="BI7" s="59">
        <f ca="1">AVERAGE(OFFSET($BH$3,0,0,'Données projet'!$E$11+1,1))-AVERAGE(OFFSET($H$3,0,0,'Données projet'!$E$11+1,1))</f>
        <v>706.69239849991595</v>
      </c>
      <c r="BJ7" s="59">
        <f t="shared" si="38"/>
        <v>310.59887275116529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4.016578947368421</v>
      </c>
      <c r="BY7" s="12">
        <f>IF('Données projet'!$A$114&gt;35,BY6+BX7-CG6,IF(A7&lt;'Données projet'!$A$114,$BV$205^A7,IF(A7='Données projet'!$A$114,'Données projet'!$B$114,BY6+BX7-CG6)))</f>
        <v>16.066315789473684</v>
      </c>
      <c r="BZ7" s="13">
        <f>BY7*VLOOKUP('Données projet'!$B$12,Paramètres!$A$1:$I$89,3,0)*VLOOKUP('Données projet'!$B$12,Paramètres!$A$1:$I$89,5,0)</f>
        <v>15.288706105263158</v>
      </c>
      <c r="CA7" s="13">
        <f t="shared" si="39"/>
        <v>5.1293465733249333</v>
      </c>
      <c r="CB7" s="20">
        <f t="shared" si="10"/>
        <v>35.561441748540922</v>
      </c>
      <c r="CC7" s="59">
        <f t="shared" si="11"/>
        <v>297.11699730409646</v>
      </c>
      <c r="CD7" s="59">
        <f ca="1">AVERAGE(OFFSET($CC$3,0,0,'Données projet'!$E$12+1,1))-AVERAGE(OFFSET($H$3,0,0,'Données projet'!$E$12+1,1))</f>
        <v>449.28947235329758</v>
      </c>
      <c r="CE7" s="59">
        <f t="shared" si="40"/>
        <v>289.36994109443964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0.6</v>
      </c>
      <c r="CT7" s="12">
        <f>IF('Données projet'!$A$140&gt;35,CT6+CS7-DB6,IF(A7&lt;'Données projet'!$A$140,$CQ$205^A7,IF(A7='Données projet'!$A$140,'Données projet'!$B$140,CT6+CS7-DB6)))</f>
        <v>1.796654912379124</v>
      </c>
      <c r="CU7" s="17">
        <f>CT7*VLOOKUP('Données projet'!$B$13,Paramètres!$A$1:$I$89,3,0)*VLOOKUP('Données projet'!$B$13,Paramètres!$A$1:$I$89,5,0)</f>
        <v>1.5695577314544029</v>
      </c>
      <c r="CV7" s="13">
        <f t="shared" si="41"/>
        <v>0.68634248424879218</v>
      </c>
      <c r="CW7" s="20">
        <f t="shared" si="13"/>
        <v>3.9290262090163979</v>
      </c>
      <c r="CX7" s="59">
        <f t="shared" si="14"/>
        <v>265.48458176457194</v>
      </c>
      <c r="CY7" s="59">
        <f ca="1">AVERAGE(OFFSET($CX$3,0,0,'Données projet'!$E$13+1,1))-AVERAGE(OFFSET($H$3,0,0,'Données projet'!$E$13+1,1))</f>
        <v>261.93797831021766</v>
      </c>
      <c r="CZ7" s="59">
        <f t="shared" si="42"/>
        <v>256.90876395053073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5.0894117647058819</v>
      </c>
      <c r="N8" s="13">
        <f>IF('Données projet'!$A$36&gt;35,N7+M8-V7,IF(A8&lt;'Données projet'!$A$36,$K$205^A8,IF(A8='Données projet'!$A$36,'Données projet'!$B$36,N7+M8-V7)))</f>
        <v>2.1337286672458249</v>
      </c>
      <c r="O8" s="13">
        <f>N8*VLOOKUP('Données projet'!$B$9,Paramètres!$A$1:$I$89,3,0)*VLOOKUP('Données projet'!$B$9,Paramètres!$A$1:$I$89,5,0)</f>
        <v>1.9305976981240223</v>
      </c>
      <c r="P8" s="13">
        <f t="shared" si="33"/>
        <v>0.82411785833670215</v>
      </c>
      <c r="Q8" s="20">
        <f t="shared" si="2"/>
        <v>4.7977962608357618</v>
      </c>
      <c r="R8" s="59">
        <f t="shared" si="0"/>
        <v>267.57557403861352</v>
      </c>
      <c r="S8" s="59">
        <f ca="1">AVERAGE(OFFSET($R$3,0,0,'Données projet'!$E$9+1,1))-AVERAGE(OFFSET($H$3,0,0,'Données projet'!$E$9+1,1))</f>
        <v>695.0879239758051</v>
      </c>
      <c r="T8" s="59">
        <f t="shared" si="34"/>
        <v>226.22150997227476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4.9119354838709679</v>
      </c>
      <c r="AI8" s="13">
        <f>IF('Données projet'!$A$62&gt;35,AI7+AH8-AQ7,IF(A8&lt;'Données projet'!$A$62,$AF$205^A8,IF(A8='Données projet'!$A$62,'Données projet'!$B$62,AI7+AH8-AQ7)))</f>
        <v>2.249233650006893</v>
      </c>
      <c r="AJ8" s="13">
        <f>AI8*VLOOKUP('Données projet'!$B$10,Paramètres!$A$1:$I$89,3,0)*VLOOKUP('Données projet'!$B$10,Paramètres!$A$1:$I$89,5,0)</f>
        <v>1.8947544267658067</v>
      </c>
      <c r="AK8" s="13">
        <f t="shared" si="35"/>
        <v>0.81058364005792016</v>
      </c>
      <c r="AL8" s="20">
        <f t="shared" si="4"/>
        <v>4.7117971330513244</v>
      </c>
      <c r="AM8" s="59">
        <f t="shared" si="5"/>
        <v>267.48957491082911</v>
      </c>
      <c r="AN8" s="59">
        <f ca="1">AVERAGE(OFFSET($AM$3,0,0,'Données projet'!$E$10+1,1))-AVERAGE(OFFSET($H$3,0,0,'Données projet'!$E$10+1,1))</f>
        <v>424.81155998881928</v>
      </c>
      <c r="AO8" s="59">
        <f t="shared" si="36"/>
        <v>277.34430416544575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20.758028571428575</v>
      </c>
      <c r="BF8" s="13">
        <f t="shared" si="37"/>
        <v>6.7207494872819238</v>
      </c>
      <c r="BG8" s="20">
        <f t="shared" si="7"/>
        <v>47.858871785587461</v>
      </c>
      <c r="BH8" s="59">
        <f t="shared" si="8"/>
        <v>310.63664956336521</v>
      </c>
      <c r="BI8" s="59">
        <f ca="1">AVERAGE(OFFSET($BH$3,0,0,'Données projet'!$E$11+1,1))-AVERAGE(OFFSET($H$3,0,0,'Données projet'!$E$11+1,1))</f>
        <v>706.69239849991595</v>
      </c>
      <c r="BJ8" s="59">
        <f t="shared" si="38"/>
        <v>310.59887275116529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4.016578947368421</v>
      </c>
      <c r="BY8" s="12">
        <f>IF('Données projet'!$A$114&gt;35,BY7+BX8-CG7,IF(A8&lt;'Données projet'!$A$114,$BV$205^A8,IF(A8='Données projet'!$A$114,'Données projet'!$B$114,BY7+BX8-CG7)))</f>
        <v>20.082894736842107</v>
      </c>
      <c r="BZ8" s="13">
        <f>BY8*VLOOKUP('Données projet'!$B$12,Paramètres!$A$1:$I$89,3,0)*VLOOKUP('Données projet'!$B$12,Paramètres!$A$1:$I$89,5,0)</f>
        <v>19.110882631578949</v>
      </c>
      <c r="CA8" s="13">
        <f t="shared" si="39"/>
        <v>6.2472909350549983</v>
      </c>
      <c r="CB8" s="20">
        <f t="shared" si="10"/>
        <v>44.16548562855413</v>
      </c>
      <c r="CC8" s="59">
        <f t="shared" si="11"/>
        <v>306.94326340633188</v>
      </c>
      <c r="CD8" s="59">
        <f ca="1">AVERAGE(OFFSET($CC$3,0,0,'Données projet'!$E$12+1,1))-AVERAGE(OFFSET($H$3,0,0,'Données projet'!$E$12+1,1))</f>
        <v>449.28947235329758</v>
      </c>
      <c r="CE8" s="59">
        <f t="shared" si="40"/>
        <v>289.36994109443964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0.6</v>
      </c>
      <c r="CT8" s="12">
        <f>IF('Données projet'!$A$140&gt;35,CT7+CS8-DB7,IF(A8&lt;'Données projet'!$A$140,$CQ$205^A8,IF(A8='Données projet'!$A$140,'Données projet'!$B$140,CT7+CS8-DB7)))</f>
        <v>2.0800838230519041</v>
      </c>
      <c r="CU8" s="17">
        <f>CT8*VLOOKUP('Données projet'!$B$13,Paramètres!$A$1:$I$89,3,0)*VLOOKUP('Données projet'!$B$13,Paramètres!$A$1:$I$89,5,0)</f>
        <v>1.8171612278181437</v>
      </c>
      <c r="CV8" s="13">
        <f t="shared" si="41"/>
        <v>0.78118182019192373</v>
      </c>
      <c r="CW8" s="20">
        <f t="shared" si="13"/>
        <v>4.5254474752842002</v>
      </c>
      <c r="CX8" s="59">
        <f t="shared" si="14"/>
        <v>267.30322525306195</v>
      </c>
      <c r="CY8" s="59">
        <f ca="1">AVERAGE(OFFSET($CX$3,0,0,'Données projet'!$E$13+1,1))-AVERAGE(OFFSET($H$3,0,0,'Données projet'!$E$13+1,1))</f>
        <v>261.93797831021766</v>
      </c>
      <c r="CZ8" s="59">
        <f t="shared" si="42"/>
        <v>256.90876395053073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5.0894117647058819</v>
      </c>
      <c r="N9" s="13">
        <f>IF('Données projet'!$A$36&gt;35,N8+M9-V8,IF(A9&lt;'Données projet'!$A$36,$K$205^A9,IF(A9='Données projet'!$A$36,'Données projet'!$B$36,N8+M9-V8)))</f>
        <v>2.482944605470975</v>
      </c>
      <c r="O9" s="13">
        <f>N9*VLOOKUP('Données projet'!$B$9,Paramètres!$A$1:$I$89,3,0)*VLOOKUP('Données projet'!$B$9,Paramètres!$A$1:$I$89,5,0)</f>
        <v>2.246568279030138</v>
      </c>
      <c r="P9" s="13">
        <f t="shared" si="33"/>
        <v>0.94222539076696599</v>
      </c>
      <c r="Q9" s="20">
        <f t="shared" si="2"/>
        <v>5.5538156415632898</v>
      </c>
      <c r="R9" s="59">
        <f t="shared" si="0"/>
        <v>269.55381564156329</v>
      </c>
      <c r="S9" s="59">
        <f ca="1">AVERAGE(OFFSET($R$3,0,0,'Données projet'!$E$9+1,1))-AVERAGE(OFFSET($H$3,0,0,'Données projet'!$E$9+1,1))</f>
        <v>695.0879239758051</v>
      </c>
      <c r="T9" s="59">
        <f t="shared" si="34"/>
        <v>226.22150997227476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4.9119354838709679</v>
      </c>
      <c r="AI9" s="13">
        <f>IF('Données projet'!$A$62&gt;35,AI8+AH9-AQ8,IF(A9&lt;'Données projet'!$A$62,$AF$205^A9,IF(A9='Données projet'!$A$62,'Données projet'!$B$62,AI8+AH9-AQ8)))</f>
        <v>2.6450962917403449</v>
      </c>
      <c r="AJ9" s="13">
        <f>AI9*VLOOKUP('Données projet'!$B$10,Paramètres!$A$1:$I$89,3,0)*VLOOKUP('Données projet'!$B$10,Paramètres!$A$1:$I$89,5,0)</f>
        <v>2.2282291161620664</v>
      </c>
      <c r="AK9" s="13">
        <f t="shared" si="35"/>
        <v>0.93542588560272921</v>
      </c>
      <c r="AL9" s="20">
        <f t="shared" si="4"/>
        <v>5.5100324614070191</v>
      </c>
      <c r="AM9" s="59">
        <f t="shared" si="5"/>
        <v>269.51003246140704</v>
      </c>
      <c r="AN9" s="59">
        <f ca="1">AVERAGE(OFFSET($AM$3,0,0,'Données projet'!$E$10+1,1))-AVERAGE(OFFSET($H$3,0,0,'Données projet'!$E$10+1,1))</f>
        <v>424.81155998881928</v>
      </c>
      <c r="AO9" s="59">
        <f t="shared" si="36"/>
        <v>277.34430416544575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24.90963428571429</v>
      </c>
      <c r="BF9" s="13">
        <f t="shared" si="37"/>
        <v>7.8955476085878011</v>
      </c>
      <c r="BG9" s="20">
        <f t="shared" si="7"/>
        <v>57.135691799242814</v>
      </c>
      <c r="BH9" s="59">
        <f t="shared" si="8"/>
        <v>321.13569179924281</v>
      </c>
      <c r="BI9" s="59">
        <f ca="1">AVERAGE(OFFSET($BH$3,0,0,'Données projet'!$E$11+1,1))-AVERAGE(OFFSET($H$3,0,0,'Données projet'!$E$11+1,1))</f>
        <v>706.69239849991595</v>
      </c>
      <c r="BJ9" s="59">
        <f t="shared" si="38"/>
        <v>310.59887275116529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4.016578947368421</v>
      </c>
      <c r="BY9" s="12">
        <f>IF('Données projet'!$A$114&gt;35,BY8+BX9-CG8,IF(A9&lt;'Données projet'!$A$114,$BV$205^A9,IF(A9='Données projet'!$A$114,'Données projet'!$B$114,BY8+BX9-CG8)))</f>
        <v>24.09947368421053</v>
      </c>
      <c r="BZ9" s="13">
        <f>BY9*VLOOKUP('Données projet'!$B$12,Paramètres!$A$1:$I$89,3,0)*VLOOKUP('Données projet'!$B$12,Paramètres!$A$1:$I$89,5,0)</f>
        <v>22.933059157894743</v>
      </c>
      <c r="CA9" s="13">
        <f t="shared" si="39"/>
        <v>7.3393277186968353</v>
      </c>
      <c r="CB9" s="20">
        <f t="shared" si="10"/>
        <v>52.724407143396995</v>
      </c>
      <c r="CC9" s="59">
        <f t="shared" si="11"/>
        <v>316.724407143397</v>
      </c>
      <c r="CD9" s="59">
        <f ca="1">AVERAGE(OFFSET($CC$3,0,0,'Données projet'!$E$12+1,1))-AVERAGE(OFFSET($H$3,0,0,'Données projet'!$E$12+1,1))</f>
        <v>449.28947235329758</v>
      </c>
      <c r="CE9" s="59">
        <f t="shared" si="40"/>
        <v>289.36994109443964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0.6</v>
      </c>
      <c r="CT9" s="12">
        <f>IF('Données projet'!$A$140&gt;35,CT8+CS9-DB8,IF(A9&lt;'Données projet'!$A$140,$CQ$205^A9,IF(A9='Données projet'!$A$140,'Données projet'!$B$140,CT8+CS9-DB8)))</f>
        <v>2.4082246852806919</v>
      </c>
      <c r="CU9" s="17">
        <f>CT9*VLOOKUP('Données projet'!$B$13,Paramètres!$A$1:$I$89,3,0)*VLOOKUP('Données projet'!$B$13,Paramètres!$A$1:$I$89,5,0)</f>
        <v>2.1038250850612128</v>
      </c>
      <c r="CV9" s="13">
        <f t="shared" si="41"/>
        <v>0.88912612901456256</v>
      </c>
      <c r="CW9" s="20">
        <f t="shared" si="13"/>
        <v>5.2127233645153082</v>
      </c>
      <c r="CX9" s="59">
        <f t="shared" si="14"/>
        <v>269.21272336451528</v>
      </c>
      <c r="CY9" s="59">
        <f ca="1">AVERAGE(OFFSET($CX$3,0,0,'Données projet'!$E$13+1,1))-AVERAGE(OFFSET($H$3,0,0,'Données projet'!$E$13+1,1))</f>
        <v>261.93797831021766</v>
      </c>
      <c r="CZ9" s="59">
        <f t="shared" si="42"/>
        <v>256.90876395053073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5.0894117647058819</v>
      </c>
      <c r="N10" s="13">
        <f>IF('Données projet'!$A$36&gt;35,N9+M10-V9,IF(A10&lt;'Données projet'!$A$36,$K$205^A10,IF(A10='Données projet'!$A$36,'Données projet'!$B$36,N9+M10-V9)))</f>
        <v>2.8893148451696504</v>
      </c>
      <c r="O10" s="13">
        <f>N10*VLOOKUP('Données projet'!$B$9,Paramètres!$A$1:$I$89,3,0)*VLOOKUP('Données projet'!$B$9,Paramètres!$A$1:$I$89,5,0)</f>
        <v>2.6142520719094997</v>
      </c>
      <c r="P10" s="13">
        <f t="shared" si="33"/>
        <v>1.0772593725826609</v>
      </c>
      <c r="Q10" s="20">
        <f t="shared" si="2"/>
        <v>6.4293824324905131</v>
      </c>
      <c r="R10" s="59">
        <f t="shared" si="0"/>
        <v>271.65160465471274</v>
      </c>
      <c r="S10" s="59">
        <f ca="1">AVERAGE(OFFSET($R$3,0,0,'Données projet'!$E$9+1,1))-AVERAGE(OFFSET($H$3,0,0,'Données projet'!$E$9+1,1))</f>
        <v>695.0879239758051</v>
      </c>
      <c r="T10" s="59">
        <f t="shared" si="34"/>
        <v>226.22150997227476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4.9119354838709679</v>
      </c>
      <c r="AI10" s="13">
        <f>IF('Données projet'!$A$62&gt;35,AI9+AH10-AQ9,IF(A10&lt;'Données projet'!$A$62,$AF$205^A10,IF(A10='Données projet'!$A$62,'Données projet'!$B$62,AI9+AH10-AQ9)))</f>
        <v>3.110630321824094</v>
      </c>
      <c r="AJ10" s="13">
        <f>AI10*VLOOKUP('Données projet'!$B$10,Paramètres!$A$1:$I$89,3,0)*VLOOKUP('Données projet'!$B$10,Paramètres!$A$1:$I$89,5,0)</f>
        <v>2.6203949831046174</v>
      </c>
      <c r="AK10" s="13">
        <f t="shared" si="35"/>
        <v>1.0794957413563466</v>
      </c>
      <c r="AL10" s="20">
        <f t="shared" si="4"/>
        <v>6.443976345102846</v>
      </c>
      <c r="AM10" s="59">
        <f t="shared" si="5"/>
        <v>271.66619856732507</v>
      </c>
      <c r="AN10" s="59">
        <f ca="1">AVERAGE(OFFSET($AM$3,0,0,'Données projet'!$E$10+1,1))-AVERAGE(OFFSET($H$3,0,0,'Données projet'!$E$10+1,1))</f>
        <v>424.81155998881928</v>
      </c>
      <c r="AO10" s="59">
        <f t="shared" si="36"/>
        <v>277.34430416544575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29.061240000000002</v>
      </c>
      <c r="BF10" s="13">
        <f t="shared" si="37"/>
        <v>9.0476634987070454</v>
      </c>
      <c r="BG10" s="20">
        <f t="shared" si="7"/>
        <v>66.373006926914783</v>
      </c>
      <c r="BH10" s="59">
        <f t="shared" si="8"/>
        <v>331.59522914913703</v>
      </c>
      <c r="BI10" s="59">
        <f ca="1">AVERAGE(OFFSET($BH$3,0,0,'Données projet'!$E$11+1,1))-AVERAGE(OFFSET($H$3,0,0,'Données projet'!$E$11+1,1))</f>
        <v>706.69239849991595</v>
      </c>
      <c r="BJ10" s="59">
        <f t="shared" si="38"/>
        <v>310.59887275116529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4.016578947368421</v>
      </c>
      <c r="BY10" s="12">
        <f>IF('Données projet'!$A$114&gt;35,BY9+BX10-CG9,IF(A10&lt;'Données projet'!$A$114,$BV$205^A10,IF(A10='Données projet'!$A$114,'Données projet'!$B$114,BY9+BX10-CG9)))</f>
        <v>28.116052631578953</v>
      </c>
      <c r="BZ10" s="13">
        <f>BY10*VLOOKUP('Données projet'!$B$12,Paramètres!$A$1:$I$89,3,0)*VLOOKUP('Données projet'!$B$12,Paramètres!$A$1:$I$89,5,0)</f>
        <v>26.755235684210533</v>
      </c>
      <c r="CA10" s="13">
        <f t="shared" si="39"/>
        <v>8.4102801727490544</v>
      </c>
      <c r="CB10" s="20">
        <f t="shared" si="10"/>
        <v>61.246606784204609</v>
      </c>
      <c r="CC10" s="59">
        <f t="shared" si="11"/>
        <v>326.46882900642686</v>
      </c>
      <c r="CD10" s="59">
        <f ca="1">AVERAGE(OFFSET($CC$3,0,0,'Données projet'!$E$12+1,1))-AVERAGE(OFFSET($H$3,0,0,'Données projet'!$E$12+1,1))</f>
        <v>449.28947235329758</v>
      </c>
      <c r="CE10" s="59">
        <f t="shared" si="40"/>
        <v>289.36994109443964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0.6</v>
      </c>
      <c r="CT10" s="12">
        <f>IF('Données projet'!$A$140&gt;35,CT9+CS10-DB9,IF(A10&lt;'Données projet'!$A$140,$CQ$205^A10,IF(A10='Données projet'!$A$140,'Données projet'!$B$140,CT9+CS10-DB9)))</f>
        <v>2.788130973628832</v>
      </c>
      <c r="CU10" s="17">
        <f>CT10*VLOOKUP('Données projet'!$B$13,Paramètres!$A$1:$I$89,3,0)*VLOOKUP('Données projet'!$B$13,Paramètres!$A$1:$I$89,5,0)</f>
        <v>2.4357112185621479</v>
      </c>
      <c r="CV10" s="13">
        <f t="shared" si="41"/>
        <v>1.0119862660170416</v>
      </c>
      <c r="CW10" s="20">
        <f t="shared" si="13"/>
        <v>6.0047397856420881</v>
      </c>
      <c r="CX10" s="59">
        <f t="shared" si="14"/>
        <v>271.2269620078643</v>
      </c>
      <c r="CY10" s="59">
        <f ca="1">AVERAGE(OFFSET($CX$3,0,0,'Données projet'!$E$13+1,1))-AVERAGE(OFFSET($H$3,0,0,'Données projet'!$E$13+1,1))</f>
        <v>261.93797831021766</v>
      </c>
      <c r="CZ10" s="59">
        <f t="shared" si="42"/>
        <v>256.90876395053073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5.0894117647058819</v>
      </c>
      <c r="N11" s="13">
        <f>IF('Données projet'!$A$36&gt;35,N10+M11-V10,IF(A11&lt;'Données projet'!$A$36,$K$205^A11,IF(A11='Données projet'!$A$36,'Données projet'!$B$36,N10+M11-V10)))</f>
        <v>3.3621935246252548</v>
      </c>
      <c r="O11" s="13">
        <f>N11*VLOOKUP('Données projet'!$B$9,Paramètres!$A$1:$I$89,3,0)*VLOOKUP('Données projet'!$B$9,Paramètres!$A$1:$I$89,5,0)</f>
        <v>3.0421127010809306</v>
      </c>
      <c r="P11" s="13">
        <f t="shared" si="33"/>
        <v>1.2316455990137962</v>
      </c>
      <c r="Q11" s="20">
        <f t="shared" si="2"/>
        <v>7.4434623726649827</v>
      </c>
      <c r="R11" s="59">
        <f t="shared" si="0"/>
        <v>273.88790681710947</v>
      </c>
      <c r="S11" s="59">
        <f ca="1">AVERAGE(OFFSET($R$3,0,0,'Données projet'!$E$9+1,1))-AVERAGE(OFFSET($H$3,0,0,'Données projet'!$E$9+1,1))</f>
        <v>695.0879239758051</v>
      </c>
      <c r="T11" s="59">
        <f t="shared" si="34"/>
        <v>226.22150997227476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4.9119354838709679</v>
      </c>
      <c r="AI11" s="13">
        <f>IF('Données projet'!$A$62&gt;35,AI10+AH11-AQ10,IF(A11&lt;'Données projet'!$A$62,$AF$205^A11,IF(A11='Données projet'!$A$62,'Données projet'!$B$62,AI10+AH11-AQ10)))</f>
        <v>3.6580978277675915</v>
      </c>
      <c r="AJ11" s="13">
        <f>AI11*VLOOKUP('Données projet'!$B$10,Paramètres!$A$1:$I$89,3,0)*VLOOKUP('Données projet'!$B$10,Paramètres!$A$1:$I$89,5,0)</f>
        <v>3.0815816101114191</v>
      </c>
      <c r="AK11" s="13">
        <f t="shared" si="35"/>
        <v>1.2457545525967939</v>
      </c>
      <c r="AL11" s="20">
        <f t="shared" si="4"/>
        <v>7.5367771500501375</v>
      </c>
      <c r="AM11" s="59">
        <f t="shared" si="5"/>
        <v>273.98122159449457</v>
      </c>
      <c r="AN11" s="59">
        <f ca="1">AVERAGE(OFFSET($AM$3,0,0,'Données projet'!$E$10+1,1))-AVERAGE(OFFSET($H$3,0,0,'Données projet'!$E$10+1,1))</f>
        <v>424.81155998881928</v>
      </c>
      <c r="AO11" s="59">
        <f t="shared" si="36"/>
        <v>277.34430416544575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33.21284571428572</v>
      </c>
      <c r="BF11" s="13">
        <f t="shared" si="37"/>
        <v>10.180711350730137</v>
      </c>
      <c r="BG11" s="20">
        <f t="shared" si="7"/>
        <v>75.577111888235933</v>
      </c>
      <c r="BH11" s="59">
        <f t="shared" si="8"/>
        <v>342.0215563326804</v>
      </c>
      <c r="BI11" s="59">
        <f ca="1">AVERAGE(OFFSET($BH$3,0,0,'Données projet'!$E$11+1,1))-AVERAGE(OFFSET($H$3,0,0,'Données projet'!$E$11+1,1))</f>
        <v>706.69239849991595</v>
      </c>
      <c r="BJ11" s="59">
        <f t="shared" si="38"/>
        <v>310.59887275116529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4.016578947368421</v>
      </c>
      <c r="BY11" s="12">
        <f>IF('Données projet'!$A$114&gt;35,BY10+BX11-CG10,IF(A11&lt;'Données projet'!$A$114,$BV$205^A11,IF(A11='Données projet'!$A$114,'Données projet'!$B$114,BY10+BX11-CG10)))</f>
        <v>32.132631578947375</v>
      </c>
      <c r="BZ11" s="13">
        <f>BY11*VLOOKUP('Données projet'!$B$12,Paramètres!$A$1:$I$89,3,0)*VLOOKUP('Données projet'!$B$12,Paramètres!$A$1:$I$89,5,0)</f>
        <v>30.577412210526322</v>
      </c>
      <c r="CA11" s="13">
        <f t="shared" si="39"/>
        <v>9.4635078802126973</v>
      </c>
      <c r="CB11" s="20">
        <f t="shared" si="10"/>
        <v>69.737935824703797</v>
      </c>
      <c r="CC11" s="59">
        <f t="shared" si="11"/>
        <v>336.18238026914827</v>
      </c>
      <c r="CD11" s="59">
        <f ca="1">AVERAGE(OFFSET($CC$3,0,0,'Données projet'!$E$12+1,1))-AVERAGE(OFFSET($H$3,0,0,'Données projet'!$E$12+1,1))</f>
        <v>449.28947235329758</v>
      </c>
      <c r="CE11" s="59">
        <f t="shared" si="40"/>
        <v>289.36994109443964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0.6</v>
      </c>
      <c r="CT11" s="12">
        <f>IF('Données projet'!$A$140&gt;35,CT10+CS11-DB10,IF(A11&lt;'Données projet'!$A$140,$CQ$205^A11,IF(A11='Données projet'!$A$140,'Données projet'!$B$140,CT10+CS11-DB10)))</f>
        <v>3.227968874176038</v>
      </c>
      <c r="CU11" s="17">
        <f>CT11*VLOOKUP('Données projet'!$B$13,Paramètres!$A$1:$I$89,3,0)*VLOOKUP('Données projet'!$B$13,Paramètres!$A$1:$I$89,5,0)</f>
        <v>2.8199536084801871</v>
      </c>
      <c r="CV11" s="13">
        <f t="shared" si="41"/>
        <v>1.1518233118873293</v>
      </c>
      <c r="CW11" s="20">
        <f t="shared" si="13"/>
        <v>6.9175114696400923</v>
      </c>
      <c r="CX11" s="59">
        <f t="shared" si="14"/>
        <v>273.36195591408455</v>
      </c>
      <c r="CY11" s="59">
        <f ca="1">AVERAGE(OFFSET($CX$3,0,0,'Données projet'!$E$13+1,1))-AVERAGE(OFFSET($H$3,0,0,'Données projet'!$E$13+1,1))</f>
        <v>261.93797831021766</v>
      </c>
      <c r="CZ11" s="59">
        <f t="shared" si="42"/>
        <v>256.90876395053073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5.0894117647058819</v>
      </c>
      <c r="N12" s="13">
        <f>IF('Données projet'!$A$36&gt;35,N11+M12-V11,IF(A12&lt;'Données projet'!$A$36,$K$205^A12,IF(A12='Données projet'!$A$36,'Données projet'!$B$36,N11+M12-V11)))</f>
        <v>3.9124657238135789</v>
      </c>
      <c r="O12" s="13">
        <f>N12*VLOOKUP('Données projet'!$B$9,Paramètres!$A$1:$I$89,3,0)*VLOOKUP('Données projet'!$B$9,Paramètres!$A$1:$I$89,5,0)</f>
        <v>3.5399989869065265</v>
      </c>
      <c r="P12" s="13">
        <f t="shared" si="33"/>
        <v>1.4081575154303458</v>
      </c>
      <c r="Q12" s="20">
        <f t="shared" si="2"/>
        <v>8.6180392415700524</v>
      </c>
      <c r="R12" s="59">
        <f t="shared" si="0"/>
        <v>276.28470590823673</v>
      </c>
      <c r="S12" s="59">
        <f ca="1">AVERAGE(OFFSET($R$3,0,0,'Données projet'!$E$9+1,1))-AVERAGE(OFFSET($H$3,0,0,'Données projet'!$E$9+1,1))</f>
        <v>695.0879239758051</v>
      </c>
      <c r="T12" s="59">
        <f t="shared" si="34"/>
        <v>226.22150997227476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4.9119354838709679</v>
      </c>
      <c r="AI12" s="13">
        <f>IF('Données projet'!$A$62&gt;35,AI11+AH12-AQ11,IF(A12&lt;'Données projet'!$A$62,$AF$205^A12,IF(A12='Données projet'!$A$62,'Données projet'!$B$62,AI11+AH12-AQ11)))</f>
        <v>4.3019190109581604</v>
      </c>
      <c r="AJ12" s="13">
        <f>AI12*VLOOKUP('Données projet'!$B$10,Paramètres!$A$1:$I$89,3,0)*VLOOKUP('Données projet'!$B$10,Paramètres!$A$1:$I$89,5,0)</f>
        <v>3.6239365748311547</v>
      </c>
      <c r="AK12" s="13">
        <f t="shared" si="35"/>
        <v>1.4376197569484881</v>
      </c>
      <c r="AL12" s="20">
        <f t="shared" si="4"/>
        <v>8.8155439445162127</v>
      </c>
      <c r="AM12" s="59">
        <f t="shared" si="5"/>
        <v>276.48221061118289</v>
      </c>
      <c r="AN12" s="59">
        <f ca="1">AVERAGE(OFFSET($AM$3,0,0,'Données projet'!$E$10+1,1))-AVERAGE(OFFSET($H$3,0,0,'Données projet'!$E$10+1,1))</f>
        <v>424.81155998881928</v>
      </c>
      <c r="AO12" s="59">
        <f t="shared" si="36"/>
        <v>277.34430416544575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37.364451428571435</v>
      </c>
      <c r="BF12" s="13">
        <f t="shared" si="37"/>
        <v>11.297347642554788</v>
      </c>
      <c r="BG12" s="20">
        <f t="shared" si="7"/>
        <v>84.752633382211499</v>
      </c>
      <c r="BH12" s="59">
        <f t="shared" si="8"/>
        <v>352.4193000488782</v>
      </c>
      <c r="BI12" s="59">
        <f ca="1">AVERAGE(OFFSET($BH$3,0,0,'Données projet'!$E$11+1,1))-AVERAGE(OFFSET($H$3,0,0,'Données projet'!$E$11+1,1))</f>
        <v>706.69239849991595</v>
      </c>
      <c r="BJ12" s="59">
        <f t="shared" si="38"/>
        <v>310.59887275116529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4.016578947368421</v>
      </c>
      <c r="BY12" s="12">
        <f>IF('Données projet'!$A$114&gt;35,BY11+BX12-CG11,IF(A12&lt;'Données projet'!$A$114,$BV$205^A12,IF(A12='Données projet'!$A$114,'Données projet'!$B$114,BY11+BX12-CG11)))</f>
        <v>36.149210526315798</v>
      </c>
      <c r="BZ12" s="13">
        <f>BY12*VLOOKUP('Données projet'!$B$12,Paramètres!$A$1:$I$89,3,0)*VLOOKUP('Données projet'!$B$12,Paramètres!$A$1:$I$89,5,0)</f>
        <v>34.399588736842112</v>
      </c>
      <c r="CA12" s="13">
        <f t="shared" si="39"/>
        <v>10.501480177330832</v>
      </c>
      <c r="CB12" s="20">
        <f t="shared" si="10"/>
        <v>78.202695025517883</v>
      </c>
      <c r="CC12" s="59">
        <f t="shared" si="11"/>
        <v>345.86936169218455</v>
      </c>
      <c r="CD12" s="59">
        <f ca="1">AVERAGE(OFFSET($CC$3,0,0,'Données projet'!$E$12+1,1))-AVERAGE(OFFSET($H$3,0,0,'Données projet'!$E$12+1,1))</f>
        <v>449.28947235329758</v>
      </c>
      <c r="CE12" s="59">
        <f t="shared" si="40"/>
        <v>289.36994109443964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0.6</v>
      </c>
      <c r="CT12" s="12">
        <f>IF('Données projet'!$A$140&gt;35,CT11+CS12-DB11,IF(A12&lt;'Données projet'!$A$140,$CQ$205^A12,IF(A12='Données projet'!$A$140,'Données projet'!$B$140,CT11+CS12-DB11)))</f>
        <v>3.7371928188465526</v>
      </c>
      <c r="CU12" s="17">
        <f>CT12*VLOOKUP('Données projet'!$B$13,Paramètres!$A$1:$I$89,3,0)*VLOOKUP('Données projet'!$B$13,Paramètres!$A$1:$I$89,5,0)</f>
        <v>3.2648116465443486</v>
      </c>
      <c r="CV12" s="13">
        <f t="shared" si="41"/>
        <v>1.310983149038857</v>
      </c>
      <c r="CW12" s="20">
        <f t="shared" si="13"/>
        <v>7.9695092689740825</v>
      </c>
      <c r="CX12" s="59">
        <f t="shared" si="14"/>
        <v>275.63617593564078</v>
      </c>
      <c r="CY12" s="59">
        <f ca="1">AVERAGE(OFFSET($CX$3,0,0,'Données projet'!$E$13+1,1))-AVERAGE(OFFSET($H$3,0,0,'Données projet'!$E$13+1,1))</f>
        <v>261.93797831021766</v>
      </c>
      <c r="CZ12" s="59">
        <f t="shared" si="42"/>
        <v>256.90876395053073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5.0894117647058819</v>
      </c>
      <c r="N13" s="13">
        <f>IF('Données projet'!$A$36&gt;35,N12+M13-V12,IF(A13&lt;'Données projet'!$A$36,$K$205^A13,IF(A13='Données projet'!$A$36,'Données projet'!$B$36,N12+M13-V12)))</f>
        <v>4.5527980254266449</v>
      </c>
      <c r="O13" s="13">
        <f>N13*VLOOKUP('Données projet'!$B$9,Paramètres!$A$1:$I$89,3,0)*VLOOKUP('Données projet'!$B$9,Paramètres!$A$1:$I$89,5,0)</f>
        <v>4.1193716534060281</v>
      </c>
      <c r="P13" s="13">
        <f t="shared" si="33"/>
        <v>1.6099660404346177</v>
      </c>
      <c r="Q13" s="20">
        <f t="shared" si="2"/>
        <v>9.9785964834391248</v>
      </c>
      <c r="R13" s="59">
        <f t="shared" si="0"/>
        <v>278.86748537232796</v>
      </c>
      <c r="S13" s="59">
        <f ca="1">AVERAGE(OFFSET($R$3,0,0,'Données projet'!$E$9+1,1))-AVERAGE(OFFSET($H$3,0,0,'Données projet'!$E$9+1,1))</f>
        <v>695.0879239758051</v>
      </c>
      <c r="T13" s="59">
        <f t="shared" si="34"/>
        <v>226.22150997227476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4.9119354838709679</v>
      </c>
      <c r="AI13" s="13">
        <f>IF('Données projet'!$A$62&gt;35,AI12+AH13-AQ12,IF(A13&lt;'Données projet'!$A$62,$AF$205^A13,IF(A13='Données projet'!$A$62,'Données projet'!$B$62,AI12+AH13-AQ12)))</f>
        <v>5.0590520123233302</v>
      </c>
      <c r="AJ13" s="13">
        <f>AI13*VLOOKUP('Données projet'!$B$10,Paramètres!$A$1:$I$89,3,0)*VLOOKUP('Données projet'!$B$10,Paramètres!$A$1:$I$89,5,0)</f>
        <v>4.2617454151811742</v>
      </c>
      <c r="AK13" s="13">
        <f t="shared" si="35"/>
        <v>1.6590351295610017</v>
      </c>
      <c r="AL13" s="20">
        <f t="shared" si="4"/>
        <v>10.312026115425956</v>
      </c>
      <c r="AM13" s="59">
        <f t="shared" si="5"/>
        <v>279.20091500431482</v>
      </c>
      <c r="AN13" s="59">
        <f ca="1">AVERAGE(OFFSET($AM$3,0,0,'Données projet'!$E$10+1,1))-AVERAGE(OFFSET($H$3,0,0,'Données projet'!$E$10+1,1))</f>
        <v>424.81155998881928</v>
      </c>
      <c r="AO13" s="59">
        <f t="shared" si="36"/>
        <v>277.34430416544575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41.51605714285715</v>
      </c>
      <c r="BF13" s="13">
        <f t="shared" si="37"/>
        <v>12.399603891963192</v>
      </c>
      <c r="BG13" s="20">
        <f t="shared" si="7"/>
        <v>93.903109635645436</v>
      </c>
      <c r="BH13" s="59">
        <f t="shared" si="8"/>
        <v>362.79199852453428</v>
      </c>
      <c r="BI13" s="59">
        <f ca="1">AVERAGE(OFFSET($BH$3,0,0,'Données projet'!$E$11+1,1))-AVERAGE(OFFSET($H$3,0,0,'Données projet'!$E$11+1,1))</f>
        <v>706.69239849991595</v>
      </c>
      <c r="BJ13" s="59">
        <f t="shared" si="38"/>
        <v>310.59887275116529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4.016578947368421</v>
      </c>
      <c r="BY13" s="12">
        <f>IF('Données projet'!$A$114&gt;35,BY12+BX13-CG12,IF(A13&lt;'Données projet'!$A$114,$BV$205^A13,IF(A13='Données projet'!$A$114,'Données projet'!$B$114,BY12+BX13-CG12)))</f>
        <v>40.165789473684221</v>
      </c>
      <c r="BZ13" s="13">
        <f>BY13*VLOOKUP('Données projet'!$B$12,Paramètres!$A$1:$I$89,3,0)*VLOOKUP('Données projet'!$B$12,Paramètres!$A$1:$I$89,5,0)</f>
        <v>38.221765263157906</v>
      </c>
      <c r="CA13" s="13">
        <f t="shared" si="39"/>
        <v>11.52608546697418</v>
      </c>
      <c r="CB13" s="20">
        <f t="shared" si="10"/>
        <v>86.644173354980055</v>
      </c>
      <c r="CC13" s="59">
        <f t="shared" si="11"/>
        <v>355.53306224386893</v>
      </c>
      <c r="CD13" s="59">
        <f ca="1">AVERAGE(OFFSET($CC$3,0,0,'Données projet'!$E$12+1,1))-AVERAGE(OFFSET($H$3,0,0,'Données projet'!$E$12+1,1))</f>
        <v>449.28947235329758</v>
      </c>
      <c r="CE13" s="59">
        <f t="shared" si="40"/>
        <v>289.36994109443964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0.6</v>
      </c>
      <c r="CT13" s="12">
        <f>IF('Données projet'!$A$140&gt;35,CT12+CS13-DB12,IF(A13&lt;'Données projet'!$A$140,$CQ$205^A13,IF(A13='Données projet'!$A$140,'Données projet'!$B$140,CT12+CS13-DB12)))</f>
        <v>4.3267487109222253</v>
      </c>
      <c r="CU13" s="17">
        <f>CT13*VLOOKUP('Données projet'!$B$13,Paramètres!$A$1:$I$89,3,0)*VLOOKUP('Données projet'!$B$13,Paramètres!$A$1:$I$89,5,0)</f>
        <v>3.7798476738616569</v>
      </c>
      <c r="CV13" s="13">
        <f t="shared" si="41"/>
        <v>1.4921358157334794</v>
      </c>
      <c r="CW13" s="20">
        <f t="shared" si="13"/>
        <v>9.182037911044862</v>
      </c>
      <c r="CX13" s="59">
        <f t="shared" si="14"/>
        <v>278.07092679993372</v>
      </c>
      <c r="CY13" s="59">
        <f ca="1">AVERAGE(OFFSET($CX$3,0,0,'Données projet'!$E$13+1,1))-AVERAGE(OFFSET($H$3,0,0,'Données projet'!$E$13+1,1))</f>
        <v>261.93797831021766</v>
      </c>
      <c r="CZ13" s="59">
        <f t="shared" si="42"/>
        <v>256.90876395053073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5.0894117647058819</v>
      </c>
      <c r="N14" s="13">
        <f>IF('Données projet'!$A$36&gt;35,N13+M14-V13,IF(A14&lt;'Données projet'!$A$36,$K$205^A14,IF(A14='Données projet'!$A$36,'Données projet'!$B$36,N13+M14-V13)))</f>
        <v>5.2979300838767944</v>
      </c>
      <c r="O14" s="13">
        <f>N14*VLOOKUP('Données projet'!$B$9,Paramètres!$A$1:$I$89,3,0)*VLOOKUP('Données projet'!$B$9,Paramètres!$A$1:$I$89,5,0)</f>
        <v>4.7935671398917234</v>
      </c>
      <c r="P14" s="13">
        <f t="shared" si="33"/>
        <v>1.8406965292945834</v>
      </c>
      <c r="Q14" s="20">
        <f t="shared" si="2"/>
        <v>11.554675890499484</v>
      </c>
      <c r="R14" s="59">
        <f t="shared" si="0"/>
        <v>281.66578700161062</v>
      </c>
      <c r="S14" s="59">
        <f ca="1">AVERAGE(OFFSET($R$3,0,0,'Données projet'!$E$9+1,1))-AVERAGE(OFFSET($H$3,0,0,'Données projet'!$E$9+1,1))</f>
        <v>695.0879239758051</v>
      </c>
      <c r="T14" s="59">
        <f t="shared" si="34"/>
        <v>226.22150997227476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4.9119354838709679</v>
      </c>
      <c r="AI14" s="13">
        <f>IF('Données projet'!$A$62&gt;35,AI13+AH14-AQ13,IF(A14&lt;'Données projet'!$A$62,$AF$205^A14,IF(A14='Données projet'!$A$62,'Données projet'!$B$62,AI13+AH14-AQ13)))</f>
        <v>5.9494395868908336</v>
      </c>
      <c r="AJ14" s="13">
        <f>AI14*VLOOKUP('Données projet'!$B$10,Paramètres!$A$1:$I$89,3,0)*VLOOKUP('Données projet'!$B$10,Paramètres!$A$1:$I$89,5,0)</f>
        <v>5.0118079079968387</v>
      </c>
      <c r="AK14" s="13">
        <f t="shared" si="35"/>
        <v>1.914551847116909</v>
      </c>
      <c r="AL14" s="20">
        <f t="shared" si="4"/>
        <v>12.063409906823109</v>
      </c>
      <c r="AM14" s="59">
        <f t="shared" si="5"/>
        <v>282.17452101793424</v>
      </c>
      <c r="AN14" s="59">
        <f ca="1">AVERAGE(OFFSET($AM$3,0,0,'Données projet'!$E$10+1,1))-AVERAGE(OFFSET($H$3,0,0,'Données projet'!$E$10+1,1))</f>
        <v>424.81155998881928</v>
      </c>
      <c r="AO14" s="59">
        <f t="shared" si="36"/>
        <v>277.34430416544575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45.667662857142872</v>
      </c>
      <c r="BF14" s="13">
        <f t="shared" si="37"/>
        <v>13.489081801480216</v>
      </c>
      <c r="BG14" s="20">
        <f t="shared" si="7"/>
        <v>103.03133028043521</v>
      </c>
      <c r="BH14" s="59">
        <f t="shared" si="8"/>
        <v>373.14244139154636</v>
      </c>
      <c r="BI14" s="59">
        <f ca="1">AVERAGE(OFFSET($BH$3,0,0,'Données projet'!$E$11+1,1))-AVERAGE(OFFSET($H$3,0,0,'Données projet'!$E$11+1,1))</f>
        <v>706.69239849991595</v>
      </c>
      <c r="BJ14" s="59">
        <f t="shared" si="38"/>
        <v>310.59887275116529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4.016578947368421</v>
      </c>
      <c r="BY14" s="12">
        <f>IF('Données projet'!$A$114&gt;35,BY13+BX14-CG13,IF(A14&lt;'Données projet'!$A$114,$BV$205^A14,IF(A14='Données projet'!$A$114,'Données projet'!$B$114,BY13+BX14-CG13)))</f>
        <v>44.182368421052644</v>
      </c>
      <c r="BZ14" s="13">
        <f>BY14*VLOOKUP('Données projet'!$B$12,Paramètres!$A$1:$I$89,3,0)*VLOOKUP('Données projet'!$B$12,Paramètres!$A$1:$I$89,5,0)</f>
        <v>42.043941789473699</v>
      </c>
      <c r="CA14" s="13">
        <f t="shared" si="39"/>
        <v>12.538812616073887</v>
      </c>
      <c r="CB14" s="20">
        <f t="shared" si="10"/>
        <v>95.064963922995389</v>
      </c>
      <c r="CC14" s="59">
        <f t="shared" si="11"/>
        <v>365.17607503410653</v>
      </c>
      <c r="CD14" s="59">
        <f ca="1">AVERAGE(OFFSET($CC$3,0,0,'Données projet'!$E$12+1,1))-AVERAGE(OFFSET($H$3,0,0,'Données projet'!$E$12+1,1))</f>
        <v>449.28947235329758</v>
      </c>
      <c r="CE14" s="59">
        <f t="shared" si="40"/>
        <v>289.36994109443964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0.6</v>
      </c>
      <c r="CT14" s="12">
        <f>IF('Données projet'!$A$140&gt;35,CT13+CS14-DB13,IF(A14&lt;'Données projet'!$A$140,$CQ$205^A14,IF(A14='Données projet'!$A$140,'Données projet'!$B$140,CT13+CS14-DB13)))</f>
        <v>5.0093092101266317</v>
      </c>
      <c r="CU14" s="17">
        <f>CT14*VLOOKUP('Données projet'!$B$13,Paramètres!$A$1:$I$89,3,0)*VLOOKUP('Données projet'!$B$13,Paramètres!$A$1:$I$89,5,0)</f>
        <v>4.3761325259666259</v>
      </c>
      <c r="CV14" s="13">
        <f t="shared" si="41"/>
        <v>1.69832029818762</v>
      </c>
      <c r="CW14" s="20">
        <f t="shared" si="13"/>
        <v>10.579672002068646</v>
      </c>
      <c r="CX14" s="59">
        <f t="shared" si="14"/>
        <v>280.6907831131798</v>
      </c>
      <c r="CY14" s="59">
        <f ca="1">AVERAGE(OFFSET($CX$3,0,0,'Données projet'!$E$13+1,1))-AVERAGE(OFFSET($H$3,0,0,'Données projet'!$E$13+1,1))</f>
        <v>261.93797831021766</v>
      </c>
      <c r="CZ14" s="59">
        <f t="shared" si="42"/>
        <v>256.90876395053073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5.0894117647058819</v>
      </c>
      <c r="N15" s="13">
        <f>IF('Données projet'!$A$36&gt;35,N14+M15-V14,IF(A15&lt;'Données projet'!$A$36,$K$205^A15,IF(A15='Données projet'!$A$36,'Données projet'!$B$36,N14+M15-V14)))</f>
        <v>6.1650139138374147</v>
      </c>
      <c r="O15" s="13">
        <f>N15*VLOOKUP('Données projet'!$B$9,Paramètres!$A$1:$I$89,3,0)*VLOOKUP('Données projet'!$B$9,Paramètres!$A$1:$I$89,5,0)</f>
        <v>5.5781045892400929</v>
      </c>
      <c r="P15" s="13">
        <f t="shared" si="33"/>
        <v>2.1044939010281696</v>
      </c>
      <c r="Q15" s="20">
        <f t="shared" si="2"/>
        <v>13.38052570388389</v>
      </c>
      <c r="R15" s="59">
        <f t="shared" si="0"/>
        <v>284.71385903721722</v>
      </c>
      <c r="S15" s="59">
        <f ca="1">AVERAGE(OFFSET($R$3,0,0,'Données projet'!$E$9+1,1))-AVERAGE(OFFSET($H$3,0,0,'Données projet'!$E$9+1,1))</f>
        <v>695.0879239758051</v>
      </c>
      <c r="T15" s="59">
        <f t="shared" si="34"/>
        <v>226.22150997227476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4.9119354838709679</v>
      </c>
      <c r="AI15" s="13">
        <f>IF('Données projet'!$A$62&gt;35,AI14+AH15-AQ14,IF(A15&lt;'Données projet'!$A$62,$AF$205^A15,IF(A15='Données projet'!$A$62,'Données projet'!$B$62,AI14+AH15-AQ14)))</f>
        <v>6.9965343925785239</v>
      </c>
      <c r="AJ15" s="13">
        <f>AI15*VLOOKUP('Données projet'!$B$10,Paramètres!$A$1:$I$89,3,0)*VLOOKUP('Données projet'!$B$10,Paramètres!$A$1:$I$89,5,0)</f>
        <v>5.8938805723081495</v>
      </c>
      <c r="AK15" s="13">
        <f t="shared" si="35"/>
        <v>2.2094220369334199</v>
      </c>
      <c r="AL15" s="20">
        <f t="shared" si="4"/>
        <v>14.113252044429068</v>
      </c>
      <c r="AM15" s="59">
        <f t="shared" si="5"/>
        <v>285.4465853777624</v>
      </c>
      <c r="AN15" s="59">
        <f ca="1">AVERAGE(OFFSET($AM$3,0,0,'Données projet'!$E$10+1,1))-AVERAGE(OFFSET($H$3,0,0,'Données projet'!$E$10+1,1))</f>
        <v>424.81155998881928</v>
      </c>
      <c r="AO15" s="59">
        <f t="shared" si="36"/>
        <v>277.34430416544575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49.819268571428587</v>
      </c>
      <c r="BF15" s="13">
        <f t="shared" si="37"/>
        <v>14.567075151646579</v>
      </c>
      <c r="BG15" s="20">
        <f t="shared" si="7"/>
        <v>112.13954865102259</v>
      </c>
      <c r="BH15" s="59">
        <f t="shared" si="8"/>
        <v>383.47288198435592</v>
      </c>
      <c r="BI15" s="59">
        <f ca="1">AVERAGE(OFFSET($BH$3,0,0,'Données projet'!$E$11+1,1))-AVERAGE(OFFSET($H$3,0,0,'Données projet'!$E$11+1,1))</f>
        <v>706.69239849991595</v>
      </c>
      <c r="BJ15" s="59">
        <f t="shared" si="38"/>
        <v>310.59887275116529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4.016578947368421</v>
      </c>
      <c r="BY15" s="12">
        <f>IF('Données projet'!$A$114&gt;35,BY14+BX15-CG14,IF(A15&lt;'Données projet'!$A$114,$BV$205^A15,IF(A15='Données projet'!$A$114,'Données projet'!$B$114,BY14+BX15-CG14)))</f>
        <v>48.198947368421067</v>
      </c>
      <c r="BZ15" s="13">
        <f>BY15*VLOOKUP('Données projet'!$B$12,Paramètres!$A$1:$I$89,3,0)*VLOOKUP('Données projet'!$B$12,Paramètres!$A$1:$I$89,5,0)</f>
        <v>45.866118315789485</v>
      </c>
      <c r="CA15" s="13">
        <f t="shared" si="39"/>
        <v>13.540864261844654</v>
      </c>
      <c r="CB15" s="20">
        <f t="shared" si="10"/>
        <v>103.4671613227128</v>
      </c>
      <c r="CC15" s="59">
        <f t="shared" si="11"/>
        <v>374.80049465604611</v>
      </c>
      <c r="CD15" s="59">
        <f ca="1">AVERAGE(OFFSET($CC$3,0,0,'Données projet'!$E$12+1,1))-AVERAGE(OFFSET($H$3,0,0,'Données projet'!$E$12+1,1))</f>
        <v>449.28947235329758</v>
      </c>
      <c r="CE15" s="59">
        <f t="shared" si="40"/>
        <v>289.36994109443964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0.6</v>
      </c>
      <c r="CT15" s="12">
        <f>IF('Données projet'!$A$140&gt;35,CT14+CS15-DB14,IF(A15&lt;'Données projet'!$A$140,$CQ$205^A15,IF(A15='Données projet'!$A$140,'Données projet'!$B$140,CT14+CS15-DB14)))</f>
        <v>5.799546134795289</v>
      </c>
      <c r="CU15" s="17">
        <f>CT15*VLOOKUP('Données projet'!$B$13,Paramètres!$A$1:$I$89,3,0)*VLOOKUP('Données projet'!$B$13,Paramètres!$A$1:$I$89,5,0)</f>
        <v>5.0664835033571656</v>
      </c>
      <c r="CV15" s="13">
        <f t="shared" si="41"/>
        <v>1.9329955120863267</v>
      </c>
      <c r="CW15" s="20">
        <f t="shared" si="13"/>
        <v>12.190759285230749</v>
      </c>
      <c r="CX15" s="59">
        <f t="shared" si="14"/>
        <v>283.52409261856405</v>
      </c>
      <c r="CY15" s="59">
        <f ca="1">AVERAGE(OFFSET($CX$3,0,0,'Données projet'!$E$13+1,1))-AVERAGE(OFFSET($H$3,0,0,'Données projet'!$E$13+1,1))</f>
        <v>261.93797831021766</v>
      </c>
      <c r="CZ15" s="59">
        <f t="shared" si="42"/>
        <v>256.90876395053073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5.0894117647058819</v>
      </c>
      <c r="N16" s="13">
        <f>IF('Données projet'!$A$36&gt;35,N15+M16-V15,IF(A16&lt;'Données projet'!$A$36,$K$205^A16,IF(A16='Données projet'!$A$36,'Données projet'!$B$36,N15+M16-V15)))</f>
        <v>7.1740087083211872</v>
      </c>
      <c r="O16" s="13">
        <f>N16*VLOOKUP('Données projet'!$B$9,Paramètres!$A$1:$I$89,3,0)*VLOOKUP('Données projet'!$B$9,Paramètres!$A$1:$I$89,5,0)</f>
        <v>6.4910430792890104</v>
      </c>
      <c r="P16" s="13">
        <f t="shared" si="33"/>
        <v>2.4060970991030577</v>
      </c>
      <c r="Q16" s="20">
        <f t="shared" si="2"/>
        <v>15.495852477366185</v>
      </c>
      <c r="R16" s="59">
        <f t="shared" si="0"/>
        <v>288.0514080329217</v>
      </c>
      <c r="S16" s="59">
        <f ca="1">AVERAGE(OFFSET($R$3,0,0,'Données projet'!$E$9+1,1))-AVERAGE(OFFSET($H$3,0,0,'Données projet'!$E$9+1,1))</f>
        <v>695.0879239758051</v>
      </c>
      <c r="T16" s="59">
        <f t="shared" si="34"/>
        <v>226.22150997227476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4.9119354838709679</v>
      </c>
      <c r="AI16" s="13">
        <f>IF('Données projet'!$A$62&gt;35,AI15+AH16-AQ15,IF(A16&lt;'Données projet'!$A$62,$AF$205^A16,IF(A16='Données projet'!$A$62,'Données projet'!$B$62,AI15+AH16-AQ15)))</f>
        <v>8.2279167292319872</v>
      </c>
      <c r="AJ16" s="13">
        <f>AI16*VLOOKUP('Données projet'!$B$10,Paramètres!$A$1:$I$89,3,0)*VLOOKUP('Données projet'!$B$10,Paramètres!$A$1:$I$89,5,0)</f>
        <v>6.9311970527050271</v>
      </c>
      <c r="AK16" s="13">
        <f t="shared" si="35"/>
        <v>2.5497067340527018</v>
      </c>
      <c r="AL16" s="20">
        <f t="shared" si="4"/>
        <v>16.512574095269713</v>
      </c>
      <c r="AM16" s="59">
        <f t="shared" si="5"/>
        <v>289.06812965082526</v>
      </c>
      <c r="AN16" s="59">
        <f ca="1">AVERAGE(OFFSET($AM$3,0,0,'Données projet'!$E$10+1,1))-AVERAGE(OFFSET($H$3,0,0,'Données projet'!$E$10+1,1))</f>
        <v>424.81155998881928</v>
      </c>
      <c r="AO16" s="59">
        <f t="shared" si="36"/>
        <v>277.34430416544575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53.970874285714309</v>
      </c>
      <c r="BF16" s="13">
        <f t="shared" si="37"/>
        <v>15.634649796775355</v>
      </c>
      <c r="BG16" s="20">
        <f t="shared" si="7"/>
        <v>121.22962111033615</v>
      </c>
      <c r="BH16" s="59">
        <f t="shared" si="8"/>
        <v>393.7851766658917</v>
      </c>
      <c r="BI16" s="59">
        <f ca="1">AVERAGE(OFFSET($BH$3,0,0,'Données projet'!$E$11+1,1))-AVERAGE(OFFSET($H$3,0,0,'Données projet'!$E$11+1,1))</f>
        <v>706.69239849991595</v>
      </c>
      <c r="BJ16" s="59">
        <f t="shared" si="38"/>
        <v>310.59887275116529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4.016578947368421</v>
      </c>
      <c r="BY16" s="12">
        <f>IF('Données projet'!$A$114&gt;35,BY15+BX16-CG15,IF(A16&lt;'Données projet'!$A$114,$BV$205^A16,IF(A16='Données projet'!$A$114,'Données projet'!$B$114,BY15+BX16-CG15)))</f>
        <v>52.215526315789489</v>
      </c>
      <c r="BZ16" s="13">
        <f>BY16*VLOOKUP('Données projet'!$B$12,Paramètres!$A$1:$I$89,3,0)*VLOOKUP('Données projet'!$B$12,Paramètres!$A$1:$I$89,5,0)</f>
        <v>49.688294842105279</v>
      </c>
      <c r="CA16" s="13">
        <f t="shared" si="39"/>
        <v>14.533231172057361</v>
      </c>
      <c r="CB16" s="20">
        <f t="shared" si="10"/>
        <v>111.85249114133325</v>
      </c>
      <c r="CC16" s="59">
        <f t="shared" si="11"/>
        <v>384.40804669688879</v>
      </c>
      <c r="CD16" s="59">
        <f ca="1">AVERAGE(OFFSET($CC$3,0,0,'Données projet'!$E$12+1,1))-AVERAGE(OFFSET($H$3,0,0,'Données projet'!$E$12+1,1))</f>
        <v>449.28947235329758</v>
      </c>
      <c r="CE16" s="59">
        <f t="shared" si="40"/>
        <v>289.36994109443964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0.6</v>
      </c>
      <c r="CT16" s="12">
        <f>IF('Données projet'!$A$140&gt;35,CT15+CS16-DB15,IF(A16&lt;'Données projet'!$A$140,$CQ$205^A16,IF(A16='Données projet'!$A$140,'Données projet'!$B$140,CT15+CS16-DB15)))</f>
        <v>6.7144458364886441</v>
      </c>
      <c r="CU16" s="17">
        <f>CT16*VLOOKUP('Données projet'!$B$13,Paramètres!$A$1:$I$89,3,0)*VLOOKUP('Données projet'!$B$13,Paramètres!$A$1:$I$89,5,0)</f>
        <v>5.86573988275648</v>
      </c>
      <c r="CV16" s="13">
        <f t="shared" si="41"/>
        <v>2.2000983287624218</v>
      </c>
      <c r="CW16" s="20">
        <f t="shared" si="13"/>
        <v>14.048001551728753</v>
      </c>
      <c r="CX16" s="59">
        <f t="shared" si="14"/>
        <v>286.6035571072843</v>
      </c>
      <c r="CY16" s="59">
        <f ca="1">AVERAGE(OFFSET($CX$3,0,0,'Données projet'!$E$13+1,1))-AVERAGE(OFFSET($H$3,0,0,'Données projet'!$E$13+1,1))</f>
        <v>261.93797831021766</v>
      </c>
      <c r="CZ16" s="59">
        <f t="shared" si="42"/>
        <v>256.90876395053073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5.0894117647058819</v>
      </c>
      <c r="N17" s="13">
        <f>IF('Données projet'!$A$36&gt;35,N16+M17-V16,IF(A17&lt;'Données projet'!$A$36,$K$205^A17,IF(A17='Données projet'!$A$36,'Données projet'!$B$36,N16+M17-V16)))</f>
        <v>8.3481402745177196</v>
      </c>
      <c r="O17" s="13">
        <f>N17*VLOOKUP('Données projet'!$B$9,Paramètres!$A$1:$I$89,3,0)*VLOOKUP('Données projet'!$B$9,Paramètres!$A$1:$I$89,5,0)</f>
        <v>7.553397320383632</v>
      </c>
      <c r="P17" s="13">
        <f t="shared" si="33"/>
        <v>2.7509242233886888</v>
      </c>
      <c r="Q17" s="20">
        <f t="shared" si="2"/>
        <v>17.946693355403458</v>
      </c>
      <c r="R17" s="59">
        <f t="shared" si="0"/>
        <v>291.72447113318123</v>
      </c>
      <c r="S17" s="59">
        <f ca="1">AVERAGE(OFFSET($R$3,0,0,'Données projet'!$E$9+1,1))-AVERAGE(OFFSET($H$3,0,0,'Données projet'!$E$9+1,1))</f>
        <v>695.0879239758051</v>
      </c>
      <c r="T17" s="59">
        <f t="shared" si="34"/>
        <v>226.22150997227476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4.9119354838709679</v>
      </c>
      <c r="AI17" s="13">
        <f>IF('Données projet'!$A$62&gt;35,AI16+AH17-AQ16,IF(A17&lt;'Données projet'!$A$62,$AF$205^A17,IF(A17='Données projet'!$A$62,'Données projet'!$B$62,AI16+AH17-AQ16)))</f>
        <v>9.6760209990514667</v>
      </c>
      <c r="AJ17" s="13">
        <f>AI17*VLOOKUP('Données projet'!$B$10,Paramètres!$A$1:$I$89,3,0)*VLOOKUP('Données projet'!$B$10,Paramètres!$A$1:$I$89,5,0)</f>
        <v>8.1510800896009563</v>
      </c>
      <c r="AK17" s="13">
        <f t="shared" si="35"/>
        <v>2.9424004653709348</v>
      </c>
      <c r="AL17" s="20">
        <f t="shared" si="4"/>
        <v>19.321145299909375</v>
      </c>
      <c r="AM17" s="59">
        <f t="shared" si="5"/>
        <v>293.09892307768712</v>
      </c>
      <c r="AN17" s="59">
        <f ca="1">AVERAGE(OFFSET($AM$3,0,0,'Données projet'!$E$10+1,1))-AVERAGE(OFFSET($H$3,0,0,'Données projet'!$E$10+1,1))</f>
        <v>424.81155998881928</v>
      </c>
      <c r="AO17" s="59">
        <f t="shared" si="36"/>
        <v>277.34430416544575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58.122480000000031</v>
      </c>
      <c r="BF17" s="13">
        <f t="shared" si="37"/>
        <v>16.692698298610935</v>
      </c>
      <c r="BG17" s="20">
        <f t="shared" si="7"/>
        <v>130.30310220341408</v>
      </c>
      <c r="BH17" s="59">
        <f t="shared" si="8"/>
        <v>404.08087998119186</v>
      </c>
      <c r="BI17" s="59">
        <f ca="1">AVERAGE(OFFSET($BH$3,0,0,'Données projet'!$E$11+1,1))-AVERAGE(OFFSET($H$3,0,0,'Données projet'!$E$11+1,1))</f>
        <v>706.69239849991595</v>
      </c>
      <c r="BJ17" s="59">
        <f t="shared" si="38"/>
        <v>310.59887275116529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4.016578947368421</v>
      </c>
      <c r="BY17" s="12">
        <f>IF('Données projet'!$A$114&gt;35,BY16+BX17-CG16,IF(A17&lt;'Données projet'!$A$114,$BV$205^A17,IF(A17='Données projet'!$A$114,'Données projet'!$B$114,BY16+BX17-CG16)))</f>
        <v>56.232105263157912</v>
      </c>
      <c r="BZ17" s="13">
        <f>BY17*VLOOKUP('Données projet'!$B$12,Paramètres!$A$1:$I$89,3,0)*VLOOKUP('Données projet'!$B$12,Paramètres!$A$1:$I$89,5,0)</f>
        <v>53.510471368421072</v>
      </c>
      <c r="CA17" s="13">
        <f t="shared" si="39"/>
        <v>15.516743029905101</v>
      </c>
      <c r="CB17" s="20">
        <f t="shared" si="10"/>
        <v>120.22239841041811</v>
      </c>
      <c r="CC17" s="59">
        <f t="shared" si="11"/>
        <v>394.00017618819589</v>
      </c>
      <c r="CD17" s="59">
        <f ca="1">AVERAGE(OFFSET($CC$3,0,0,'Données projet'!$E$12+1,1))-AVERAGE(OFFSET($H$3,0,0,'Données projet'!$E$12+1,1))</f>
        <v>449.28947235329758</v>
      </c>
      <c r="CE17" s="59">
        <f t="shared" si="40"/>
        <v>289.36994109443964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0.6</v>
      </c>
      <c r="CT17" s="12">
        <f>IF('Données projet'!$A$140&gt;35,CT16+CS17-DB16,IF(A17&lt;'Données projet'!$A$140,$CQ$205^A17,IF(A17='Données projet'!$A$140,'Données projet'!$B$140,CT16+CS17-DB16)))</f>
        <v>7.7736743261084582</v>
      </c>
      <c r="CU17" s="17">
        <f>CT17*VLOOKUP('Données projet'!$B$13,Paramètres!$A$1:$I$89,3,0)*VLOOKUP('Données projet'!$B$13,Paramètres!$A$1:$I$89,5,0)</f>
        <v>6.7910818912883508</v>
      </c>
      <c r="CV17" s="13">
        <f t="shared" si="41"/>
        <v>2.5041096194780144</v>
      </c>
      <c r="CW17" s="20">
        <f t="shared" si="13"/>
        <v>16.189125214584752</v>
      </c>
      <c r="CX17" s="59">
        <f t="shared" si="14"/>
        <v>289.96690299236252</v>
      </c>
      <c r="CY17" s="59">
        <f ca="1">AVERAGE(OFFSET($CX$3,0,0,'Données projet'!$E$13+1,1))-AVERAGE(OFFSET($H$3,0,0,'Données projet'!$E$13+1,1))</f>
        <v>261.93797831021766</v>
      </c>
      <c r="CZ17" s="59">
        <f t="shared" si="42"/>
        <v>256.90876395053073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5.0894117647058819</v>
      </c>
      <c r="N18" s="13">
        <f>IF('Données projet'!$A$36&gt;35,N17+M18-V17,IF(A18&lt;'Données projet'!$A$36,$K$205^A18,IF(A18='Données projet'!$A$36,'Données projet'!$B$36,N17+M18-V17)))</f>
        <v>9.7144356630330186</v>
      </c>
      <c r="O18" s="13">
        <f>N18*VLOOKUP('Données projet'!$B$9,Paramètres!$A$1:$I$89,3,0)*VLOOKUP('Données projet'!$B$9,Paramètres!$A$1:$I$89,5,0)</f>
        <v>8.7896213879122751</v>
      </c>
      <c r="P18" s="13">
        <f t="shared" si="33"/>
        <v>3.1451698626990985</v>
      </c>
      <c r="Q18" s="20">
        <f t="shared" si="2"/>
        <v>20.786428094814809</v>
      </c>
      <c r="R18" s="59">
        <f t="shared" si="0"/>
        <v>295.78642809481482</v>
      </c>
      <c r="S18" s="59">
        <f ca="1">AVERAGE(OFFSET($R$3,0,0,'Données projet'!$E$9+1,1))-AVERAGE(OFFSET($H$3,0,0,'Données projet'!$E$9+1,1))</f>
        <v>695.0879239758051</v>
      </c>
      <c r="T18" s="59">
        <f t="shared" si="34"/>
        <v>226.22150997227476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4.9119354838709679</v>
      </c>
      <c r="AI18" s="13">
        <f>IF('Données projet'!$A$62&gt;35,AI17+AH18-AQ17,IF(A18&lt;'Données projet'!$A$62,$AF$205^A18,IF(A18='Données projet'!$A$62,'Données projet'!$B$62,AI17+AH18-AQ17)))</f>
        <v>11.378990023252722</v>
      </c>
      <c r="AJ18" s="13">
        <f>AI18*VLOOKUP('Données projet'!$B$10,Paramètres!$A$1:$I$89,3,0)*VLOOKUP('Données projet'!$B$10,Paramètres!$A$1:$I$89,5,0)</f>
        <v>9.585661195588095</v>
      </c>
      <c r="AK18" s="13">
        <f t="shared" si="35"/>
        <v>3.3955750216236993</v>
      </c>
      <c r="AL18" s="20">
        <f t="shared" si="4"/>
        <v>22.608986411643873</v>
      </c>
      <c r="AM18" s="59">
        <f t="shared" si="5"/>
        <v>297.60898641164385</v>
      </c>
      <c r="AN18" s="59">
        <f ca="1">AVERAGE(OFFSET($AM$3,0,0,'Données projet'!$E$10+1,1))-AVERAGE(OFFSET($H$3,0,0,'Données projet'!$E$10+1,1))</f>
        <v>424.81155998881928</v>
      </c>
      <c r="AO18" s="59">
        <f t="shared" si="36"/>
        <v>277.34430416544575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62.274085714285746</v>
      </c>
      <c r="BF18" s="13">
        <f t="shared" si="37"/>
        <v>17.741978484825932</v>
      </c>
      <c r="BG18" s="20">
        <f t="shared" si="7"/>
        <v>139.36131181345283</v>
      </c>
      <c r="BH18" s="59">
        <f t="shared" si="8"/>
        <v>414.36131181345286</v>
      </c>
      <c r="BI18" s="59">
        <f ca="1">AVERAGE(OFFSET($BH$3,0,0,'Données projet'!$E$11+1,1))-AVERAGE(OFFSET($H$3,0,0,'Données projet'!$E$11+1,1))</f>
        <v>706.69239849991595</v>
      </c>
      <c r="BJ18" s="59">
        <f t="shared" si="38"/>
        <v>310.59887275116529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4.016578947368421</v>
      </c>
      <c r="BY18" s="12">
        <f>IF('Données projet'!$A$114&gt;35,BY17+BX18-CG17,IF(A18&lt;'Données projet'!$A$114,$BV$205^A18,IF(A18='Données projet'!$A$114,'Données projet'!$B$114,BY17+BX18-CG17)))</f>
        <v>60.248684210526335</v>
      </c>
      <c r="BZ18" s="13">
        <f>BY18*VLOOKUP('Données projet'!$B$12,Paramètres!$A$1:$I$89,3,0)*VLOOKUP('Données projet'!$B$12,Paramètres!$A$1:$I$89,5,0)</f>
        <v>57.332647894736859</v>
      </c>
      <c r="CA18" s="13">
        <f t="shared" si="39"/>
        <v>16.492104276158738</v>
      </c>
      <c r="CB18" s="20">
        <f t="shared" si="10"/>
        <v>128.57811003097649</v>
      </c>
      <c r="CC18" s="59">
        <f t="shared" si="11"/>
        <v>403.57811003097652</v>
      </c>
      <c r="CD18" s="59">
        <f ca="1">AVERAGE(OFFSET($CC$3,0,0,'Données projet'!$E$12+1,1))-AVERAGE(OFFSET($H$3,0,0,'Données projet'!$E$12+1,1))</f>
        <v>449.28947235329758</v>
      </c>
      <c r="CE18" s="59">
        <f t="shared" si="40"/>
        <v>289.36994109443964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9</v>
      </c>
      <c r="CR18" s="12">
        <f>VLOOKUP(A18,'Données projet'!$A$139:$I$159,9,0)</f>
        <v>0.6</v>
      </c>
      <c r="CS18" s="12">
        <f t="array" ref="CS18">INDEX(CR:CR,MIN(IF(ISNUMBER(CR18:CR214),ROW(CR18:CR214),"")))</f>
        <v>0.6</v>
      </c>
      <c r="CT18" s="12">
        <f>IF('Données projet'!$A$140&gt;35,CT17+CS18-DB17,IF(A18&lt;'Données projet'!$A$140,$CQ$205^A18,IF(A18='Données projet'!$A$140,'Données projet'!$B$140,CT17+CS18-DB17)))</f>
        <v>9</v>
      </c>
      <c r="CU18" s="17">
        <f>CT18*VLOOKUP('Données projet'!$B$13,Paramètres!$A$1:$I$89,3,0)*VLOOKUP('Données projet'!$B$13,Paramètres!$A$1:$I$89,5,0)</f>
        <v>7.8624000000000018</v>
      </c>
      <c r="CV18" s="13">
        <f t="shared" si="41"/>
        <v>2.8501294257559766</v>
      </c>
      <c r="CW18" s="20">
        <f t="shared" si="13"/>
        <v>18.657655416524996</v>
      </c>
      <c r="CX18" s="59">
        <f t="shared" si="14"/>
        <v>293.65765541652502</v>
      </c>
      <c r="CY18" s="59">
        <f ca="1">AVERAGE(OFFSET($CX$3,0,0,'Données projet'!$E$13+1,1))-AVERAGE(OFFSET($H$3,0,0,'Données projet'!$E$13+1,1))</f>
        <v>261.93797831021766</v>
      </c>
      <c r="CZ18" s="59">
        <f t="shared" si="42"/>
        <v>256.90876395053073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0.13250000000000001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5.0894117647058819</v>
      </c>
      <c r="N19" s="13">
        <f>IF('Données projet'!$A$36&gt;35,N18+M19-V18,IF(A19&lt;'Données projet'!$A$36,$K$205^A19,IF(A19='Données projet'!$A$36,'Données projet'!$B$36,N18+M19-V18)))</f>
        <v>11.304345297031993</v>
      </c>
      <c r="O19" s="13">
        <f>N19*VLOOKUP('Données projet'!$B$9,Paramètres!$A$1:$I$89,3,0)*VLOOKUP('Données projet'!$B$9,Paramètres!$A$1:$I$89,5,0)</f>
        <v>10.228171624754548</v>
      </c>
      <c r="P19" s="13">
        <f t="shared" si="33"/>
        <v>3.5959163764406497</v>
      </c>
      <c r="Q19" s="20">
        <f t="shared" si="2"/>
        <v>24.076953268748301</v>
      </c>
      <c r="R19" s="59">
        <f t="shared" si="0"/>
        <v>300.29917549097053</v>
      </c>
      <c r="S19" s="59">
        <f ca="1">AVERAGE(OFFSET($R$3,0,0,'Données projet'!$E$9+1,1))-AVERAGE(OFFSET($H$3,0,0,'Données projet'!$E$9+1,1))</f>
        <v>695.0879239758051</v>
      </c>
      <c r="T19" s="59">
        <f t="shared" si="34"/>
        <v>226.22150997227476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4.9119354838709679</v>
      </c>
      <c r="AI19" s="13">
        <f>IF('Données projet'!$A$62&gt;35,AI18+AH19-AQ18,IF(A19&lt;'Données projet'!$A$62,$AF$205^A19,IF(A19='Données projet'!$A$62,'Données projet'!$B$62,AI18+AH19-AQ18)))</f>
        <v>13.381679717517972</v>
      </c>
      <c r="AJ19" s="13">
        <f>AI19*VLOOKUP('Données projet'!$B$10,Paramètres!$A$1:$I$89,3,0)*VLOOKUP('Données projet'!$B$10,Paramètres!$A$1:$I$89,5,0)</f>
        <v>11.272726994037141</v>
      </c>
      <c r="AK19" s="13">
        <f t="shared" si="35"/>
        <v>3.9185453724502666</v>
      </c>
      <c r="AL19" s="20">
        <f t="shared" si="4"/>
        <v>26.458132704965564</v>
      </c>
      <c r="AM19" s="59">
        <f t="shared" si="5"/>
        <v>302.68035492718781</v>
      </c>
      <c r="AN19" s="59">
        <f ca="1">AVERAGE(OFFSET($AM$3,0,0,'Données projet'!$E$10+1,1))-AVERAGE(OFFSET($H$3,0,0,'Données projet'!$E$10+1,1))</f>
        <v>424.81155998881928</v>
      </c>
      <c r="AO19" s="59">
        <f t="shared" si="36"/>
        <v>277.34430416544575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66.425691428571454</v>
      </c>
      <c r="BF19" s="13">
        <f t="shared" si="37"/>
        <v>18.783141422895284</v>
      </c>
      <c r="BG19" s="20">
        <f t="shared" si="7"/>
        <v>148.40538388297122</v>
      </c>
      <c r="BH19" s="59">
        <f t="shared" si="8"/>
        <v>424.62760610519342</v>
      </c>
      <c r="BI19" s="59">
        <f ca="1">AVERAGE(OFFSET($BH$3,0,0,'Données projet'!$E$11+1,1))-AVERAGE(OFFSET($H$3,0,0,'Données projet'!$E$11+1,1))</f>
        <v>706.69239849991595</v>
      </c>
      <c r="BJ19" s="59">
        <f t="shared" si="38"/>
        <v>310.59887275116529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4.016578947368421</v>
      </c>
      <c r="BY19" s="12">
        <f>IF('Données projet'!$A$114&gt;35,BY18+BX19-CG18,IF(A19&lt;'Données projet'!$A$114,$BV$205^A19,IF(A19='Données projet'!$A$114,'Données projet'!$B$114,BY18+BX19-CG18)))</f>
        <v>64.265263157894751</v>
      </c>
      <c r="BZ19" s="13">
        <f>BY19*VLOOKUP('Données projet'!$B$12,Paramètres!$A$1:$I$89,3,0)*VLOOKUP('Données projet'!$B$12,Paramètres!$A$1:$I$89,5,0)</f>
        <v>61.154824421052645</v>
      </c>
      <c r="CA19" s="13">
        <f t="shared" si="39"/>
        <v>17.459920112357459</v>
      </c>
      <c r="CB19" s="20">
        <f t="shared" si="10"/>
        <v>136.92068006235593</v>
      </c>
      <c r="CC19" s="59">
        <f t="shared" si="11"/>
        <v>413.14290228457816</v>
      </c>
      <c r="CD19" s="59">
        <f ca="1">AVERAGE(OFFSET($CC$3,0,0,'Données projet'!$E$12+1,1))-AVERAGE(OFFSET($H$3,0,0,'Données projet'!$E$12+1,1))</f>
        <v>449.28947235329758</v>
      </c>
      <c r="CE19" s="59">
        <f t="shared" si="40"/>
        <v>289.36994109443964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18.600000000000001</v>
      </c>
      <c r="CU19" s="17">
        <f>CT19*VLOOKUP('Données projet'!$B$13,Paramètres!$A$1:$I$89,3,0)*VLOOKUP('Données projet'!$B$13,Paramètres!$A$1:$I$89,5,0)</f>
        <v>16.248960000000004</v>
      </c>
      <c r="CV19" s="13">
        <f t="shared" si="41"/>
        <v>5.4129939058841199</v>
      </c>
      <c r="CW19" s="20">
        <f t="shared" si="13"/>
        <v>37.727903052748182</v>
      </c>
      <c r="CX19" s="59">
        <f t="shared" si="14"/>
        <v>313.95012527497039</v>
      </c>
      <c r="CY19" s="59">
        <f ca="1">AVERAGE(OFFSET($CX$3,0,0,'Données projet'!$E$13+1,1))-AVERAGE(OFFSET($H$3,0,0,'Données projet'!$E$13+1,1))</f>
        <v>261.93797831021766</v>
      </c>
      <c r="CZ19" s="59">
        <f t="shared" si="42"/>
        <v>256.90876395053073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5.0894117647058819</v>
      </c>
      <c r="N20" s="13">
        <f>IF('Données projet'!$A$36&gt;35,N19+M20-V19,IF(A20&lt;'Données projet'!$A$36,$K$205^A20,IF(A20='Données projet'!$A$36,'Données projet'!$B$36,N19+M20-V19)))</f>
        <v>13.154466921924275</v>
      </c>
      <c r="O20" s="13">
        <f>N20*VLOOKUP('Données projet'!$B$9,Paramètres!$A$1:$I$89,3,0)*VLOOKUP('Données projet'!$B$9,Paramètres!$A$1:$I$89,5,0)</f>
        <v>11.902161670957083</v>
      </c>
      <c r="P20" s="13">
        <f t="shared" si="33"/>
        <v>4.1112611244651047</v>
      </c>
      <c r="Q20" s="20">
        <f t="shared" si="2"/>
        <v>27.890044702026973</v>
      </c>
      <c r="R20" s="59">
        <f t="shared" si="0"/>
        <v>305.33448914647141</v>
      </c>
      <c r="S20" s="59">
        <f ca="1">AVERAGE(OFFSET($R$3,0,0,'Données projet'!$E$9+1,1))-AVERAGE(OFFSET($H$3,0,0,'Données projet'!$E$9+1,1))</f>
        <v>695.0879239758051</v>
      </c>
      <c r="T20" s="59">
        <f t="shared" si="34"/>
        <v>226.22150997227476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4.9119354838709679</v>
      </c>
      <c r="AI20" s="13">
        <f>IF('Données projet'!$A$62&gt;35,AI19+AH20-AQ19,IF(A20&lt;'Données projet'!$A$62,$AF$205^A20,IF(A20='Données projet'!$A$62,'Données projet'!$B$62,AI19+AH20-AQ19)))</f>
        <v>15.736840589218154</v>
      </c>
      <c r="AJ20" s="13">
        <f>AI20*VLOOKUP('Données projet'!$B$10,Paramètres!$A$1:$I$89,3,0)*VLOOKUP('Données projet'!$B$10,Paramètres!$A$1:$I$89,5,0)</f>
        <v>13.256714512357373</v>
      </c>
      <c r="AK20" s="13">
        <f t="shared" si="35"/>
        <v>4.5220611349087303</v>
      </c>
      <c r="AL20" s="20">
        <f t="shared" si="4"/>
        <v>30.964700918988459</v>
      </c>
      <c r="AM20" s="59">
        <f t="shared" si="5"/>
        <v>308.40914536343291</v>
      </c>
      <c r="AN20" s="59">
        <f ca="1">AVERAGE(OFFSET($AM$3,0,0,'Données projet'!$E$10+1,1))-AVERAGE(OFFSET($H$3,0,0,'Données projet'!$E$10+1,1))</f>
        <v>424.81155998881928</v>
      </c>
      <c r="AO20" s="59">
        <f t="shared" si="36"/>
        <v>277.34430416544575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70.577297142857176</v>
      </c>
      <c r="BF20" s="13">
        <f t="shared" si="37"/>
        <v>19.816752197053003</v>
      </c>
      <c r="BG20" s="20">
        <f t="shared" si="7"/>
        <v>157.43630260034357</v>
      </c>
      <c r="BH20" s="59">
        <f t="shared" si="8"/>
        <v>434.880747044788</v>
      </c>
      <c r="BI20" s="59">
        <f ca="1">AVERAGE(OFFSET($BH$3,0,0,'Données projet'!$E$11+1,1))-AVERAGE(OFFSET($H$3,0,0,'Données projet'!$E$11+1,1))</f>
        <v>706.69239849991595</v>
      </c>
      <c r="BJ20" s="59">
        <f t="shared" si="38"/>
        <v>310.59887275116529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4.016578947368421</v>
      </c>
      <c r="BY20" s="12">
        <f>IF('Données projet'!$A$114&gt;35,BY19+BX20-CG19,IF(A20&lt;'Données projet'!$A$114,$BV$205^A20,IF(A20='Données projet'!$A$114,'Données projet'!$B$114,BY19+BX20-CG19)))</f>
        <v>68.281842105263166</v>
      </c>
      <c r="BZ20" s="13">
        <f>BY20*VLOOKUP('Données projet'!$B$12,Paramètres!$A$1:$I$89,3,0)*VLOOKUP('Données projet'!$B$12,Paramètres!$A$1:$I$89,5,0)</f>
        <v>64.977000947368424</v>
      </c>
      <c r="CA20" s="13">
        <f t="shared" si="39"/>
        <v>18.420715814085391</v>
      </c>
      <c r="CB20" s="20">
        <f t="shared" si="10"/>
        <v>145.25102335953207</v>
      </c>
      <c r="CC20" s="59">
        <f t="shared" si="11"/>
        <v>422.6954678039765</v>
      </c>
      <c r="CD20" s="59">
        <f ca="1">AVERAGE(OFFSET($CC$3,0,0,'Données projet'!$E$12+1,1))-AVERAGE(OFFSET($H$3,0,0,'Données projet'!$E$12+1,1))</f>
        <v>449.28947235329758</v>
      </c>
      <c r="CE20" s="59">
        <f t="shared" si="40"/>
        <v>289.36994109443964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28.200000000000003</v>
      </c>
      <c r="CU20" s="17">
        <f>CT20*VLOOKUP('Données projet'!$B$13,Paramètres!$A$1:$I$89,3,0)*VLOOKUP('Données projet'!$B$13,Paramètres!$A$1:$I$89,5,0)</f>
        <v>24.635520000000007</v>
      </c>
      <c r="CV20" s="13">
        <f t="shared" si="41"/>
        <v>7.8187263384607988</v>
      </c>
      <c r="CW20" s="20">
        <f t="shared" si="13"/>
        <v>56.524479039485897</v>
      </c>
      <c r="CX20" s="59">
        <f t="shared" si="14"/>
        <v>333.96892348393033</v>
      </c>
      <c r="CY20" s="59">
        <f ca="1">AVERAGE(OFFSET($CX$3,0,0,'Données projet'!$E$13+1,1))-AVERAGE(OFFSET($H$3,0,0,'Données projet'!$E$13+1,1))</f>
        <v>261.93797831021766</v>
      </c>
      <c r="CZ20" s="59">
        <f t="shared" si="42"/>
        <v>256.90876395053073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5.0894117647058819</v>
      </c>
      <c r="N21" s="13">
        <f>IF('Données projet'!$A$36&gt;35,N20+M21-V20,IF(A21&lt;'Données projet'!$A$36,$K$205^A21,IF(A21='Données projet'!$A$36,'Données projet'!$B$36,N20+M21-V20)))</f>
        <v>15.307388040016111</v>
      </c>
      <c r="O21" s="13">
        <f>N21*VLOOKUP('Données projet'!$B$9,Paramètres!$A$1:$I$89,3,0)*VLOOKUP('Données projet'!$B$9,Paramètres!$A$1:$I$89,5,0)</f>
        <v>13.850124698606576</v>
      </c>
      <c r="P21" s="13">
        <f t="shared" si="33"/>
        <v>4.7004619307272835</v>
      </c>
      <c r="Q21" s="20">
        <f t="shared" si="2"/>
        <v>32.30893837942314</v>
      </c>
      <c r="R21" s="59">
        <f t="shared" si="0"/>
        <v>310.97560504608981</v>
      </c>
      <c r="S21" s="59">
        <f ca="1">AVERAGE(OFFSET($R$3,0,0,'Données projet'!$E$9+1,1))-AVERAGE(OFFSET($H$3,0,0,'Données projet'!$E$9+1,1))</f>
        <v>695.0879239758051</v>
      </c>
      <c r="T21" s="59">
        <f t="shared" si="34"/>
        <v>226.22150997227476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4.9119354838709679</v>
      </c>
      <c r="AI21" s="13">
        <f>IF('Données projet'!$A$62&gt;35,AI20+AH21-AQ20,IF(A21&lt;'Données projet'!$A$62,$AF$205^A21,IF(A21='Données projet'!$A$62,'Données projet'!$B$62,AI20+AH21-AQ20)))</f>
        <v>18.50650717684324</v>
      </c>
      <c r="AJ21" s="13">
        <f>AI21*VLOOKUP('Données projet'!$B$10,Paramètres!$A$1:$I$89,3,0)*VLOOKUP('Données projet'!$B$10,Paramètres!$A$1:$I$89,5,0)</f>
        <v>15.589881645772746</v>
      </c>
      <c r="AK21" s="13">
        <f t="shared" si="35"/>
        <v>5.2185275310632022</v>
      </c>
      <c r="AL21" s="20">
        <f t="shared" si="4"/>
        <v>36.241312649655946</v>
      </c>
      <c r="AM21" s="59">
        <f t="shared" si="5"/>
        <v>314.90797931632261</v>
      </c>
      <c r="AN21" s="59">
        <f ca="1">AVERAGE(OFFSET($AM$3,0,0,'Données projet'!$E$10+1,1))-AVERAGE(OFFSET($H$3,0,0,'Données projet'!$E$10+1,1))</f>
        <v>424.81155998881928</v>
      </c>
      <c r="AO21" s="59">
        <f t="shared" si="36"/>
        <v>277.34430416544575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74.728902857142899</v>
      </c>
      <c r="BF21" s="13">
        <f t="shared" si="37"/>
        <v>20.843305655503205</v>
      </c>
      <c r="BG21" s="20">
        <f t="shared" si="7"/>
        <v>166.45492982619194</v>
      </c>
      <c r="BH21" s="59">
        <f t="shared" si="8"/>
        <v>445.12159649285866</v>
      </c>
      <c r="BI21" s="59">
        <f ca="1">AVERAGE(OFFSET($BH$3,0,0,'Données projet'!$E$11+1,1))-AVERAGE(OFFSET($H$3,0,0,'Données projet'!$E$11+1,1))</f>
        <v>706.69239849991595</v>
      </c>
      <c r="BJ21" s="59">
        <f t="shared" si="38"/>
        <v>310.59887275116529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4.016578947368421</v>
      </c>
      <c r="BY21" s="12">
        <f>IF('Données projet'!$A$114&gt;35,BY20+BX21-CG20,IF(A21&lt;'Données projet'!$A$114,$BV$205^A21,IF(A21='Données projet'!$A$114,'Données projet'!$B$114,BY20+BX21-CG20)))</f>
        <v>72.298421052631582</v>
      </c>
      <c r="BZ21" s="13">
        <f>BY21*VLOOKUP('Données projet'!$B$12,Paramètres!$A$1:$I$89,3,0)*VLOOKUP('Données projet'!$B$12,Paramètres!$A$1:$I$89,5,0)</f>
        <v>68.79917747368421</v>
      </c>
      <c r="CA21" s="13">
        <f t="shared" si="39"/>
        <v>19.37495136883436</v>
      </c>
      <c r="CB21" s="20">
        <f t="shared" si="10"/>
        <v>153.56994106738651</v>
      </c>
      <c r="CC21" s="59">
        <f t="shared" si="11"/>
        <v>432.23660773405322</v>
      </c>
      <c r="CD21" s="59">
        <f ca="1">AVERAGE(OFFSET($CC$3,0,0,'Données projet'!$E$12+1,1))-AVERAGE(OFFSET($H$3,0,0,'Données projet'!$E$12+1,1))</f>
        <v>449.28947235329758</v>
      </c>
      <c r="CE21" s="59">
        <f t="shared" si="40"/>
        <v>289.36994109443964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37.800000000000004</v>
      </c>
      <c r="CU21" s="17">
        <f>CT21*VLOOKUP('Données projet'!$B$13,Paramètres!$A$1:$I$89,3,0)*VLOOKUP('Données projet'!$B$13,Paramètres!$A$1:$I$89,5,0)</f>
        <v>33.022080000000003</v>
      </c>
      <c r="CV21" s="13">
        <f t="shared" si="41"/>
        <v>10.129025278332465</v>
      </c>
      <c r="CW21" s="20">
        <f t="shared" si="13"/>
        <v>75.154841693095705</v>
      </c>
      <c r="CX21" s="59">
        <f t="shared" si="14"/>
        <v>353.82150835976239</v>
      </c>
      <c r="CY21" s="59">
        <f ca="1">AVERAGE(OFFSET($CX$3,0,0,'Données projet'!$E$13+1,1))-AVERAGE(OFFSET($H$3,0,0,'Données projet'!$E$13+1,1))</f>
        <v>261.93797831021766</v>
      </c>
      <c r="CZ21" s="59">
        <f t="shared" si="42"/>
        <v>256.90876395053073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5.0894117647058819</v>
      </c>
      <c r="N22" s="13">
        <f>IF('Données projet'!$A$36&gt;35,N21+M22-V21,IF(A22&lt;'Données projet'!$A$36,$K$205^A22,IF(A22='Données projet'!$A$36,'Données projet'!$B$36,N21+M22-V21)))</f>
        <v>17.812666221927888</v>
      </c>
      <c r="O22" s="13">
        <f>N22*VLOOKUP('Données projet'!$B$9,Paramètres!$A$1:$I$89,3,0)*VLOOKUP('Données projet'!$B$9,Paramètres!$A$1:$I$89,5,0)</f>
        <v>16.11690039760035</v>
      </c>
      <c r="P22" s="13">
        <f t="shared" si="33"/>
        <v>5.374103393904722</v>
      </c>
      <c r="Q22" s="20">
        <f t="shared" si="2"/>
        <v>37.430164936871329</v>
      </c>
      <c r="R22" s="59">
        <f t="shared" si="0"/>
        <v>317.31905382576019</v>
      </c>
      <c r="S22" s="59">
        <f ca="1">AVERAGE(OFFSET($R$3,0,0,'Données projet'!$E$9+1,1))-AVERAGE(OFFSET($H$3,0,0,'Données projet'!$E$9+1,1))</f>
        <v>695.0879239758051</v>
      </c>
      <c r="T22" s="59">
        <f t="shared" si="34"/>
        <v>226.22150997227476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4.9119354838709679</v>
      </c>
      <c r="AI22" s="13">
        <f>IF('Données projet'!$A$62&gt;35,AI21+AH22-AQ21,IF(A22&lt;'Données projet'!$A$62,$AF$205^A22,IF(A22='Données projet'!$A$62,'Données projet'!$B$62,AI21+AH22-AQ21)))</f>
        <v>21.763632029239876</v>
      </c>
      <c r="AJ22" s="13">
        <f>AI22*VLOOKUP('Données projet'!$B$10,Paramètres!$A$1:$I$89,3,0)*VLOOKUP('Données projet'!$B$10,Paramètres!$A$1:$I$89,5,0)</f>
        <v>18.333683621431675</v>
      </c>
      <c r="AK22" s="13">
        <f t="shared" si="35"/>
        <v>6.0222603764100286</v>
      </c>
      <c r="AL22" s="20">
        <f t="shared" si="4"/>
        <v>42.419935796240964</v>
      </c>
      <c r="AM22" s="59">
        <f t="shared" si="5"/>
        <v>322.30882468512982</v>
      </c>
      <c r="AN22" s="59">
        <f ca="1">AVERAGE(OFFSET($AM$3,0,0,'Données projet'!$E$10+1,1))-AVERAGE(OFFSET($H$3,0,0,'Données projet'!$E$10+1,1))</f>
        <v>424.81155998881928</v>
      </c>
      <c r="AO22" s="59">
        <f t="shared" si="36"/>
        <v>277.34430416544575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78.880508571428621</v>
      </c>
      <c r="BF22" s="13">
        <f t="shared" si="37"/>
        <v>21.863238557926771</v>
      </c>
      <c r="BG22" s="20">
        <f t="shared" si="7"/>
        <v>175.462026250294</v>
      </c>
      <c r="BH22" s="59">
        <f t="shared" si="8"/>
        <v>455.35091513918286</v>
      </c>
      <c r="BI22" s="59">
        <f ca="1">AVERAGE(OFFSET($BH$3,0,0,'Données projet'!$E$11+1,1))-AVERAGE(OFFSET($H$3,0,0,'Données projet'!$E$11+1,1))</f>
        <v>706.69239849991595</v>
      </c>
      <c r="BJ22" s="59">
        <f t="shared" si="38"/>
        <v>310.59887275116529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4.016578947368421</v>
      </c>
      <c r="BY22" s="12">
        <f>IF('Données projet'!$A$114&gt;35,BY21+BX22-CG21,IF(A22&lt;'Données projet'!$A$114,$BV$205^A22,IF(A22='Données projet'!$A$114,'Données projet'!$B$114,BY21+BX22-CG21)))</f>
        <v>76.314999999999998</v>
      </c>
      <c r="BZ22" s="13">
        <f>BY22*VLOOKUP('Données projet'!$B$12,Paramètres!$A$1:$I$89,3,0)*VLOOKUP('Données projet'!$B$12,Paramètres!$A$1:$I$89,5,0)</f>
        <v>72.621353999999997</v>
      </c>
      <c r="CA22" s="13">
        <f t="shared" si="39"/>
        <v>20.323032767751659</v>
      </c>
      <c r="CB22" s="20">
        <f t="shared" si="10"/>
        <v>161.87814028716744</v>
      </c>
      <c r="CC22" s="59">
        <f t="shared" si="11"/>
        <v>441.76702917605633</v>
      </c>
      <c r="CD22" s="59">
        <f ca="1">AVERAGE(OFFSET($CC$3,0,0,'Données projet'!$E$12+1,1))-AVERAGE(OFFSET($H$3,0,0,'Données projet'!$E$12+1,1))</f>
        <v>449.28947235329758</v>
      </c>
      <c r="CE22" s="59">
        <f t="shared" si="40"/>
        <v>289.36994109443964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47.400000000000006</v>
      </c>
      <c r="CU22" s="17">
        <f>CT22*VLOOKUP('Données projet'!$B$13,Paramètres!$A$1:$I$89,3,0)*VLOOKUP('Données projet'!$B$13,Paramètres!$A$1:$I$89,5,0)</f>
        <v>41.408640000000005</v>
      </c>
      <c r="CV22" s="13">
        <f t="shared" si="41"/>
        <v>12.371251711099637</v>
      </c>
      <c r="CW22" s="20">
        <f t="shared" si="13"/>
        <v>93.666644730165203</v>
      </c>
      <c r="CX22" s="59">
        <f t="shared" si="14"/>
        <v>373.55553361905407</v>
      </c>
      <c r="CY22" s="59">
        <f ca="1">AVERAGE(OFFSET($CX$3,0,0,'Données projet'!$E$13+1,1))-AVERAGE(OFFSET($H$3,0,0,'Données projet'!$E$13+1,1))</f>
        <v>261.93797831021766</v>
      </c>
      <c r="CZ22" s="59">
        <f t="shared" si="42"/>
        <v>256.90876395053073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5.0894117647058819</v>
      </c>
      <c r="N23" s="13">
        <f>IF('Données projet'!$A$36&gt;35,N22+M23-V22,IF(A23&lt;'Données projet'!$A$36,$K$205^A23,IF(A23='Données projet'!$A$36,'Données projet'!$B$36,N22+M23-V22)))</f>
        <v>20.727969860328756</v>
      </c>
      <c r="O23" s="13">
        <f>N23*VLOOKUP('Données projet'!$B$9,Paramètres!$A$1:$I$89,3,0)*VLOOKUP('Données projet'!$B$9,Paramètres!$A$1:$I$89,5,0)</f>
        <v>18.754667129625457</v>
      </c>
      <c r="P23" s="13">
        <f t="shared" si="33"/>
        <v>6.1442870326384318</v>
      </c>
      <c r="Q23" s="20">
        <f t="shared" si="2"/>
        <v>43.365678499276271</v>
      </c>
      <c r="R23" s="59">
        <f t="shared" si="0"/>
        <v>324.47678961038741</v>
      </c>
      <c r="S23" s="59">
        <f ca="1">AVERAGE(OFFSET($R$3,0,0,'Données projet'!$E$9+1,1))-AVERAGE(OFFSET($H$3,0,0,'Données projet'!$E$9+1,1))</f>
        <v>695.0879239758051</v>
      </c>
      <c r="T23" s="59">
        <f t="shared" si="34"/>
        <v>226.22150997227476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4.9119354838709679</v>
      </c>
      <c r="AI23" s="13">
        <f>IF('Données projet'!$A$62&gt;35,AI22+AH23-AQ22,IF(A23&lt;'Données projet'!$A$62,$AF$205^A23,IF(A23='Données projet'!$A$62,'Données projet'!$B$62,AI22+AH23-AQ22)))</f>
        <v>25.594007263392744</v>
      </c>
      <c r="AJ23" s="13">
        <f>AI23*VLOOKUP('Données projet'!$B$10,Paramètres!$A$1:$I$89,3,0)*VLOOKUP('Données projet'!$B$10,Paramètres!$A$1:$I$89,5,0)</f>
        <v>21.560391718682048</v>
      </c>
      <c r="AK23" s="13">
        <f t="shared" si="35"/>
        <v>6.949780340411313</v>
      </c>
      <c r="AL23" s="20">
        <f t="shared" si="4"/>
        <v>49.655216336254263</v>
      </c>
      <c r="AM23" s="59">
        <f t="shared" si="5"/>
        <v>330.76632744736543</v>
      </c>
      <c r="AN23" s="59">
        <f ca="1">AVERAGE(OFFSET($AM$3,0,0,'Données projet'!$E$10+1,1))-AVERAGE(OFFSET($H$3,0,0,'Données projet'!$E$10+1,1))</f>
        <v>424.81155998881928</v>
      </c>
      <c r="AO23" s="59">
        <f t="shared" si="36"/>
        <v>277.34430416544575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83.032114285714343</v>
      </c>
      <c r="BF23" s="13">
        <f t="shared" si="37"/>
        <v>22.876939092662138</v>
      </c>
      <c r="BG23" s="20">
        <f t="shared" si="7"/>
        <v>184.45826796733903</v>
      </c>
      <c r="BH23" s="59">
        <f t="shared" si="8"/>
        <v>465.5693790784502</v>
      </c>
      <c r="BI23" s="59">
        <f ca="1">AVERAGE(OFFSET($BH$3,0,0,'Données projet'!$E$11+1,1))-AVERAGE(OFFSET($H$3,0,0,'Données projet'!$E$11+1,1))</f>
        <v>706.69239849991595</v>
      </c>
      <c r="BJ23" s="59">
        <f t="shared" si="38"/>
        <v>310.59887275116529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4.016578947368421</v>
      </c>
      <c r="BY23" s="12">
        <f>IF('Données projet'!$A$114&gt;35,BY22+BX23-CG22,IF(A23&lt;'Données projet'!$A$114,$BV$205^A23,IF(A23='Données projet'!$A$114,'Données projet'!$B$114,BY22+BX23-CG22)))</f>
        <v>80.331578947368413</v>
      </c>
      <c r="BZ23" s="13">
        <f>BY23*VLOOKUP('Données projet'!$B$12,Paramètres!$A$1:$I$89,3,0)*VLOOKUP('Données projet'!$B$12,Paramètres!$A$1:$I$89,5,0)</f>
        <v>76.443530526315783</v>
      </c>
      <c r="CA23" s="13">
        <f t="shared" si="39"/>
        <v>21.265320852361398</v>
      </c>
      <c r="CB23" s="20">
        <f t="shared" si="10"/>
        <v>170.17624948452939</v>
      </c>
      <c r="CC23" s="59">
        <f t="shared" si="11"/>
        <v>451.28736059564051</v>
      </c>
      <c r="CD23" s="59">
        <f ca="1">AVERAGE(OFFSET($CC$3,0,0,'Données projet'!$E$12+1,1))-AVERAGE(OFFSET($H$3,0,0,'Données projet'!$E$12+1,1))</f>
        <v>449.28947235329758</v>
      </c>
      <c r="CE23" s="59">
        <f t="shared" si="40"/>
        <v>289.36994109443964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57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57.000000000000007</v>
      </c>
      <c r="CU23" s="17">
        <f>CT23*VLOOKUP('Données projet'!$B$13,Paramètres!$A$1:$I$89,3,0)*VLOOKUP('Données projet'!$B$13,Paramètres!$A$1:$I$89,5,0)</f>
        <v>49.795200000000008</v>
      </c>
      <c r="CV23" s="13">
        <f t="shared" si="41"/>
        <v>14.560856542690781</v>
      </c>
      <c r="CW23" s="20">
        <f t="shared" si="13"/>
        <v>112.08679847851981</v>
      </c>
      <c r="CX23" s="59">
        <f t="shared" si="14"/>
        <v>393.19790958963097</v>
      </c>
      <c r="CY23" s="59">
        <f ca="1">AVERAGE(OFFSET($CX$3,0,0,'Données projet'!$E$13+1,1))-AVERAGE(OFFSET($H$3,0,0,'Données projet'!$E$13+1,1))</f>
        <v>261.93797831021766</v>
      </c>
      <c r="CZ23" s="59">
        <f t="shared" si="42"/>
        <v>256.90876395053073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2.6765881483138987</v>
      </c>
      <c r="DH23" s="21">
        <f>EXP(-LN(2)/2)*DH22+(1-EXP(-LN(2)/2))/(LN(2)/2)*DB23*DE23*VLOOKUP('Données projet'!$B$13,Paramètres!$A$1:$I$89,3,0)*0.475*44/12</f>
        <v>4.3273918411461532</v>
      </c>
      <c r="DI23" s="22">
        <f t="shared" si="15"/>
        <v>7.0039799894600518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5.0894117647058819</v>
      </c>
      <c r="N24" s="13">
        <f>IF('Données projet'!$A$36&gt;35,N23+M24-V23,IF(A24&lt;'Données projet'!$A$36,$K$205^A24,IF(A24='Données projet'!$A$36,'Données projet'!$B$36,N23+M24-V23)))</f>
        <v>24.120405624722682</v>
      </c>
      <c r="O24" s="13">
        <f>N24*VLOOKUP('Données projet'!$B$9,Paramètres!$A$1:$I$89,3,0)*VLOOKUP('Données projet'!$B$9,Paramètres!$A$1:$I$89,5,0)</f>
        <v>21.824143009249081</v>
      </c>
      <c r="P24" s="13">
        <f t="shared" si="33"/>
        <v>7.0248486812269384</v>
      </c>
      <c r="Q24" s="20">
        <f t="shared" si="2"/>
        <v>50.245327194245732</v>
      </c>
      <c r="R24" s="59">
        <f t="shared" si="0"/>
        <v>332.57866052757902</v>
      </c>
      <c r="S24" s="59">
        <f ca="1">AVERAGE(OFFSET($R$3,0,0,'Données projet'!$E$9+1,1))-AVERAGE(OFFSET($H$3,0,0,'Données projet'!$E$9+1,1))</f>
        <v>695.0879239758051</v>
      </c>
      <c r="T24" s="59">
        <f t="shared" si="34"/>
        <v>226.22150997227476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4.9119354838709679</v>
      </c>
      <c r="AI24" s="13">
        <f>IF('Données projet'!$A$62&gt;35,AI23+AH24-AQ23,IF(A24&lt;'Données projet'!$A$62,$AF$205^A24,IF(A24='Données projet'!$A$62,'Données projet'!$B$62,AI23+AH24-AQ23)))</f>
        <v>30.098524314256156</v>
      </c>
      <c r="AJ24" s="13">
        <f>AI24*VLOOKUP('Données projet'!$B$10,Paramètres!$A$1:$I$89,3,0)*VLOOKUP('Données projet'!$B$10,Paramètres!$A$1:$I$89,5,0)</f>
        <v>25.354996882329388</v>
      </c>
      <c r="AK24" s="13">
        <f t="shared" si="35"/>
        <v>8.0201525276394197</v>
      </c>
      <c r="AL24" s="20">
        <f t="shared" si="4"/>
        <v>58.12838522236234</v>
      </c>
      <c r="AM24" s="59">
        <f t="shared" si="5"/>
        <v>340.46171855569565</v>
      </c>
      <c r="AN24" s="59">
        <f ca="1">AVERAGE(OFFSET($AM$3,0,0,'Données projet'!$E$10+1,1))-AVERAGE(OFFSET($H$3,0,0,'Données projet'!$E$10+1,1))</f>
        <v>424.81155998881928</v>
      </c>
      <c r="AO24" s="59">
        <f t="shared" si="36"/>
        <v>277.34430416544575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87.183720000000051</v>
      </c>
      <c r="BF24" s="13">
        <f t="shared" si="37"/>
        <v>23.884754436357664</v>
      </c>
      <c r="BG24" s="20">
        <f t="shared" si="7"/>
        <v>193.44425964332299</v>
      </c>
      <c r="BH24" s="59">
        <f t="shared" si="8"/>
        <v>475.77759297665631</v>
      </c>
      <c r="BI24" s="59">
        <f ca="1">AVERAGE(OFFSET($BH$3,0,0,'Données projet'!$E$11+1,1))-AVERAGE(OFFSET($H$3,0,0,'Données projet'!$E$11+1,1))</f>
        <v>706.69239849991595</v>
      </c>
      <c r="BJ24" s="59">
        <f t="shared" si="38"/>
        <v>310.59887275116529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4.016578947368421</v>
      </c>
      <c r="BY24" s="12">
        <f>IF('Données projet'!$A$114&gt;35,BY23+BX24-CG23,IF(A24&lt;'Données projet'!$A$114,$BV$205^A24,IF(A24='Données projet'!$A$114,'Données projet'!$B$114,BY23+BX24-CG23)))</f>
        <v>84.348157894736829</v>
      </c>
      <c r="BZ24" s="13">
        <f>BY24*VLOOKUP('Données projet'!$B$12,Paramètres!$A$1:$I$89,3,0)*VLOOKUP('Données projet'!$B$12,Paramètres!$A$1:$I$89,5,0)</f>
        <v>80.265707052631569</v>
      </c>
      <c r="CA24" s="13">
        <f t="shared" si="39"/>
        <v>22.202138341659698</v>
      </c>
      <c r="CB24" s="20">
        <f t="shared" si="10"/>
        <v>178.46483072839058</v>
      </c>
      <c r="CC24" s="59">
        <f t="shared" si="11"/>
        <v>460.79816406172392</v>
      </c>
      <c r="CD24" s="59">
        <f ca="1">AVERAGE(OFFSET($CC$3,0,0,'Données projet'!$E$12+1,1))-AVERAGE(OFFSET($H$3,0,0,'Données projet'!$E$12+1,1))</f>
        <v>449.28947235329758</v>
      </c>
      <c r="CE24" s="59">
        <f t="shared" si="40"/>
        <v>289.36994109443964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40.185600000000001</v>
      </c>
      <c r="CV24" s="13">
        <f t="shared" si="41"/>
        <v>12.047826945473735</v>
      </c>
      <c r="CW24" s="20">
        <f t="shared" si="13"/>
        <v>90.973218596700079</v>
      </c>
      <c r="CX24" s="59">
        <f t="shared" si="14"/>
        <v>373.30655193003338</v>
      </c>
      <c r="CY24" s="59">
        <f ca="1">AVERAGE(OFFSET($CX$3,0,0,'Données projet'!$E$13+1,1))-AVERAGE(OFFSET($H$3,0,0,'Données projet'!$E$13+1,1))</f>
        <v>261.93797831021766</v>
      </c>
      <c r="CZ24" s="59">
        <f t="shared" si="42"/>
        <v>256.90876395053073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2.6033967046426016</v>
      </c>
      <c r="DH24" s="21">
        <f>EXP(-LN(2)/2)*DH23+(1-EXP(-LN(2)/2))/(LN(2)/2)*DB24*DE24*VLOOKUP('Données projet'!$B$13,Paramètres!$A$1:$I$89,3,0)*0.475*44/12</f>
        <v>3.0599281157257843</v>
      </c>
      <c r="DI24" s="22">
        <f t="shared" si="15"/>
        <v>5.6633248203683859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5.0894117647058819</v>
      </c>
      <c r="N25" s="13">
        <f>IF('Données projet'!$A$36&gt;35,N24+M25-V24,IF(A25&lt;'Données projet'!$A$36,$K$205^A25,IF(A25='Données projet'!$A$36,'Données projet'!$B$36,N24+M25-V24)))</f>
        <v>28.068063173646774</v>
      </c>
      <c r="O25" s="13">
        <f>N25*VLOOKUP('Données projet'!$B$9,Paramètres!$A$1:$I$89,3,0)*VLOOKUP('Données projet'!$B$9,Paramètres!$A$1:$I$89,5,0)</f>
        <v>25.395983559515599</v>
      </c>
      <c r="P25" s="13">
        <f t="shared" si="33"/>
        <v>8.0316070411419194</v>
      </c>
      <c r="Q25" s="20">
        <f t="shared" si="2"/>
        <v>58.219720296145177</v>
      </c>
      <c r="R25" s="59">
        <f t="shared" si="0"/>
        <v>341.77527585170071</v>
      </c>
      <c r="S25" s="59">
        <f ca="1">AVERAGE(OFFSET($R$3,0,0,'Données projet'!$E$9+1,1))-AVERAGE(OFFSET($H$3,0,0,'Données projet'!$E$9+1,1))</f>
        <v>695.0879239758051</v>
      </c>
      <c r="T25" s="59">
        <f t="shared" si="34"/>
        <v>226.22150997227476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4.9119354838709679</v>
      </c>
      <c r="AI25" s="13">
        <f>IF('Données projet'!$A$62&gt;35,AI24+AH25-AQ24,IF(A25&lt;'Données projet'!$A$62,$AF$205^A25,IF(A25='Données projet'!$A$62,'Données projet'!$B$62,AI24+AH25-AQ24)))</f>
        <v>35.395831398063777</v>
      </c>
      <c r="AJ25" s="13">
        <f>AI25*VLOOKUP('Données projet'!$B$10,Paramètres!$A$1:$I$89,3,0)*VLOOKUP('Données projet'!$B$10,Paramètres!$A$1:$I$89,5,0)</f>
        <v>29.817448369728929</v>
      </c>
      <c r="AK25" s="13">
        <f t="shared" si="35"/>
        <v>9.2553783595977794</v>
      </c>
      <c r="AL25" s="20">
        <f t="shared" si="4"/>
        <v>68.05183988691067</v>
      </c>
      <c r="AM25" s="59">
        <f t="shared" si="5"/>
        <v>351.60739544246621</v>
      </c>
      <c r="AN25" s="59">
        <f ca="1">AVERAGE(OFFSET($AM$3,0,0,'Données projet'!$E$10+1,1))-AVERAGE(OFFSET($H$3,0,0,'Données projet'!$E$10+1,1))</f>
        <v>424.81155998881928</v>
      </c>
      <c r="AO25" s="59">
        <f t="shared" si="36"/>
        <v>277.34430416544575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91.335325714285773</v>
      </c>
      <c r="BF25" s="13">
        <f t="shared" si="37"/>
        <v>24.886996832891736</v>
      </c>
      <c r="BG25" s="20">
        <f t="shared" si="7"/>
        <v>202.42054510300082</v>
      </c>
      <c r="BH25" s="59">
        <f t="shared" si="8"/>
        <v>485.97610065855633</v>
      </c>
      <c r="BI25" s="59">
        <f ca="1">AVERAGE(OFFSET($BH$3,0,0,'Données projet'!$E$11+1,1))-AVERAGE(OFFSET($H$3,0,0,'Données projet'!$E$11+1,1))</f>
        <v>706.69239849991595</v>
      </c>
      <c r="BJ25" s="59">
        <f t="shared" si="38"/>
        <v>310.59887275116529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4.016578947368421</v>
      </c>
      <c r="BY25" s="12">
        <f>IF('Données projet'!$A$114&gt;35,BY24+BX25-CG24,IF(A25&lt;'Données projet'!$A$114,$BV$205^A25,IF(A25='Données projet'!$A$114,'Données projet'!$B$114,BY24+BX25-CG24)))</f>
        <v>88.364736842105245</v>
      </c>
      <c r="BZ25" s="13">
        <f>BY25*VLOOKUP('Données projet'!$B$12,Paramètres!$A$1:$I$89,3,0)*VLOOKUP('Données projet'!$B$12,Paramètres!$A$1:$I$89,5,0)</f>
        <v>84.087883578947356</v>
      </c>
      <c r="CA25" s="13">
        <f t="shared" si="39"/>
        <v>23.133775482791631</v>
      </c>
      <c r="CB25" s="20">
        <f t="shared" si="10"/>
        <v>186.74438953252874</v>
      </c>
      <c r="CC25" s="59">
        <f t="shared" si="11"/>
        <v>470.29994508808431</v>
      </c>
      <c r="CD25" s="59">
        <f ca="1">AVERAGE(OFFSET($CC$3,0,0,'Données projet'!$E$12+1,1))-AVERAGE(OFFSET($H$3,0,0,'Données projet'!$E$12+1,1))</f>
        <v>449.28947235329758</v>
      </c>
      <c r="CE25" s="59">
        <f t="shared" si="40"/>
        <v>289.36994109443964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48.921600000000005</v>
      </c>
      <c r="CV25" s="13">
        <f t="shared" si="41"/>
        <v>14.334905731333867</v>
      </c>
      <c r="CW25" s="20">
        <f t="shared" si="13"/>
        <v>110.17174748207316</v>
      </c>
      <c r="CX25" s="59">
        <f t="shared" si="14"/>
        <v>393.7273030376287</v>
      </c>
      <c r="CY25" s="59">
        <f ca="1">AVERAGE(OFFSET($CX$3,0,0,'Données projet'!$E$13+1,1))-AVERAGE(OFFSET($H$3,0,0,'Données projet'!$E$13+1,1))</f>
        <v>261.93797831021766</v>
      </c>
      <c r="CZ25" s="59">
        <f t="shared" si="42"/>
        <v>256.90876395053073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2.5322066848474671</v>
      </c>
      <c r="DH25" s="21">
        <f>EXP(-LN(2)/2)*DH24+(1-EXP(-LN(2)/2))/(LN(2)/2)*DB25*DE25*VLOOKUP('Données projet'!$B$13,Paramètres!$A$1:$I$89,3,0)*0.475*44/12</f>
        <v>2.163695920573077</v>
      </c>
      <c r="DI25" s="22">
        <f t="shared" si="15"/>
        <v>4.6959026054205442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5.0894117647058819</v>
      </c>
      <c r="N26" s="13">
        <f>IF('Données projet'!$A$36&gt;35,N25+M26-V25,IF(A26&lt;'Données projet'!$A$36,$K$205^A26,IF(A26='Données projet'!$A$36,'Données projet'!$B$36,N25+M26-V25)))</f>
        <v>32.66181268163826</v>
      </c>
      <c r="O26" s="13">
        <f>N26*VLOOKUP('Données projet'!$B$9,Paramètres!$A$1:$I$89,3,0)*VLOOKUP('Données projet'!$B$9,Paramètres!$A$1:$I$89,5,0)</f>
        <v>29.552408114346299</v>
      </c>
      <c r="P26" s="13">
        <f t="shared" si="33"/>
        <v>9.1826478534273477</v>
      </c>
      <c r="Q26" s="20">
        <f t="shared" si="2"/>
        <v>67.463555810539106</v>
      </c>
      <c r="R26" s="59">
        <f t="shared" si="0"/>
        <v>352.24133358831688</v>
      </c>
      <c r="S26" s="59">
        <f ca="1">AVERAGE(OFFSET($R$3,0,0,'Données projet'!$E$9+1,1))-AVERAGE(OFFSET($H$3,0,0,'Données projet'!$E$9+1,1))</f>
        <v>695.0879239758051</v>
      </c>
      <c r="T26" s="59">
        <f t="shared" si="34"/>
        <v>226.22150997227476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4.9119354838709679</v>
      </c>
      <c r="AI26" s="13">
        <f>IF('Données projet'!$A$62&gt;35,AI25+AH26-AQ25,IF(A26&lt;'Données projet'!$A$62,$AF$205^A26,IF(A26='Données projet'!$A$62,'Données projet'!$B$62,AI25+AH26-AQ25)))</f>
        <v>41.625458686249885</v>
      </c>
      <c r="AJ26" s="13">
        <f>AI26*VLOOKUP('Données projet'!$B$10,Paramètres!$A$1:$I$89,3,0)*VLOOKUP('Données projet'!$B$10,Paramètres!$A$1:$I$89,5,0)</f>
        <v>35.065286397296909</v>
      </c>
      <c r="AK26" s="13">
        <f t="shared" si="35"/>
        <v>10.68084781232009</v>
      </c>
      <c r="AL26" s="20">
        <f t="shared" si="4"/>
        <v>79.674517081749613</v>
      </c>
      <c r="AM26" s="59">
        <f t="shared" si="5"/>
        <v>364.4522948595274</v>
      </c>
      <c r="AN26" s="59">
        <f ca="1">AVERAGE(OFFSET($AM$3,0,0,'Données projet'!$E$10+1,1))-AVERAGE(OFFSET($H$3,0,0,'Données projet'!$E$10+1,1))</f>
        <v>424.81155998881928</v>
      </c>
      <c r="AO26" s="59">
        <f t="shared" si="36"/>
        <v>277.34430416544575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95.486931428571495</v>
      </c>
      <c r="BF26" s="13">
        <f t="shared" si="37"/>
        <v>25.883948535791781</v>
      </c>
      <c r="BG26" s="20">
        <f t="shared" si="7"/>
        <v>211.38761593793268</v>
      </c>
      <c r="BH26" s="59">
        <f t="shared" si="8"/>
        <v>496.16539371571048</v>
      </c>
      <c r="BI26" s="59">
        <f ca="1">AVERAGE(OFFSET($BH$3,0,0,'Données projet'!$E$11+1,1))-AVERAGE(OFFSET($H$3,0,0,'Données projet'!$E$11+1,1))</f>
        <v>706.69239849991595</v>
      </c>
      <c r="BJ26" s="59">
        <f t="shared" si="38"/>
        <v>310.59887275116529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4.016578947368421</v>
      </c>
      <c r="BY26" s="12">
        <f>IF('Données projet'!$A$114&gt;35,BY25+BX26-CG25,IF(A26&lt;'Données projet'!$A$114,$BV$205^A26,IF(A26='Données projet'!$A$114,'Données projet'!$B$114,BY25+BX26-CG25)))</f>
        <v>92.381315789473661</v>
      </c>
      <c r="BZ26" s="13">
        <f>BY26*VLOOKUP('Données projet'!$B$12,Paramètres!$A$1:$I$89,3,0)*VLOOKUP('Données projet'!$B$12,Paramètres!$A$1:$I$89,5,0)</f>
        <v>87.910060105263142</v>
      </c>
      <c r="CA26" s="13">
        <f t="shared" si="39"/>
        <v>24.060494645289975</v>
      </c>
      <c r="CB26" s="20">
        <f t="shared" si="10"/>
        <v>195.01538285721335</v>
      </c>
      <c r="CC26" s="59">
        <f t="shared" si="11"/>
        <v>479.79316063499112</v>
      </c>
      <c r="CD26" s="59">
        <f ca="1">AVERAGE(OFFSET($CC$3,0,0,'Données projet'!$E$12+1,1))-AVERAGE(OFFSET($H$3,0,0,'Données projet'!$E$12+1,1))</f>
        <v>449.28947235329758</v>
      </c>
      <c r="CE26" s="59">
        <f t="shared" si="40"/>
        <v>289.36994109443964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57.657600000000002</v>
      </c>
      <c r="CV26" s="13">
        <f t="shared" si="41"/>
        <v>16.574671209026025</v>
      </c>
      <c r="CW26" s="20">
        <f t="shared" si="13"/>
        <v>129.28787235572034</v>
      </c>
      <c r="CX26" s="59">
        <f t="shared" si="14"/>
        <v>414.06565013349814</v>
      </c>
      <c r="CY26" s="59">
        <f ca="1">AVERAGE(OFFSET($CX$3,0,0,'Données projet'!$E$13+1,1))-AVERAGE(OFFSET($H$3,0,0,'Données projet'!$E$13+1,1))</f>
        <v>261.93797831021766</v>
      </c>
      <c r="CZ26" s="59">
        <f t="shared" si="42"/>
        <v>256.90876395053073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2.4629633598873508</v>
      </c>
      <c r="DH26" s="21">
        <f>EXP(-LN(2)/2)*DH25+(1-EXP(-LN(2)/2))/(LN(2)/2)*DB26*DE26*VLOOKUP('Données projet'!$B$13,Paramètres!$A$1:$I$89,3,0)*0.475*44/12</f>
        <v>1.5299640578628924</v>
      </c>
      <c r="DI26" s="22">
        <f t="shared" si="15"/>
        <v>3.9929274177502432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5.0894117647058819</v>
      </c>
      <c r="N27" s="13">
        <f>IF('Données projet'!$A$36&gt;35,N26+M27-V26,IF(A27&lt;'Données projet'!$A$36,$K$205^A27,IF(A27='Données projet'!$A$36,'Données projet'!$B$36,N26+M27-V26)))</f>
        <v>38.007396557808917</v>
      </c>
      <c r="O27" s="13">
        <f>N27*VLOOKUP('Données projet'!$B$9,Paramètres!$A$1:$I$89,3,0)*VLOOKUP('Données projet'!$B$9,Paramètres!$A$1:$I$89,5,0)</f>
        <v>34.389092405505508</v>
      </c>
      <c r="P27" s="13">
        <f t="shared" si="33"/>
        <v>10.498648796949267</v>
      </c>
      <c r="Q27" s="20">
        <f t="shared" si="2"/>
        <v>78.179482594275399</v>
      </c>
      <c r="R27" s="59">
        <f t="shared" si="0"/>
        <v>364.17948259427538</v>
      </c>
      <c r="S27" s="59">
        <f ca="1">AVERAGE(OFFSET($R$3,0,0,'Données projet'!$E$9+1,1))-AVERAGE(OFFSET($H$3,0,0,'Données projet'!$E$9+1,1))</f>
        <v>695.0879239758051</v>
      </c>
      <c r="T27" s="59">
        <f t="shared" si="34"/>
        <v>226.22150997227476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4.9119354838709679</v>
      </c>
      <c r="AI27" s="13">
        <f>IF('Données projet'!$A$62&gt;35,AI26+AH27-AQ26,IF(A27&lt;'Données projet'!$A$62,$AF$205^A27,IF(A27='Données projet'!$A$62,'Données projet'!$B$62,AI26+AH27-AQ26)))</f>
        <v>48.951493506534135</v>
      </c>
      <c r="AJ27" s="13">
        <f>AI27*VLOOKUP('Données projet'!$B$10,Paramètres!$A$1:$I$89,3,0)*VLOOKUP('Données projet'!$B$10,Paramètres!$A$1:$I$89,5,0)</f>
        <v>41.23673812990436</v>
      </c>
      <c r="AK27" s="13">
        <f t="shared" si="35"/>
        <v>12.325861305458343</v>
      </c>
      <c r="AL27" s="20">
        <f t="shared" si="4"/>
        <v>93.288194016590026</v>
      </c>
      <c r="AM27" s="59">
        <f t="shared" si="5"/>
        <v>379.28819401659001</v>
      </c>
      <c r="AN27" s="59">
        <f ca="1">AVERAGE(OFFSET($AM$3,0,0,'Données projet'!$E$10+1,1))-AVERAGE(OFFSET($H$3,0,0,'Données projet'!$E$10+1,1))</f>
        <v>424.81155998881928</v>
      </c>
      <c r="AO27" s="59">
        <f t="shared" si="36"/>
        <v>277.34430416544575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99.638537142857203</v>
      </c>
      <c r="BF27" s="13">
        <f t="shared" si="37"/>
        <v>26.875865866848134</v>
      </c>
      <c r="BG27" s="20">
        <f t="shared" si="7"/>
        <v>220.34591857523677</v>
      </c>
      <c r="BH27" s="59">
        <f t="shared" si="8"/>
        <v>506.34591857523674</v>
      </c>
      <c r="BI27" s="59">
        <f ca="1">AVERAGE(OFFSET($BH$3,0,0,'Données projet'!$E$11+1,1))-AVERAGE(OFFSET($H$3,0,0,'Données projet'!$E$11+1,1))</f>
        <v>706.69239849991595</v>
      </c>
      <c r="BJ27" s="59">
        <f t="shared" si="38"/>
        <v>310.59887275116529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4.016578947368421</v>
      </c>
      <c r="BY27" s="12">
        <f>IF('Données projet'!$A$114&gt;35,BY26+BX27-CG26,IF(A27&lt;'Données projet'!$A$114,$BV$205^A27,IF(A27='Données projet'!$A$114,'Données projet'!$B$114,BY26+BX27-CG26)))</f>
        <v>96.397894736842076</v>
      </c>
      <c r="BZ27" s="13">
        <f>BY27*VLOOKUP('Données projet'!$B$12,Paramètres!$A$1:$I$89,3,0)*VLOOKUP('Données projet'!$B$12,Paramètres!$A$1:$I$89,5,0)</f>
        <v>91.732236631578928</v>
      </c>
      <c r="CA27" s="13">
        <f t="shared" si="39"/>
        <v>24.982534093770941</v>
      </c>
      <c r="CB27" s="20">
        <f t="shared" si="10"/>
        <v>203.27822567998433</v>
      </c>
      <c r="CC27" s="59">
        <f t="shared" si="11"/>
        <v>489.2782256799843</v>
      </c>
      <c r="CD27" s="59">
        <f ca="1">AVERAGE(OFFSET($CC$3,0,0,'Données projet'!$E$12+1,1))-AVERAGE(OFFSET($H$3,0,0,'Données projet'!$E$12+1,1))</f>
        <v>449.28947235329758</v>
      </c>
      <c r="CE27" s="59">
        <f t="shared" si="40"/>
        <v>289.36994109443964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66.393600000000006</v>
      </c>
      <c r="CV27" s="13">
        <f t="shared" si="41"/>
        <v>18.775122997078544</v>
      </c>
      <c r="CW27" s="20">
        <f t="shared" si="13"/>
        <v>148.33552588657844</v>
      </c>
      <c r="CX27" s="59">
        <f t="shared" si="14"/>
        <v>434.33552588657847</v>
      </c>
      <c r="CY27" s="59">
        <f ca="1">AVERAGE(OFFSET($CX$3,0,0,'Données projet'!$E$13+1,1))-AVERAGE(OFFSET($H$3,0,0,'Données projet'!$E$13+1,1))</f>
        <v>261.93797831021766</v>
      </c>
      <c r="CZ27" s="59">
        <f t="shared" si="42"/>
        <v>256.90876395053073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2.3956134972896175</v>
      </c>
      <c r="DH27" s="21">
        <f>EXP(-LN(2)/2)*DH26+(1-EXP(-LN(2)/2))/(LN(2)/2)*DB27*DE27*VLOOKUP('Données projet'!$B$13,Paramètres!$A$1:$I$89,3,0)*0.475*44/12</f>
        <v>1.0818479602865387</v>
      </c>
      <c r="DI27" s="22">
        <f t="shared" si="15"/>
        <v>3.4774614575761564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5.0894117647058819</v>
      </c>
      <c r="N28" s="13">
        <f>IF('Données projet'!$A$36&gt;35,N27+M28-V27,IF(A28&lt;'Données projet'!$A$36,$K$205^A28,IF(A28='Données projet'!$A$36,'Données projet'!$B$36,N27+M28-V27)))</f>
        <v>44.227863504790903</v>
      </c>
      <c r="O28" s="13">
        <f>N28*VLOOKUP('Données projet'!$B$9,Paramètres!$A$1:$I$89,3,0)*VLOOKUP('Données projet'!$B$9,Paramètres!$A$1:$I$89,5,0)</f>
        <v>40.017370899134811</v>
      </c>
      <c r="P28" s="13">
        <f t="shared" si="33"/>
        <v>12.003250949076193</v>
      </c>
      <c r="Q28" s="20">
        <f t="shared" si="2"/>
        <v>90.60258305230083</v>
      </c>
      <c r="R28" s="59">
        <f t="shared" si="0"/>
        <v>377.82480527452304</v>
      </c>
      <c r="S28" s="59">
        <f ca="1">AVERAGE(OFFSET($R$3,0,0,'Données projet'!$E$9+1,1))-AVERAGE(OFFSET($H$3,0,0,'Données projet'!$E$9+1,1))</f>
        <v>695.0879239758051</v>
      </c>
      <c r="T28" s="59">
        <f t="shared" si="34"/>
        <v>226.22150997227476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4.9119354838709679</v>
      </c>
      <c r="AI28" s="13">
        <f>IF('Données projet'!$A$62&gt;35,AI27+AH28-AQ27,IF(A28&lt;'Données projet'!$A$62,$AF$205^A28,IF(A28='Données projet'!$A$62,'Données projet'!$B$62,AI27+AH28-AQ27)))</f>
        <v>57.566902375343794</v>
      </c>
      <c r="AJ28" s="13">
        <f>AI28*VLOOKUP('Données projet'!$B$10,Paramètres!$A$1:$I$89,3,0)*VLOOKUP('Données projet'!$B$10,Paramètres!$A$1:$I$89,5,0)</f>
        <v>48.494358560989618</v>
      </c>
      <c r="AK28" s="13">
        <f t="shared" si="35"/>
        <v>14.224231970251598</v>
      </c>
      <c r="AL28" s="20">
        <f t="shared" si="4"/>
        <v>109.23487850857845</v>
      </c>
      <c r="AM28" s="59">
        <f t="shared" si="5"/>
        <v>396.45710073080068</v>
      </c>
      <c r="AN28" s="59">
        <f ca="1">AVERAGE(OFFSET($AM$3,0,0,'Données projet'!$E$10+1,1))-AVERAGE(OFFSET($H$3,0,0,'Données projet'!$E$10+1,1))</f>
        <v>424.81155998881928</v>
      </c>
      <c r="AO28" s="59">
        <f t="shared" si="36"/>
        <v>277.34430416544575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103.79014285714292</v>
      </c>
      <c r="BF28" s="13">
        <f t="shared" si="37"/>
        <v>27.862982579231517</v>
      </c>
      <c r="BG28" s="20">
        <f t="shared" si="7"/>
        <v>229.29586013501878</v>
      </c>
      <c r="BH28" s="59">
        <f t="shared" si="8"/>
        <v>516.51808235724104</v>
      </c>
      <c r="BI28" s="59">
        <f ca="1">AVERAGE(OFFSET($BH$3,0,0,'Données projet'!$E$11+1,1))-AVERAGE(OFFSET($H$3,0,0,'Données projet'!$E$11+1,1))</f>
        <v>706.69239849991595</v>
      </c>
      <c r="BJ28" s="59">
        <f t="shared" si="38"/>
        <v>310.59887275116529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4.016578947368421</v>
      </c>
      <c r="BY28" s="12">
        <f>IF('Données projet'!$A$114&gt;35,BY27+BX28-CG27,IF(A28&lt;'Données projet'!$A$114,$BV$205^A28,IF(A28='Données projet'!$A$114,'Données projet'!$B$114,BY27+BX28-CG27)))</f>
        <v>100.41447368421049</v>
      </c>
      <c r="BZ28" s="13">
        <f>BY28*VLOOKUP('Données projet'!$B$12,Paramètres!$A$1:$I$89,3,0)*VLOOKUP('Données projet'!$B$12,Paramètres!$A$1:$I$89,5,0)</f>
        <v>95.5544131578947</v>
      </c>
      <c r="CA28" s="13">
        <f t="shared" si="39"/>
        <v>25.900111114129121</v>
      </c>
      <c r="CB28" s="20">
        <f t="shared" si="10"/>
        <v>211.53329644044149</v>
      </c>
      <c r="CC28" s="59">
        <f t="shared" si="11"/>
        <v>498.75551866266369</v>
      </c>
      <c r="CD28" s="59">
        <f ca="1">AVERAGE(OFFSET($CC$3,0,0,'Données projet'!$E$12+1,1))-AVERAGE(OFFSET($H$3,0,0,'Données projet'!$E$12+1,1))</f>
        <v>449.28947235329758</v>
      </c>
      <c r="CE28" s="59">
        <f t="shared" si="40"/>
        <v>289.36994109443964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75.129600000000011</v>
      </c>
      <c r="CV28" s="13">
        <f t="shared" si="41"/>
        <v>20.942027818647581</v>
      </c>
      <c r="CW28" s="20">
        <f t="shared" si="13"/>
        <v>167.32475178414452</v>
      </c>
      <c r="CX28" s="59">
        <f t="shared" si="14"/>
        <v>454.54697400636678</v>
      </c>
      <c r="CY28" s="59">
        <f ca="1">AVERAGE(OFFSET($CX$3,0,0,'Données projet'!$E$13+1,1))-AVERAGE(OFFSET($H$3,0,0,'Données projet'!$E$13+1,1))</f>
        <v>261.93797831021766</v>
      </c>
      <c r="CZ28" s="59">
        <f t="shared" si="42"/>
        <v>256.90876395053073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5.0066934685402931</v>
      </c>
      <c r="DH28" s="21">
        <f>EXP(-LN(2)/2)*DH27+(1-EXP(-LN(2)/2))/(LN(2)/2)*DB28*DE28*VLOOKUP('Données projet'!$B$13,Paramètres!$A$1:$I$89,3,0)*0.475*44/12</f>
        <v>5.0923738700775996</v>
      </c>
      <c r="DI28" s="22">
        <f t="shared" si="15"/>
        <v>10.099067338617893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5.0894117647058819</v>
      </c>
      <c r="N29" s="13">
        <f>IF('Données projet'!$A$36&gt;35,N28+M29-V28,IF(A29&lt;'Données projet'!$A$36,$K$205^A29,IF(A29='Données projet'!$A$36,'Données projet'!$B$36,N28+M29-V28)))</f>
        <v>51.466400947068237</v>
      </c>
      <c r="O29" s="13">
        <f>N29*VLOOKUP('Données projet'!$B$9,Paramètres!$A$1:$I$89,3,0)*VLOOKUP('Données projet'!$B$9,Paramètres!$A$1:$I$89,5,0)</f>
        <v>46.566799576907343</v>
      </c>
      <c r="P29" s="13">
        <f t="shared" si="33"/>
        <v>13.723483481832947</v>
      </c>
      <c r="Q29" s="20">
        <f t="shared" si="2"/>
        <v>105.005576327306</v>
      </c>
      <c r="R29" s="59">
        <f t="shared" si="0"/>
        <v>393.45002077175047</v>
      </c>
      <c r="S29" s="59">
        <f ca="1">AVERAGE(OFFSET($R$3,0,0,'Données projet'!$E$9+1,1))-AVERAGE(OFFSET($H$3,0,0,'Données projet'!$E$9+1,1))</f>
        <v>695.0879239758051</v>
      </c>
      <c r="T29" s="59">
        <f t="shared" si="34"/>
        <v>226.22150997227476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4.9119354838709679</v>
      </c>
      <c r="AI29" s="13">
        <f>IF('Données projet'!$A$62&gt;35,AI28+AH29-AQ28,IF(A29&lt;'Données projet'!$A$62,$AF$205^A29,IF(A29='Données projet'!$A$62,'Données projet'!$B$62,AI28+AH29-AQ28)))</f>
        <v>67.698613703175596</v>
      </c>
      <c r="AJ29" s="13">
        <f>AI29*VLOOKUP('Données projet'!$B$10,Paramètres!$A$1:$I$89,3,0)*VLOOKUP('Données projet'!$B$10,Paramètres!$A$1:$I$89,5,0)</f>
        <v>57.029312183555128</v>
      </c>
      <c r="AK29" s="13">
        <f t="shared" si="35"/>
        <v>16.414980675949117</v>
      </c>
      <c r="AL29" s="20">
        <f t="shared" si="4"/>
        <v>127.91547673030321</v>
      </c>
      <c r="AM29" s="59">
        <f t="shared" si="5"/>
        <v>416.35992117474768</v>
      </c>
      <c r="AN29" s="59">
        <f ca="1">AVERAGE(OFFSET($AM$3,0,0,'Données projet'!$E$10+1,1))-AVERAGE(OFFSET($H$3,0,0,'Données projet'!$E$10+1,1))</f>
        <v>424.81155998881928</v>
      </c>
      <c r="AO29" s="59">
        <f t="shared" si="36"/>
        <v>277.34430416544575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107.94174857142863</v>
      </c>
      <c r="BF29" s="13">
        <f t="shared" si="37"/>
        <v>28.845512667364968</v>
      </c>
      <c r="BG29" s="20">
        <f t="shared" si="7"/>
        <v>238.23781332423221</v>
      </c>
      <c r="BH29" s="59">
        <f t="shared" si="8"/>
        <v>526.68225776867666</v>
      </c>
      <c r="BI29" s="59">
        <f ca="1">AVERAGE(OFFSET($BH$3,0,0,'Données projet'!$E$11+1,1))-AVERAGE(OFFSET($H$3,0,0,'Données projet'!$E$11+1,1))</f>
        <v>706.69239849991595</v>
      </c>
      <c r="BJ29" s="59">
        <f t="shared" si="38"/>
        <v>310.59887275116529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4.016578947368421</v>
      </c>
      <c r="BY29" s="12">
        <f>IF('Données projet'!$A$114&gt;35,BY28+BX29-CG28,IF(A29&lt;'Données projet'!$A$114,$BV$205^A29,IF(A29='Données projet'!$A$114,'Données projet'!$B$114,BY28+BX29-CG28)))</f>
        <v>104.43105263157891</v>
      </c>
      <c r="BZ29" s="13">
        <f>BY29*VLOOKUP('Données projet'!$B$12,Paramètres!$A$1:$I$89,3,0)*VLOOKUP('Données projet'!$B$12,Paramètres!$A$1:$I$89,5,0)</f>
        <v>99.376589684210487</v>
      </c>
      <c r="CA29" s="13">
        <f t="shared" si="39"/>
        <v>26.813424625461547</v>
      </c>
      <c r="CB29" s="20">
        <f t="shared" si="10"/>
        <v>219.78094158934547</v>
      </c>
      <c r="CC29" s="59">
        <f t="shared" si="11"/>
        <v>508.22538603378996</v>
      </c>
      <c r="CD29" s="59">
        <f ca="1">AVERAGE(OFFSET($CC$3,0,0,'Données projet'!$E$12+1,1))-AVERAGE(OFFSET($H$3,0,0,'Données projet'!$E$12+1,1))</f>
        <v>449.28947235329758</v>
      </c>
      <c r="CE29" s="59">
        <f t="shared" si="40"/>
        <v>289.36994109443964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65.345280000000017</v>
      </c>
      <c r="CV29" s="13">
        <f t="shared" si="41"/>
        <v>18.512938248561991</v>
      </c>
      <c r="CW29" s="20">
        <f t="shared" si="13"/>
        <v>146.05306344957884</v>
      </c>
      <c r="CX29" s="59">
        <f t="shared" si="14"/>
        <v>434.49750789402333</v>
      </c>
      <c r="CY29" s="59">
        <f ca="1">AVERAGE(OFFSET($CX$3,0,0,'Données projet'!$E$13+1,1))-AVERAGE(OFFSET($H$3,0,0,'Données projet'!$E$13+1,1))</f>
        <v>261.93797831021766</v>
      </c>
      <c r="CZ29" s="59">
        <f t="shared" si="42"/>
        <v>256.90876395053073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4.8697851723524925</v>
      </c>
      <c r="DH29" s="21">
        <f>EXP(-LN(2)/2)*DH28+(1-EXP(-LN(2)/2))/(LN(2)/2)*DB29*DE29*VLOOKUP('Données projet'!$B$13,Paramètres!$A$1:$I$89,3,0)*0.475*44/12</f>
        <v>3.6008520958690537</v>
      </c>
      <c r="DI29" s="22">
        <f t="shared" si="15"/>
        <v>8.4706372682215463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5.0894117647058819</v>
      </c>
      <c r="N30" s="13">
        <f>IF('Données projet'!$A$36&gt;35,N29+M30-V29,IF(A30&lt;'Données projet'!$A$36,$K$205^A30,IF(A30='Données projet'!$A$36,'Données projet'!$B$36,N29+M30-V29)))</f>
        <v>59.889631027676955</v>
      </c>
      <c r="O30" s="13">
        <f>N30*VLOOKUP('Données projet'!$B$9,Paramètres!$A$1:$I$89,3,0)*VLOOKUP('Données projet'!$B$9,Paramètres!$A$1:$I$89,5,0)</f>
        <v>54.188138153842111</v>
      </c>
      <c r="P30" s="13">
        <f t="shared" si="33"/>
        <v>15.690249222910433</v>
      </c>
      <c r="Q30" s="20">
        <f t="shared" si="2"/>
        <v>121.70485801451069</v>
      </c>
      <c r="R30" s="59">
        <f t="shared" si="0"/>
        <v>411.37152468117739</v>
      </c>
      <c r="S30" s="59">
        <f ca="1">AVERAGE(OFFSET($R$3,0,0,'Données projet'!$E$9+1,1))-AVERAGE(OFFSET($H$3,0,0,'Données projet'!$E$9+1,1))</f>
        <v>695.0879239758051</v>
      </c>
      <c r="T30" s="59">
        <f t="shared" si="34"/>
        <v>226.22150997227476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4.9119354838709679</v>
      </c>
      <c r="AI30" s="13">
        <f>IF('Données projet'!$A$62&gt;35,AI29+AH30-AQ29,IF(A30&lt;'Données projet'!$A$62,$AF$205^A30,IF(A30='Données projet'!$A$62,'Données projet'!$B$62,AI29+AH30-AQ29)))</f>
        <v>79.613495050495573</v>
      </c>
      <c r="AJ30" s="13">
        <f>AI30*VLOOKUP('Données projet'!$B$10,Paramètres!$A$1:$I$89,3,0)*VLOOKUP('Données projet'!$B$10,Paramètres!$A$1:$I$89,5,0)</f>
        <v>67.066408230537476</v>
      </c>
      <c r="AK30" s="13">
        <f t="shared" si="35"/>
        <v>18.943138100904928</v>
      </c>
      <c r="AL30" s="20">
        <f t="shared" si="4"/>
        <v>149.79995986059552</v>
      </c>
      <c r="AM30" s="59">
        <f t="shared" si="5"/>
        <v>439.46662652726218</v>
      </c>
      <c r="AN30" s="59">
        <f ca="1">AVERAGE(OFFSET($AM$3,0,0,'Données projet'!$E$10+1,1))-AVERAGE(OFFSET($H$3,0,0,'Données projet'!$E$10+1,1))</f>
        <v>424.81155998881928</v>
      </c>
      <c r="AO30" s="59">
        <f t="shared" si="36"/>
        <v>277.34430416544575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112.09335428571437</v>
      </c>
      <c r="BF30" s="13">
        <f t="shared" si="37"/>
        <v>29.823652732348606</v>
      </c>
      <c r="BG30" s="20">
        <f t="shared" si="7"/>
        <v>247.17212055645965</v>
      </c>
      <c r="BH30" s="59">
        <f t="shared" si="8"/>
        <v>536.83878722312636</v>
      </c>
      <c r="BI30" s="59">
        <f ca="1">AVERAGE(OFFSET($BH$3,0,0,'Données projet'!$E$11+1,1))-AVERAGE(OFFSET($H$3,0,0,'Données projet'!$E$11+1,1))</f>
        <v>706.69239849991595</v>
      </c>
      <c r="BJ30" s="59">
        <f t="shared" si="38"/>
        <v>310.59887275116529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4.016578947368421</v>
      </c>
      <c r="BY30" s="12">
        <f>IF('Données projet'!$A$114&gt;35,BY29+BX30-CG29,IF(A30&lt;'Données projet'!$A$114,$BV$205^A30,IF(A30='Données projet'!$A$114,'Données projet'!$B$114,BY29+BX30-CG29)))</f>
        <v>108.44763157894732</v>
      </c>
      <c r="BZ30" s="13">
        <f>BY30*VLOOKUP('Données projet'!$B$12,Paramètres!$A$1:$I$89,3,0)*VLOOKUP('Données projet'!$B$12,Paramètres!$A$1:$I$89,5,0)</f>
        <v>103.19876621052627</v>
      </c>
      <c r="CA30" s="13">
        <f t="shared" si="39"/>
        <v>27.722657378854588</v>
      </c>
      <c r="CB30" s="20">
        <f t="shared" si="10"/>
        <v>228.02147941817165</v>
      </c>
      <c r="CC30" s="59">
        <f t="shared" si="11"/>
        <v>517.68814608483831</v>
      </c>
      <c r="CD30" s="59">
        <f ca="1">AVERAGE(OFFSET($CC$3,0,0,'Données projet'!$E$12+1,1))-AVERAGE(OFFSET($H$3,0,0,'Données projet'!$E$12+1,1))</f>
        <v>449.28947235329758</v>
      </c>
      <c r="CE30" s="59">
        <f t="shared" si="40"/>
        <v>289.36994109443964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73.906560000000013</v>
      </c>
      <c r="CV30" s="13">
        <f t="shared" si="41"/>
        <v>20.640506648584481</v>
      </c>
      <c r="CW30" s="20">
        <f t="shared" si="13"/>
        <v>164.6694744129513</v>
      </c>
      <c r="CX30" s="59">
        <f t="shared" si="14"/>
        <v>454.33614107961796</v>
      </c>
      <c r="CY30" s="59">
        <f ca="1">AVERAGE(OFFSET($CX$3,0,0,'Données projet'!$E$13+1,1))-AVERAGE(OFFSET($H$3,0,0,'Données projet'!$E$13+1,1))</f>
        <v>261.93797831021766</v>
      </c>
      <c r="CZ30" s="59">
        <f t="shared" si="42"/>
        <v>256.90876395053073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4.7366206407236415</v>
      </c>
      <c r="DH30" s="21">
        <f>EXP(-LN(2)/2)*DH29+(1-EXP(-LN(2)/2))/(LN(2)/2)*DB30*DE30*VLOOKUP('Données projet'!$B$13,Paramètres!$A$1:$I$89,3,0)*0.475*44/12</f>
        <v>2.5461869350388002</v>
      </c>
      <c r="DI30" s="22">
        <f t="shared" si="15"/>
        <v>7.2828075757624422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5.0894117647058819</v>
      </c>
      <c r="N31" s="13">
        <f>IF('Données projet'!$A$36&gt;35,N30+M31-V30,IF(A31&lt;'Données projet'!$A$36,$K$205^A31,IF(A31='Données projet'!$A$36,'Données projet'!$B$36,N30+M31-V30)))</f>
        <v>69.691446043024783</v>
      </c>
      <c r="O31" s="13">
        <f>N31*VLOOKUP('Données projet'!$B$9,Paramètres!$A$1:$I$89,3,0)*VLOOKUP('Données projet'!$B$9,Paramètres!$A$1:$I$89,5,0)</f>
        <v>63.056820379728819</v>
      </c>
      <c r="P31" s="13">
        <f t="shared" si="33"/>
        <v>17.938879804310467</v>
      </c>
      <c r="Q31" s="20">
        <f t="shared" si="2"/>
        <v>141.06751115386842</v>
      </c>
      <c r="R31" s="59">
        <f t="shared" si="0"/>
        <v>431.95640004275731</v>
      </c>
      <c r="S31" s="59">
        <f ca="1">AVERAGE(OFFSET($R$3,0,0,'Données projet'!$E$9+1,1))-AVERAGE(OFFSET($H$3,0,0,'Données projet'!$E$9+1,1))</f>
        <v>695.0879239758051</v>
      </c>
      <c r="T31" s="59">
        <f t="shared" si="34"/>
        <v>226.22150997227476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4.9119354838709679</v>
      </c>
      <c r="AI31" s="13">
        <f>IF('Données projet'!$A$62&gt;35,AI30+AH31-AQ30,IF(A31&lt;'Données projet'!$A$62,$AF$205^A31,IF(A31='Données projet'!$A$62,'Données projet'!$B$62,AI30+AH31-AQ30)))</f>
        <v>93.625382374084964</v>
      </c>
      <c r="AJ31" s="13">
        <f>AI31*VLOOKUP('Données projet'!$B$10,Paramètres!$A$1:$I$89,3,0)*VLOOKUP('Données projet'!$B$10,Paramètres!$A$1:$I$89,5,0)</f>
        <v>78.870022111929188</v>
      </c>
      <c r="AK31" s="13">
        <f t="shared" si="35"/>
        <v>21.860670334856028</v>
      </c>
      <c r="AL31" s="20">
        <f t="shared" si="4"/>
        <v>175.43928934481758</v>
      </c>
      <c r="AM31" s="59">
        <f t="shared" si="5"/>
        <v>466.32817823370647</v>
      </c>
      <c r="AN31" s="59">
        <f ca="1">AVERAGE(OFFSET($AM$3,0,0,'Données projet'!$E$10+1,1))-AVERAGE(OFFSET($H$3,0,0,'Données projet'!$E$10+1,1))</f>
        <v>424.81155998881928</v>
      </c>
      <c r="AO31" s="59">
        <f t="shared" si="36"/>
        <v>277.34430416544575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116.24496000000008</v>
      </c>
      <c r="BF31" s="13">
        <f t="shared" si="37"/>
        <v>30.797583987099902</v>
      </c>
      <c r="BG31" s="20">
        <f t="shared" si="7"/>
        <v>256.09909744419912</v>
      </c>
      <c r="BH31" s="59">
        <f t="shared" si="8"/>
        <v>546.98798633308797</v>
      </c>
      <c r="BI31" s="59">
        <f ca="1">AVERAGE(OFFSET($BH$3,0,0,'Données projet'!$E$11+1,1))-AVERAGE(OFFSET($H$3,0,0,'Données projet'!$E$11+1,1))</f>
        <v>706.69239849991595</v>
      </c>
      <c r="BJ31" s="59">
        <f t="shared" si="38"/>
        <v>310.59887275116529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4.016578947368421</v>
      </c>
      <c r="BY31" s="12">
        <f>IF('Données projet'!$A$114&gt;35,BY30+BX31-CG30,IF(A31&lt;'Données projet'!$A$114,$BV$205^A31,IF(A31='Données projet'!$A$114,'Données projet'!$B$114,BY30+BX31-CG30)))</f>
        <v>112.46421052631574</v>
      </c>
      <c r="BZ31" s="13">
        <f>BY31*VLOOKUP('Données projet'!$B$12,Paramètres!$A$1:$I$89,3,0)*VLOOKUP('Données projet'!$B$12,Paramètres!$A$1:$I$89,5,0)</f>
        <v>107.02094273684206</v>
      </c>
      <c r="CA31" s="13">
        <f t="shared" si="39"/>
        <v>28.627977821267809</v>
      </c>
      <c r="CB31" s="20">
        <f t="shared" si="10"/>
        <v>236.25520330537464</v>
      </c>
      <c r="CC31" s="59">
        <f t="shared" si="11"/>
        <v>527.14409219426352</v>
      </c>
      <c r="CD31" s="59">
        <f ca="1">AVERAGE(OFFSET($CC$3,0,0,'Données projet'!$E$12+1,1))-AVERAGE(OFFSET($H$3,0,0,'Données projet'!$E$12+1,1))</f>
        <v>449.28947235329758</v>
      </c>
      <c r="CE31" s="59">
        <f t="shared" si="40"/>
        <v>289.36994109443964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82.467839999999995</v>
      </c>
      <c r="CV31" s="13">
        <f t="shared" si="41"/>
        <v>22.739512759227473</v>
      </c>
      <c r="CW31" s="20">
        <f t="shared" si="13"/>
        <v>183.23613938898782</v>
      </c>
      <c r="CX31" s="59">
        <f t="shared" si="14"/>
        <v>474.12502827787671</v>
      </c>
      <c r="CY31" s="59">
        <f ca="1">AVERAGE(OFFSET($CX$3,0,0,'Données projet'!$E$13+1,1))-AVERAGE(OFFSET($H$3,0,0,'Données projet'!$E$13+1,1))</f>
        <v>261.93797831021766</v>
      </c>
      <c r="CZ31" s="59">
        <f t="shared" si="42"/>
        <v>256.90876395053073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4.6070975002149996</v>
      </c>
      <c r="DH31" s="21">
        <f>EXP(-LN(2)/2)*DH30+(1-EXP(-LN(2)/2))/(LN(2)/2)*DB31*DE31*VLOOKUP('Données projet'!$B$13,Paramètres!$A$1:$I$89,3,0)*0.475*44/12</f>
        <v>1.8004260479345271</v>
      </c>
      <c r="DI31" s="22">
        <f t="shared" si="15"/>
        <v>6.407523548149527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5.0894117647058819</v>
      </c>
      <c r="N32" s="13">
        <f>IF('Données projet'!$A$36&gt;35,N31+M32-V31,IF(A32&lt;'Données projet'!$A$36,$K$205^A32,IF(A32='Données projet'!$A$36,'Données projet'!$B$36,N31+M32-V31)))</f>
        <v>81.097471602777176</v>
      </c>
      <c r="O32" s="13">
        <f>N32*VLOOKUP('Données projet'!$B$9,Paramètres!$A$1:$I$89,3,0)*VLOOKUP('Données projet'!$B$9,Paramètres!$A$1:$I$89,5,0)</f>
        <v>73.37699230619279</v>
      </c>
      <c r="P32" s="13">
        <f t="shared" si="33"/>
        <v>20.509770371499922</v>
      </c>
      <c r="Q32" s="20">
        <f t="shared" si="2"/>
        <v>163.51944499698146</v>
      </c>
      <c r="R32" s="59">
        <f t="shared" si="0"/>
        <v>455.63055610809261</v>
      </c>
      <c r="S32" s="59">
        <f ca="1">AVERAGE(OFFSET($R$3,0,0,'Données projet'!$E$9+1,1))-AVERAGE(OFFSET($H$3,0,0,'Données projet'!$E$9+1,1))</f>
        <v>695.0879239758051</v>
      </c>
      <c r="T32" s="59">
        <f t="shared" si="34"/>
        <v>226.22150997227476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4.9119354838709679</v>
      </c>
      <c r="AI32" s="13">
        <f>IF('Données projet'!$A$62&gt;35,AI31+AH32-AQ31,IF(A32&lt;'Données projet'!$A$62,$AF$205^A32,IF(A32='Données projet'!$A$62,'Données projet'!$B$62,AI31+AH32-AQ31)))</f>
        <v>110.1033464129905</v>
      </c>
      <c r="AJ32" s="13">
        <f>AI32*VLOOKUP('Données projet'!$B$10,Paramètres!$A$1:$I$89,3,0)*VLOOKUP('Données projet'!$B$10,Paramètres!$A$1:$I$89,5,0)</f>
        <v>92.751059018303209</v>
      </c>
      <c r="AK32" s="13">
        <f t="shared" si="35"/>
        <v>25.22754703807103</v>
      </c>
      <c r="AL32" s="20">
        <f t="shared" si="4"/>
        <v>205.47940554818516</v>
      </c>
      <c r="AM32" s="59">
        <f t="shared" si="5"/>
        <v>497.59051665929633</v>
      </c>
      <c r="AN32" s="59">
        <f ca="1">AVERAGE(OFFSET($AM$3,0,0,'Données projet'!$E$10+1,1))-AVERAGE(OFFSET($H$3,0,0,'Données projet'!$E$10+1,1))</f>
        <v>424.81155998881928</v>
      </c>
      <c r="AO32" s="59">
        <f t="shared" si="36"/>
        <v>277.34430416544575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120.39656571428579</v>
      </c>
      <c r="BF32" s="13">
        <f t="shared" si="37"/>
        <v>31.767473966995706</v>
      </c>
      <c r="BG32" s="20">
        <f t="shared" si="7"/>
        <v>265.01903577823191</v>
      </c>
      <c r="BH32" s="59">
        <f t="shared" si="8"/>
        <v>557.130146889343</v>
      </c>
      <c r="BI32" s="59">
        <f ca="1">AVERAGE(OFFSET($BH$3,0,0,'Données projet'!$E$11+1,1))-AVERAGE(OFFSET($H$3,0,0,'Données projet'!$E$11+1,1))</f>
        <v>706.69239849991595</v>
      </c>
      <c r="BJ32" s="59">
        <f t="shared" si="38"/>
        <v>310.59887275116529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4.016578947368421</v>
      </c>
      <c r="BY32" s="12">
        <f>IF('Données projet'!$A$114&gt;35,BY31+BX32-CG31,IF(A32&lt;'Données projet'!$A$114,$BV$205^A32,IF(A32='Données projet'!$A$114,'Données projet'!$B$114,BY31+BX32-CG31)))</f>
        <v>116.48078947368415</v>
      </c>
      <c r="BZ32" s="13">
        <f>BY32*VLOOKUP('Données projet'!$B$12,Paramètres!$A$1:$I$89,3,0)*VLOOKUP('Données projet'!$B$12,Paramètres!$A$1:$I$89,5,0)</f>
        <v>110.84311926315785</v>
      </c>
      <c r="CA32" s="13">
        <f t="shared" si="39"/>
        <v>29.529541685665656</v>
      </c>
      <c r="CB32" s="20">
        <f t="shared" si="10"/>
        <v>244.48238448586758</v>
      </c>
      <c r="CC32" s="59">
        <f t="shared" si="11"/>
        <v>536.59349559697876</v>
      </c>
      <c r="CD32" s="59">
        <f ca="1">AVERAGE(OFFSET($CC$3,0,0,'Données projet'!$E$12+1,1))-AVERAGE(OFFSET($H$3,0,0,'Données projet'!$E$12+1,1))</f>
        <v>449.28947235329758</v>
      </c>
      <c r="CE32" s="59">
        <f t="shared" si="40"/>
        <v>289.36994109443964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91.029119999999992</v>
      </c>
      <c r="CV32" s="13">
        <f t="shared" si="41"/>
        <v>24.813259479575809</v>
      </c>
      <c r="CW32" s="20">
        <f t="shared" si="13"/>
        <v>201.75881092692782</v>
      </c>
      <c r="CX32" s="59">
        <f t="shared" si="14"/>
        <v>493.86992203803896</v>
      </c>
      <c r="CY32" s="59">
        <f ca="1">AVERAGE(OFFSET($CX$3,0,0,'Données projet'!$E$13+1,1))-AVERAGE(OFFSET($H$3,0,0,'Données projet'!$E$13+1,1))</f>
        <v>261.93797831021766</v>
      </c>
      <c r="CZ32" s="59">
        <f t="shared" si="42"/>
        <v>256.90876395053073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4.4811161767948926</v>
      </c>
      <c r="DH32" s="21">
        <f>EXP(-LN(2)/2)*DH31+(1-EXP(-LN(2)/2))/(LN(2)/2)*DB32*DE32*VLOOKUP('Données projet'!$B$13,Paramètres!$A$1:$I$89,3,0)*0.475*44/12</f>
        <v>1.2730934675194003</v>
      </c>
      <c r="DI32" s="22">
        <f t="shared" si="15"/>
        <v>5.7542096443142929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5.0894117647058819</v>
      </c>
      <c r="N33" s="13">
        <f>IF('Données projet'!$A$36&gt;35,N32+M33-V32,IF(A33&lt;'Données projet'!$A$36,$K$205^A33,IF(A33='Données projet'!$A$36,'Données projet'!$B$36,N32+M33-V32)))</f>
        <v>94.370260251207753</v>
      </c>
      <c r="O33" s="13">
        <f>N33*VLOOKUP('Données projet'!$B$9,Paramètres!$A$1:$I$89,3,0)*VLOOKUP('Données projet'!$B$9,Paramètres!$A$1:$I$89,5,0)</f>
        <v>85.386211475292768</v>
      </c>
      <c r="P33" s="13">
        <f t="shared" si="33"/>
        <v>23.449105255199921</v>
      </c>
      <c r="Q33" s="20">
        <f t="shared" si="2"/>
        <v>189.5548433056081</v>
      </c>
      <c r="R33" s="59">
        <f t="shared" si="0"/>
        <v>482.88817663894145</v>
      </c>
      <c r="S33" s="59">
        <f ca="1">AVERAGE(OFFSET($R$3,0,0,'Données projet'!$E$9+1,1))-AVERAGE(OFFSET($H$3,0,0,'Données projet'!$E$9+1,1))</f>
        <v>695.0879239758051</v>
      </c>
      <c r="T33" s="59">
        <f t="shared" si="34"/>
        <v>226.22150997227476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4.9119354838709679</v>
      </c>
      <c r="AI33" s="13">
        <f>IF('Données projet'!$A$62&gt;35,AI32+AH33-AQ32,IF(A33&lt;'Données projet'!$A$62,$AF$205^A33,IF(A33='Données projet'!$A$62,'Données projet'!$B$62,AI32+AH33-AQ32)))</f>
        <v>129.48141394928501</v>
      </c>
      <c r="AJ33" s="13">
        <f>AI33*VLOOKUP('Données projet'!$B$10,Paramètres!$A$1:$I$89,3,0)*VLOOKUP('Données projet'!$B$10,Paramètres!$A$1:$I$89,5,0)</f>
        <v>109.0751431108777</v>
      </c>
      <c r="AK33" s="13">
        <f t="shared" si="35"/>
        <v>29.112974113301696</v>
      </c>
      <c r="AL33" s="20">
        <f t="shared" si="4"/>
        <v>240.67763749877909</v>
      </c>
      <c r="AM33" s="59">
        <f t="shared" si="5"/>
        <v>534.01097083211243</v>
      </c>
      <c r="AN33" s="59">
        <f ca="1">AVERAGE(OFFSET($AM$3,0,0,'Données projet'!$E$10+1,1))-AVERAGE(OFFSET($H$3,0,0,'Données projet'!$E$10+1,1))</f>
        <v>424.81155998881928</v>
      </c>
      <c r="AO33" s="59">
        <f t="shared" si="36"/>
        <v>277.34430416544575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124.54817142857152</v>
      </c>
      <c r="BF33" s="13">
        <f t="shared" si="37"/>
        <v>32.733477997934884</v>
      </c>
      <c r="BG33" s="20">
        <f t="shared" si="7"/>
        <v>273.93220608449866</v>
      </c>
      <c r="BH33" s="59">
        <f t="shared" si="8"/>
        <v>567.26553941783197</v>
      </c>
      <c r="BI33" s="59">
        <f ca="1">AVERAGE(OFFSET($BH$3,0,0,'Données projet'!$E$11+1,1))-AVERAGE(OFFSET($H$3,0,0,'Données projet'!$E$11+1,1))</f>
        <v>706.69239849991595</v>
      </c>
      <c r="BJ33" s="59">
        <f t="shared" si="38"/>
        <v>310.59887275116529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4.016578947368421</v>
      </c>
      <c r="BY33" s="12">
        <f>IF('Données projet'!$A$114&gt;35,BY32+BX33-CG32,IF(A33&lt;'Données projet'!$A$114,$BV$205^A33,IF(A33='Données projet'!$A$114,'Données projet'!$B$114,BY32+BX33-CG32)))</f>
        <v>120.49736842105257</v>
      </c>
      <c r="BZ33" s="13">
        <f>BY33*VLOOKUP('Données projet'!$B$12,Paramètres!$A$1:$I$89,3,0)*VLOOKUP('Données projet'!$B$12,Paramètres!$A$1:$I$89,5,0)</f>
        <v>114.66529578947363</v>
      </c>
      <c r="CA33" s="13">
        <f t="shared" si="39"/>
        <v>30.427493355659173</v>
      </c>
      <c r="CB33" s="20">
        <f t="shared" si="10"/>
        <v>252.70327442777295</v>
      </c>
      <c r="CC33" s="59">
        <f t="shared" si="11"/>
        <v>546.03660776110632</v>
      </c>
      <c r="CD33" s="59">
        <f ca="1">AVERAGE(OFFSET($CC$3,0,0,'Données projet'!$E$12+1,1))-AVERAGE(OFFSET($H$3,0,0,'Données projet'!$E$12+1,1))</f>
        <v>449.28947235329758</v>
      </c>
      <c r="CE33" s="59">
        <f t="shared" si="40"/>
        <v>289.36994109443964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99.590400000000002</v>
      </c>
      <c r="CV33" s="13">
        <f t="shared" si="41"/>
        <v>26.864392698869324</v>
      </c>
      <c r="CW33" s="20">
        <f t="shared" si="13"/>
        <v>220.24209728386407</v>
      </c>
      <c r="CX33" s="59">
        <f t="shared" si="14"/>
        <v>513.57543061719741</v>
      </c>
      <c r="CY33" s="59">
        <f ca="1">AVERAGE(OFFSET($CX$3,0,0,'Données projet'!$E$13+1,1))-AVERAGE(OFFSET($H$3,0,0,'Données projet'!$E$13+1,1))</f>
        <v>261.93797831021766</v>
      </c>
      <c r="CZ33" s="59">
        <f t="shared" si="42"/>
        <v>256.90876395053073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7.0351679676026766</v>
      </c>
      <c r="DH33" s="21">
        <f>EXP(-LN(2)/2)*DH32+(1-EXP(-LN(2)/2))/(LN(2)/2)*DB33*DE33*VLOOKUP('Données projet'!$B$13,Paramètres!$A$1:$I$89,3,0)*0.475*44/12</f>
        <v>5.2276048651134168</v>
      </c>
      <c r="DI33" s="22">
        <f t="shared" si="15"/>
        <v>12.262772832716093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5.0894117647058819</v>
      </c>
      <c r="N34" s="13">
        <f>IF('Données projet'!$A$36&gt;35,N33+M34-V33,IF(A34&lt;'Données projet'!$A$36,$K$205^A34,IF(A34='Données projet'!$A$36,'Données projet'!$B$36,N33+M34-V33)))</f>
        <v>109.81533510072718</v>
      </c>
      <c r="O34" s="13">
        <f>N34*VLOOKUP('Données projet'!$B$9,Paramètres!$A$1:$I$89,3,0)*VLOOKUP('Données projet'!$B$9,Paramètres!$A$1:$I$89,5,0)</f>
        <v>99.360915199137949</v>
      </c>
      <c r="P34" s="13">
        <f t="shared" si="33"/>
        <v>26.809687642018758</v>
      </c>
      <c r="Q34" s="20">
        <f t="shared" si="2"/>
        <v>219.74713328168124</v>
      </c>
      <c r="R34" s="59">
        <f t="shared" si="0"/>
        <v>513.08046661501453</v>
      </c>
      <c r="S34" s="59">
        <f ca="1">AVERAGE(OFFSET($R$3,0,0,'Données projet'!$E$9+1,1))-AVERAGE(OFFSET($H$3,0,0,'Données projet'!$E$9+1,1))</f>
        <v>695.0879239758051</v>
      </c>
      <c r="T34" s="59">
        <f t="shared" si="34"/>
        <v>226.22150997227476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>
        <f>VLOOKUP(A34,'Données projet'!$A$61:$I$81,2,0)</f>
        <v>152.27000000000001</v>
      </c>
      <c r="AG34" s="12">
        <f>VLOOKUP(A34,'Données projet'!$A$61:$I$81,9,0)</f>
        <v>4.9119354838709679</v>
      </c>
      <c r="AH34" s="12">
        <f t="array" ref="AH34">INDEX(AG:AG,MIN(IF(ISNUMBER(AG34:AG230),ROW(AG34:AG230),"")))</f>
        <v>4.9119354838709679</v>
      </c>
      <c r="AI34" s="13">
        <f>IF('Données projet'!$A$62&gt;35,AI33+AH34-AQ33,IF(A34&lt;'Données projet'!$A$62,$AF$205^A34,IF(A34='Données projet'!$A$62,'Données projet'!$B$62,AI33+AH34-AQ33)))</f>
        <v>152.27000000000001</v>
      </c>
      <c r="AJ34" s="13">
        <f>AI34*VLOOKUP('Données projet'!$B$10,Paramètres!$A$1:$I$89,3,0)*VLOOKUP('Données projet'!$B$10,Paramètres!$A$1:$I$89,5,0)</f>
        <v>128.27224800000002</v>
      </c>
      <c r="AK34" s="13">
        <f t="shared" si="35"/>
        <v>33.596816228018859</v>
      </c>
      <c r="AL34" s="20">
        <f t="shared" si="4"/>
        <v>281.92195353046623</v>
      </c>
      <c r="AM34" s="59">
        <f t="shared" si="5"/>
        <v>575.25528686379948</v>
      </c>
      <c r="AN34" s="59">
        <f ca="1">AVERAGE(OFFSET($AM$3,0,0,'Données projet'!$E$10+1,1))-AVERAGE(OFFSET($H$3,0,0,'Données projet'!$E$10+1,1))</f>
        <v>424.81155998881928</v>
      </c>
      <c r="AO34" s="59">
        <f t="shared" si="36"/>
        <v>277.34430416544575</v>
      </c>
      <c r="AP34" s="15">
        <f>IF(ISNA(VLOOKUP(A34,'Données projet'!$A$61:$I$81,3,0)),0,VLOOKUP(A34,'Données projet'!$A$61:$I$81,3,0))</f>
        <v>1</v>
      </c>
      <c r="AQ34" s="15">
        <f>IF(ISNA(VLOOKUP(A34,'Données projet'!$A$61:$I$81,4,0)),0,VLOOKUP(A34,'Données projet'!$A$61:$I$81,4,0))</f>
        <v>65.77000000000001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0.34400000000000003</v>
      </c>
      <c r="AT34" s="16">
        <f>IF(ISNA(VLOOKUP(A34,'Données projet'!$A$61:$I$81,7,0)),0%,VLOOKUP(A34,'Données projet'!$A$61:$I$81,7,0))</f>
        <v>0.2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20.986421678291009</v>
      </c>
      <c r="AW34" s="21">
        <f>EXP(-LN(2)/2)*AW33+(1-EXP(-LN(2)/2))/(LN(2)/2)*AQ34*AT34*VLOOKUP('Données projet'!$B$10,Paramètres!$A$1:$I$89,3,0)*0.475*44/12</f>
        <v>10.45515531644752</v>
      </c>
      <c r="AX34" s="21">
        <f t="shared" si="6"/>
        <v>31.441576994738529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128.69977714285722</v>
      </c>
      <c r="BF34" s="13">
        <f t="shared" si="37"/>
        <v>33.69574046316044</v>
      </c>
      <c r="BG34" s="20">
        <f t="shared" si="7"/>
        <v>282.83885983048071</v>
      </c>
      <c r="BH34" s="59">
        <f t="shared" si="8"/>
        <v>576.17219316381397</v>
      </c>
      <c r="BI34" s="59">
        <f ca="1">AVERAGE(OFFSET($BH$3,0,0,'Données projet'!$E$11+1,1))-AVERAGE(OFFSET($H$3,0,0,'Données projet'!$E$11+1,1))</f>
        <v>706.69239849991595</v>
      </c>
      <c r="BJ34" s="59">
        <f t="shared" si="38"/>
        <v>310.59887275116529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4.016578947368421</v>
      </c>
      <c r="BY34" s="12">
        <f>IF('Données projet'!$A$114&gt;35,BY33+BX34-CG33,IF(A34&lt;'Données projet'!$A$114,$BV$205^A34,IF(A34='Données projet'!$A$114,'Données projet'!$B$114,BY33+BX34-CG33)))</f>
        <v>124.51394736842099</v>
      </c>
      <c r="BZ34" s="13">
        <f>BY34*VLOOKUP('Données projet'!$B$12,Paramètres!$A$1:$I$89,3,0)*VLOOKUP('Données projet'!$B$12,Paramètres!$A$1:$I$89,5,0)</f>
        <v>118.48747231578942</v>
      </c>
      <c r="CA34" s="13">
        <f t="shared" si="39"/>
        <v>31.321967043083987</v>
      </c>
      <c r="CB34" s="20">
        <f t="shared" si="10"/>
        <v>260.91810688337119</v>
      </c>
      <c r="CC34" s="59">
        <f t="shared" si="11"/>
        <v>554.25144021670451</v>
      </c>
      <c r="CD34" s="59">
        <f ca="1">AVERAGE(OFFSET($CC$3,0,0,'Données projet'!$E$12+1,1))-AVERAGE(OFFSET($H$3,0,0,'Données projet'!$E$12+1,1))</f>
        <v>449.28947235329758</v>
      </c>
      <c r="CE34" s="59">
        <f t="shared" si="40"/>
        <v>289.36994109443964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88.75775999999999</v>
      </c>
      <c r="CV34" s="13">
        <f t="shared" si="41"/>
        <v>24.265384701755004</v>
      </c>
      <c r="CW34" s="20">
        <f t="shared" si="13"/>
        <v>196.84864368888995</v>
      </c>
      <c r="CX34" s="59">
        <f t="shared" si="14"/>
        <v>490.18197702222324</v>
      </c>
      <c r="CY34" s="59">
        <f ca="1">AVERAGE(OFFSET($CX$3,0,0,'Données projet'!$E$13+1,1))-AVERAGE(OFFSET($H$3,0,0,'Données projet'!$E$13+1,1))</f>
        <v>261.93797831021766</v>
      </c>
      <c r="CZ34" s="59">
        <f t="shared" si="42"/>
        <v>256.90876395053073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6.8427909295651768</v>
      </c>
      <c r="DH34" s="21">
        <f>EXP(-LN(2)/2)*DH33+(1-EXP(-LN(2)/2))/(LN(2)/2)*DB34*DE34*VLOOKUP('Données projet'!$B$13,Paramètres!$A$1:$I$89,3,0)*0.475*44/12</f>
        <v>3.6964748494854844</v>
      </c>
      <c r="DI34" s="22">
        <f t="shared" si="15"/>
        <v>10.539265779050661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5.0894117647058819</v>
      </c>
      <c r="N35" s="13">
        <f>IF('Données projet'!$A$36&gt;35,N34+M35-V34,IF(A35&lt;'Données projet'!$A$36,$K$205^A35,IF(A35='Données projet'!$A$36,'Données projet'!$B$36,N34+M35-V34)))</f>
        <v>127.78822259452934</v>
      </c>
      <c r="O35" s="13">
        <f>N35*VLOOKUP('Données projet'!$B$9,Paramètres!$A$1:$I$89,3,0)*VLOOKUP('Données projet'!$B$9,Paramètres!$A$1:$I$89,5,0)</f>
        <v>115.62278380353014</v>
      </c>
      <c r="P35" s="13">
        <f t="shared" si="33"/>
        <v>30.651888148407128</v>
      </c>
      <c r="Q35" s="20">
        <f t="shared" ref="Q35:Q66" si="53">(O35+P35)*0.475*44/12</f>
        <v>254.76172031629076</v>
      </c>
      <c r="R35" s="59">
        <f t="shared" si="0"/>
        <v>548.09505364962411</v>
      </c>
      <c r="S35" s="59">
        <f ca="1">AVERAGE(OFFSET($R$3,0,0,'Données projet'!$E$9+1,1))-AVERAGE(OFFSET($H$3,0,0,'Données projet'!$E$9+1,1))</f>
        <v>695.0879239758051</v>
      </c>
      <c r="T35" s="59">
        <f t="shared" si="34"/>
        <v>226.22150997227476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12.998333333333335</v>
      </c>
      <c r="AI35" s="13">
        <f>IF('Données projet'!$A$62&gt;35,AI34+AH35-AQ34,IF(A35&lt;'Données projet'!$A$62,$AF$205^A35,IF(A35='Données projet'!$A$62,'Données projet'!$B$62,AI34+AH35-AQ34)))</f>
        <v>99.498333333333335</v>
      </c>
      <c r="AJ35" s="13">
        <f>AI35*VLOOKUP('Données projet'!$B$10,Paramètres!$A$1:$I$89,3,0)*VLOOKUP('Données projet'!$B$10,Paramètres!$A$1:$I$89,5,0)</f>
        <v>83.817396000000002</v>
      </c>
      <c r="AK35" s="13">
        <f t="shared" si="35"/>
        <v>23.068010073991108</v>
      </c>
      <c r="AL35" s="20">
        <f t="shared" si="4"/>
        <v>186.15874891220116</v>
      </c>
      <c r="AM35" s="59">
        <f t="shared" si="5"/>
        <v>479.49208224553445</v>
      </c>
      <c r="AN35" s="59">
        <f ca="1">AVERAGE(OFFSET($AM$3,0,0,'Données projet'!$E$10+1,1))-AVERAGE(OFFSET($H$3,0,0,'Données projet'!$E$10+1,1))</f>
        <v>424.81155998881928</v>
      </c>
      <c r="AO35" s="59">
        <f t="shared" si="36"/>
        <v>277.34430416544575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20.412546873870191</v>
      </c>
      <c r="AW35" s="21">
        <f>EXP(-LN(2)/2)*AW34+(1-EXP(-LN(2)/2))/(LN(2)/2)*AQ35*AT35*VLOOKUP('Données projet'!$B$10,Paramètres!$A$1:$I$89,3,0)*0.475*44/12</f>
        <v>7.3929112226186264</v>
      </c>
      <c r="AX35" s="21">
        <f t="shared" si="6"/>
        <v>27.805458096488817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132.85138285714297</v>
      </c>
      <c r="BF35" s="13">
        <f t="shared" si="37"/>
        <v>34.654395902029187</v>
      </c>
      <c r="BG35" s="20">
        <f t="shared" si="7"/>
        <v>291.73923133889144</v>
      </c>
      <c r="BH35" s="59">
        <f t="shared" si="8"/>
        <v>585.07256467222476</v>
      </c>
      <c r="BI35" s="59">
        <f ca="1">AVERAGE(OFFSET($BH$3,0,0,'Données projet'!$E$11+1,1))-AVERAGE(OFFSET($H$3,0,0,'Données projet'!$E$11+1,1))</f>
        <v>706.69239849991595</v>
      </c>
      <c r="BJ35" s="59">
        <f t="shared" si="38"/>
        <v>310.59887275116529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4.016578947368421</v>
      </c>
      <c r="BY35" s="12">
        <f>IF('Données projet'!$A$114&gt;35,BY34+BX35-CG34,IF(A35&lt;'Données projet'!$A$114,$BV$205^A35,IF(A35='Données projet'!$A$114,'Données projet'!$B$114,BY34+BX35-CG34)))</f>
        <v>128.53052631578942</v>
      </c>
      <c r="BZ35" s="13">
        <f>BY35*VLOOKUP('Données projet'!$B$12,Paramètres!$A$1:$I$89,3,0)*VLOOKUP('Données projet'!$B$12,Paramètres!$A$1:$I$89,5,0)</f>
        <v>122.3096488421052</v>
      </c>
      <c r="CA35" s="13">
        <f t="shared" si="39"/>
        <v>32.213087809364474</v>
      </c>
      <c r="CB35" s="20">
        <f t="shared" si="10"/>
        <v>269.12709966797632</v>
      </c>
      <c r="CC35" s="59">
        <f t="shared" si="11"/>
        <v>562.46043300130964</v>
      </c>
      <c r="CD35" s="59">
        <f ca="1">AVERAGE(OFFSET($CC$3,0,0,'Données projet'!$E$12+1,1))-AVERAGE(OFFSET($H$3,0,0,'Données projet'!$E$12+1,1))</f>
        <v>449.28947235329758</v>
      </c>
      <c r="CE35" s="59">
        <f t="shared" si="40"/>
        <v>289.36994109443964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96.270719999999983</v>
      </c>
      <c r="CV35" s="13">
        <f t="shared" si="41"/>
        <v>26.071592384845928</v>
      </c>
      <c r="CW35" s="20">
        <f t="shared" si="13"/>
        <v>213.07952740360665</v>
      </c>
      <c r="CX35" s="59">
        <f t="shared" si="14"/>
        <v>506.41286073693993</v>
      </c>
      <c r="CY35" s="59">
        <f ca="1">AVERAGE(OFFSET($CX$3,0,0,'Données projet'!$E$13+1,1))-AVERAGE(OFFSET($H$3,0,0,'Données projet'!$E$13+1,1))</f>
        <v>261.93797831021766</v>
      </c>
      <c r="CZ35" s="59">
        <f t="shared" si="42"/>
        <v>256.90876395053073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6.6556744517494817</v>
      </c>
      <c r="DH35" s="21">
        <f>EXP(-LN(2)/2)*DH34+(1-EXP(-LN(2)/2))/(LN(2)/2)*DB35*DE35*VLOOKUP('Données projet'!$B$13,Paramètres!$A$1:$I$89,3,0)*0.475*44/12</f>
        <v>2.6138024325567089</v>
      </c>
      <c r="DI35" s="22">
        <f t="shared" si="15"/>
        <v>9.2694768843061901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5.0894117647058819</v>
      </c>
      <c r="N36" s="13">
        <f>IF('Données projet'!$A$36&gt;35,N35+M36-V35,IF(A36&lt;'Données projet'!$A$36,$K$205^A36,IF(A36='Données projet'!$A$36,'Données projet'!$B$36,N35+M36-V35)))</f>
        <v>148.70263628381758</v>
      </c>
      <c r="O36" s="13">
        <f>N36*VLOOKUP('Données projet'!$B$9,Paramètres!$A$1:$I$89,3,0)*VLOOKUP('Données projet'!$B$9,Paramètres!$A$1:$I$89,5,0)</f>
        <v>134.54614530959816</v>
      </c>
      <c r="P36" s="13">
        <f t="shared" si="33"/>
        <v>35.044729338432354</v>
      </c>
      <c r="Q36" s="20">
        <f t="shared" si="53"/>
        <v>295.37077334531978</v>
      </c>
      <c r="R36" s="59">
        <f t="shared" si="0"/>
        <v>588.70410667865303</v>
      </c>
      <c r="S36" s="59">
        <f ca="1">AVERAGE(OFFSET($R$3,0,0,'Données projet'!$E$9+1,1))-AVERAGE(OFFSET($H$3,0,0,'Données projet'!$E$9+1,1))</f>
        <v>695.0879239758051</v>
      </c>
      <c r="T36" s="59">
        <f t="shared" si="34"/>
        <v>226.22150997227476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12.998333333333335</v>
      </c>
      <c r="AI36" s="13">
        <f>IF('Données projet'!$A$62&gt;35,AI35+AH36-AQ35,IF(A36&lt;'Données projet'!$A$62,$AF$205^A36,IF(A36='Données projet'!$A$62,'Données projet'!$B$62,AI35+AH36-AQ35)))</f>
        <v>112.49666666666667</v>
      </c>
      <c r="AJ36" s="13">
        <f>AI36*VLOOKUP('Données projet'!$B$10,Paramètres!$A$1:$I$89,3,0)*VLOOKUP('Données projet'!$B$10,Paramètres!$A$1:$I$89,5,0)</f>
        <v>94.767192000000009</v>
      </c>
      <c r="AK36" s="13">
        <f t="shared" si="35"/>
        <v>25.711480504393407</v>
      </c>
      <c r="AL36" s="20">
        <f t="shared" si="4"/>
        <v>209.83368794515187</v>
      </c>
      <c r="AM36" s="59">
        <f t="shared" si="5"/>
        <v>503.16702127848521</v>
      </c>
      <c r="AN36" s="59">
        <f ca="1">AVERAGE(OFFSET($AM$3,0,0,'Données projet'!$E$10+1,1))-AVERAGE(OFFSET($H$3,0,0,'Données projet'!$E$10+1,1))</f>
        <v>424.81155998881928</v>
      </c>
      <c r="AO36" s="59">
        <f t="shared" si="36"/>
        <v>277.34430416544575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19.854364706155025</v>
      </c>
      <c r="AW36" s="21">
        <f>EXP(-LN(2)/2)*AW35+(1-EXP(-LN(2)/2))/(LN(2)/2)*AQ36*AT36*VLOOKUP('Données projet'!$B$10,Paramètres!$A$1:$I$89,3,0)*0.475*44/12</f>
        <v>5.227577658223761</v>
      </c>
      <c r="AX36" s="21">
        <f t="shared" si="6"/>
        <v>25.081942364378786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137.00298857142866</v>
      </c>
      <c r="BF36" s="13">
        <f t="shared" si="37"/>
        <v>35.609569967576427</v>
      </c>
      <c r="BG36" s="20">
        <f t="shared" si="7"/>
        <v>300.63353945543383</v>
      </c>
      <c r="BH36" s="59">
        <f t="shared" si="8"/>
        <v>593.9668727887672</v>
      </c>
      <c r="BI36" s="59">
        <f ca="1">AVERAGE(OFFSET($BH$3,0,0,'Données projet'!$E$11+1,1))-AVERAGE(OFFSET($H$3,0,0,'Données projet'!$E$11+1,1))</f>
        <v>706.69239849991595</v>
      </c>
      <c r="BJ36" s="59">
        <f t="shared" si="38"/>
        <v>310.59887275116529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4.016578947368421</v>
      </c>
      <c r="BY36" s="12">
        <f>IF('Données projet'!$A$114&gt;35,BY35+BX36-CG35,IF(A36&lt;'Données projet'!$A$114,$BV$205^A36,IF(A36='Données projet'!$A$114,'Données projet'!$B$114,BY35+BX36-CG35)))</f>
        <v>132.54710526315785</v>
      </c>
      <c r="BZ36" s="13">
        <f>BY36*VLOOKUP('Données projet'!$B$12,Paramètres!$A$1:$I$89,3,0)*VLOOKUP('Données projet'!$B$12,Paramètres!$A$1:$I$89,5,0)</f>
        <v>126.131825368421</v>
      </c>
      <c r="CA36" s="13">
        <f t="shared" si="39"/>
        <v>33.100972455620806</v>
      </c>
      <c r="CB36" s="20">
        <f t="shared" si="10"/>
        <v>277.33045621020614</v>
      </c>
      <c r="CC36" s="59">
        <f t="shared" si="11"/>
        <v>570.66378954353945</v>
      </c>
      <c r="CD36" s="59">
        <f ca="1">AVERAGE(OFFSET($CC$3,0,0,'Données projet'!$E$12+1,1))-AVERAGE(OFFSET($H$3,0,0,'Données projet'!$E$12+1,1))</f>
        <v>449.28947235329758</v>
      </c>
      <c r="CE36" s="59">
        <f t="shared" si="40"/>
        <v>289.36994109443964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103.78367999999999</v>
      </c>
      <c r="CV36" s="13">
        <f t="shared" si="41"/>
        <v>27.861449539780477</v>
      </c>
      <c r="CW36" s="20">
        <f t="shared" si="13"/>
        <v>229.28193394845096</v>
      </c>
      <c r="CX36" s="59">
        <f t="shared" si="14"/>
        <v>522.61526728178433</v>
      </c>
      <c r="CY36" s="59">
        <f ca="1">AVERAGE(OFFSET($CX$3,0,0,'Données projet'!$E$13+1,1))-AVERAGE(OFFSET($H$3,0,0,'Données projet'!$E$13+1,1))</f>
        <v>261.93797831021766</v>
      </c>
      <c r="CZ36" s="59">
        <f t="shared" si="42"/>
        <v>256.90876395053073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6.4736746838596844</v>
      </c>
      <c r="DH36" s="21">
        <f>EXP(-LN(2)/2)*DH35+(1-EXP(-LN(2)/2))/(LN(2)/2)*DB36*DE36*VLOOKUP('Données projet'!$B$13,Paramètres!$A$1:$I$89,3,0)*0.475*44/12</f>
        <v>1.8482374247427424</v>
      </c>
      <c r="DI36" s="22">
        <f t="shared" si="15"/>
        <v>8.3219121086024259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5.0894117647058819</v>
      </c>
      <c r="M37" s="12">
        <f t="array" ref="M37">INDEX(L:L,MIN(IF(ISNUMBER(L37:L233),ROW(L37:L233),"")))</f>
        <v>5.0894117647058819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635.8037249384488</v>
      </c>
      <c r="S37" s="59">
        <f ca="1">AVERAGE(OFFSET($R$3,0,0,'Données projet'!$E$9+1,1))-AVERAGE(OFFSET($H$3,0,0,'Données projet'!$E$9+1,1))</f>
        <v>695.0879239758051</v>
      </c>
      <c r="T37" s="59">
        <f t="shared" si="34"/>
        <v>226.22150997227476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36.679999999999978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0.34400000000000003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12.571124101178455</v>
      </c>
      <c r="AB37" s="21">
        <f>EXP(-LN(2)/2)*AB36+(1-EXP(-LN(2)/2))/(LN(2)/2)*V37*Y37*VLOOKUP('Données projet'!$B$9,Paramètres!$A$1:$I$89,3,0)*0.475*44/12</f>
        <v>6.2627663255292276</v>
      </c>
      <c r="AC37" s="22">
        <f t="shared" si="3"/>
        <v>18.833890426707683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12.998333333333335</v>
      </c>
      <c r="AI37" s="13">
        <f>IF('Données projet'!$A$62&gt;35,AI36+AH37-AQ36,IF(A37&lt;'Données projet'!$A$62,$AF$205^A37,IF(A37='Données projet'!$A$62,'Données projet'!$B$62,AI36+AH37-AQ36)))</f>
        <v>125.495</v>
      </c>
      <c r="AJ37" s="13">
        <f>AI37*VLOOKUP('Données projet'!$B$10,Paramètres!$A$1:$I$89,3,0)*VLOOKUP('Données projet'!$B$10,Paramètres!$A$1:$I$89,5,0)</f>
        <v>105.71698800000001</v>
      </c>
      <c r="AK37" s="13">
        <f t="shared" si="35"/>
        <v>28.319552956235832</v>
      </c>
      <c r="AL37" s="20">
        <f t="shared" si="4"/>
        <v>233.44697549877742</v>
      </c>
      <c r="AM37" s="59">
        <f t="shared" si="5"/>
        <v>526.78030883211068</v>
      </c>
      <c r="AN37" s="59">
        <f ca="1">AVERAGE(OFFSET($AM$3,0,0,'Données projet'!$E$10+1,1))-AVERAGE(OFFSET($H$3,0,0,'Données projet'!$E$10+1,1))</f>
        <v>424.81155998881928</v>
      </c>
      <c r="AO37" s="59">
        <f t="shared" si="36"/>
        <v>277.34430416544575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19.311446059169555</v>
      </c>
      <c r="AW37" s="21">
        <f>EXP(-LN(2)/2)*AW36+(1-EXP(-LN(2)/2))/(LN(2)/2)*AQ37*AT37*VLOOKUP('Données projet'!$B$10,Paramètres!$A$1:$I$89,3,0)*0.475*44/12</f>
        <v>3.6964556113093137</v>
      </c>
      <c r="AX37" s="21">
        <f t="shared" si="6"/>
        <v>23.007901670478869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141.15459428571441</v>
      </c>
      <c r="BF37" s="13">
        <f t="shared" si="37"/>
        <v>36.561380264751591</v>
      </c>
      <c r="BG37" s="20">
        <f t="shared" si="7"/>
        <v>309.52198900872827</v>
      </c>
      <c r="BH37" s="59">
        <f t="shared" si="8"/>
        <v>602.85532234206153</v>
      </c>
      <c r="BI37" s="59">
        <f ca="1">AVERAGE(OFFSET($BH$3,0,0,'Données projet'!$E$11+1,1))-AVERAGE(OFFSET($H$3,0,0,'Données projet'!$E$11+1,1))</f>
        <v>706.69239849991595</v>
      </c>
      <c r="BJ37" s="59">
        <f t="shared" si="38"/>
        <v>310.59887275116529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4.016578947368421</v>
      </c>
      <c r="BY37" s="12">
        <f>IF('Données projet'!$A$114&gt;35,BY36+BX37-CG36,IF(A37&lt;'Données projet'!$A$114,$BV$205^A37,IF(A37='Données projet'!$A$114,'Données projet'!$B$114,BY36+BX37-CG36)))</f>
        <v>136.56368421052628</v>
      </c>
      <c r="BZ37" s="13">
        <f>BY37*VLOOKUP('Données projet'!$B$12,Paramètres!$A$1:$I$89,3,0)*VLOOKUP('Données projet'!$B$12,Paramètres!$A$1:$I$89,5,0)</f>
        <v>129.95400189473682</v>
      </c>
      <c r="CA37" s="13">
        <f t="shared" si="39"/>
        <v>33.985730301853138</v>
      </c>
      <c r="CB37" s="20">
        <f t="shared" si="10"/>
        <v>285.52836690906082</v>
      </c>
      <c r="CC37" s="59">
        <f t="shared" si="11"/>
        <v>578.86170024239414</v>
      </c>
      <c r="CD37" s="59">
        <f ca="1">AVERAGE(OFFSET($CC$3,0,0,'Données projet'!$E$12+1,1))-AVERAGE(OFFSET($H$3,0,0,'Données projet'!$E$12+1,1))</f>
        <v>449.28947235329758</v>
      </c>
      <c r="CE37" s="59">
        <f t="shared" si="40"/>
        <v>289.36994109443964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111.29663999999997</v>
      </c>
      <c r="CV37" s="13">
        <f t="shared" si="41"/>
        <v>29.636274399319749</v>
      </c>
      <c r="CW37" s="20">
        <f t="shared" si="13"/>
        <v>245.45815924548182</v>
      </c>
      <c r="CX37" s="59">
        <f t="shared" si="14"/>
        <v>538.79149257881511</v>
      </c>
      <c r="CY37" s="59">
        <f ca="1">AVERAGE(OFFSET($CX$3,0,0,'Données projet'!$E$13+1,1))-AVERAGE(OFFSET($H$3,0,0,'Données projet'!$E$13+1,1))</f>
        <v>261.93797831021766</v>
      </c>
      <c r="CZ37" s="59">
        <f t="shared" si="42"/>
        <v>256.90876395053073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6.2966517091937853</v>
      </c>
      <c r="DH37" s="21">
        <f>EXP(-LN(2)/2)*DH36+(1-EXP(-LN(2)/2))/(LN(2)/2)*DB37*DE37*VLOOKUP('Données projet'!$B$13,Paramètres!$A$1:$I$89,3,0)*0.475*44/12</f>
        <v>1.3069012162783546</v>
      </c>
      <c r="DI37" s="22">
        <f t="shared" si="15"/>
        <v>7.6035529254721403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13.956249999999997</v>
      </c>
      <c r="N38" s="13">
        <f>IF('Données projet'!$A$36&gt;35,N37+M38-V37,IF(A38&lt;'Données projet'!$A$36,$K$205^A38,IF(A38='Données projet'!$A$36,'Données projet'!$B$36,N37+M38-V37)))</f>
        <v>150.31625</v>
      </c>
      <c r="O38" s="13">
        <f>N38*VLOOKUP('Données projet'!$B$9,Paramètres!$A$1:$I$89,3,0)*VLOOKUP('Données projet'!$B$9,Paramètres!$A$1:$I$89,5,0)</f>
        <v>136.00614299999998</v>
      </c>
      <c r="P38" s="13">
        <f t="shared" si="33"/>
        <v>35.380533493230494</v>
      </c>
      <c r="Q38" s="20">
        <f t="shared" si="53"/>
        <v>298.49846155904305</v>
      </c>
      <c r="R38" s="59">
        <f t="shared" si="0"/>
        <v>591.83179489237637</v>
      </c>
      <c r="S38" s="59">
        <f ca="1">AVERAGE(OFFSET($R$3,0,0,'Données projet'!$E$9+1,1))-AVERAGE(OFFSET($H$3,0,0,'Données projet'!$E$9+1,1))</f>
        <v>695.0879239758051</v>
      </c>
      <c r="T38" s="59">
        <f t="shared" si="34"/>
        <v>226.22150997227476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12.227366051545046</v>
      </c>
      <c r="AB38" s="21">
        <f>EXP(-LN(2)/2)*AB37+(1-EXP(-LN(2)/2))/(LN(2)/2)*V38*Y38*VLOOKUP('Données projet'!$B$9,Paramètres!$A$1:$I$89,3,0)*0.475*44/12</f>
        <v>4.428444537768474</v>
      </c>
      <c r="AC38" s="22">
        <f t="shared" si="3"/>
        <v>16.655810589313518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12.998333333333335</v>
      </c>
      <c r="AI38" s="13">
        <f>IF('Données projet'!$A$62&gt;35,AI37+AH38-AQ37,IF(A38&lt;'Données projet'!$A$62,$AF$205^A38,IF(A38='Données projet'!$A$62,'Données projet'!$B$62,AI37+AH38-AQ37)))</f>
        <v>138.49333333333334</v>
      </c>
      <c r="AJ38" s="13">
        <f>AI38*VLOOKUP('Données projet'!$B$10,Paramètres!$A$1:$I$89,3,0)*VLOOKUP('Données projet'!$B$10,Paramètres!$A$1:$I$89,5,0)</f>
        <v>116.66678400000002</v>
      </c>
      <c r="AK38" s="13">
        <f t="shared" si="35"/>
        <v>30.896311433156317</v>
      </c>
      <c r="AL38" s="20">
        <f t="shared" si="4"/>
        <v>257.00572454608067</v>
      </c>
      <c r="AM38" s="59">
        <f t="shared" si="5"/>
        <v>550.33905787941399</v>
      </c>
      <c r="AN38" s="59">
        <f ca="1">AVERAGE(OFFSET($AM$3,0,0,'Données projet'!$E$10+1,1))-AVERAGE(OFFSET($H$3,0,0,'Données projet'!$E$10+1,1))</f>
        <v>424.81155998881928</v>
      </c>
      <c r="AO38" s="59">
        <f t="shared" si="36"/>
        <v>277.34430416544575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18.783373551136751</v>
      </c>
      <c r="AW38" s="21">
        <f>EXP(-LN(2)/2)*AW37+(1-EXP(-LN(2)/2))/(LN(2)/2)*AQ38*AT38*VLOOKUP('Données projet'!$B$10,Paramètres!$A$1:$I$89,3,0)*0.475*44/12</f>
        <v>2.6137888291118809</v>
      </c>
      <c r="AX38" s="21">
        <f t="shared" si="6"/>
        <v>21.397162380248631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145.3062000000001</v>
      </c>
      <c r="BF38" s="13">
        <f t="shared" si="37"/>
        <v>37.509937087266451</v>
      </c>
      <c r="BG38" s="20">
        <f t="shared" si="7"/>
        <v>318.40477209365588</v>
      </c>
      <c r="BH38" s="59">
        <f t="shared" si="8"/>
        <v>611.73810542698925</v>
      </c>
      <c r="BI38" s="59">
        <f ca="1">AVERAGE(OFFSET($BH$3,0,0,'Données projet'!$E$11+1,1))-AVERAGE(OFFSET($H$3,0,0,'Données projet'!$E$11+1,1))</f>
        <v>706.69239849991595</v>
      </c>
      <c r="BJ38" s="59">
        <f t="shared" si="38"/>
        <v>310.59887275116529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4.016578947368421</v>
      </c>
      <c r="BY38" s="12">
        <f>IF('Données projet'!$A$114&gt;35,BY37+BX38-CG37,IF(A38&lt;'Données projet'!$A$114,$BV$205^A38,IF(A38='Données projet'!$A$114,'Données projet'!$B$114,BY37+BX38-CG37)))</f>
        <v>140.58026315789471</v>
      </c>
      <c r="BZ38" s="13">
        <f>BY38*VLOOKUP('Données projet'!$B$12,Paramètres!$A$1:$I$89,3,0)*VLOOKUP('Données projet'!$B$12,Paramètres!$A$1:$I$89,5,0)</f>
        <v>133.77617842105261</v>
      </c>
      <c r="CA38" s="13">
        <f t="shared" si="39"/>
        <v>34.867463871880652</v>
      </c>
      <c r="CB38" s="20">
        <f t="shared" si="10"/>
        <v>293.72101032685873</v>
      </c>
      <c r="CC38" s="59">
        <f t="shared" si="11"/>
        <v>587.05434366019199</v>
      </c>
      <c r="CD38" s="59">
        <f ca="1">AVERAGE(OFFSET($CC$3,0,0,'Données projet'!$E$12+1,1))-AVERAGE(OFFSET($H$3,0,0,'Données projet'!$E$12+1,1))</f>
        <v>449.28947235329758</v>
      </c>
      <c r="CE38" s="59">
        <f t="shared" si="40"/>
        <v>289.36994109443964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118.8096</v>
      </c>
      <c r="CV38" s="13">
        <f t="shared" si="41"/>
        <v>31.39719715333722</v>
      </c>
      <c r="CW38" s="20">
        <f t="shared" si="13"/>
        <v>261.61017170872896</v>
      </c>
      <c r="CX38" s="59">
        <f t="shared" si="14"/>
        <v>554.94350504206227</v>
      </c>
      <c r="CY38" s="59">
        <f ca="1">AVERAGE(OFFSET($CX$3,0,0,'Données projet'!$E$13+1,1))-AVERAGE(OFFSET($H$3,0,0,'Données projet'!$E$13+1,1))</f>
        <v>261.93797831021766</v>
      </c>
      <c r="CZ38" s="59">
        <f t="shared" si="42"/>
        <v>256.90876395053073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8.8010575853932576</v>
      </c>
      <c r="DH38" s="21">
        <f>EXP(-LN(2)/2)*DH37+(1-EXP(-LN(2)/2))/(LN(2)/2)*DB38*DE38*VLOOKUP('Données projet'!$B$13,Paramètres!$A$1:$I$89,3,0)*0.475*44/12</f>
        <v>5.2515105535175248</v>
      </c>
      <c r="DI38" s="22">
        <f t="shared" si="15"/>
        <v>14.052568138910782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13.956249999999997</v>
      </c>
      <c r="N39" s="13">
        <f>IF('Données projet'!$A$36&gt;35,N38+M39-V38,IF(A39&lt;'Données projet'!$A$36,$K$205^A39,IF(A39='Données projet'!$A$36,'Données projet'!$B$36,N38+M39-V38)))</f>
        <v>164.27249999999998</v>
      </c>
      <c r="O39" s="13">
        <f>N39*VLOOKUP('Données projet'!$B$9,Paramètres!$A$1:$I$89,3,0)*VLOOKUP('Données projet'!$B$9,Paramètres!$A$1:$I$89,5,0)</f>
        <v>148.63375799999997</v>
      </c>
      <c r="P39" s="13">
        <f t="shared" si="33"/>
        <v>38.267937075369332</v>
      </c>
      <c r="Q39" s="20">
        <f t="shared" si="53"/>
        <v>325.52045225626819</v>
      </c>
      <c r="R39" s="59">
        <f t="shared" si="0"/>
        <v>618.85378558960156</v>
      </c>
      <c r="S39" s="59">
        <f ca="1">AVERAGE(OFFSET($R$3,0,0,'Données projet'!$E$9+1,1))-AVERAGE(OFFSET($H$3,0,0,'Données projet'!$E$9+1,1))</f>
        <v>695.0879239758051</v>
      </c>
      <c r="T39" s="59">
        <f t="shared" si="34"/>
        <v>226.22150997227476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11.893008083856312</v>
      </c>
      <c r="AB39" s="21">
        <f>EXP(-LN(2)/2)*AB38+(1-EXP(-LN(2)/2))/(LN(2)/2)*V39*Y39*VLOOKUP('Données projet'!$B$9,Paramètres!$A$1:$I$89,3,0)*0.475*44/12</f>
        <v>3.1313831627646143</v>
      </c>
      <c r="AC39" s="22">
        <f t="shared" si="3"/>
        <v>15.024391246620926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12.998333333333335</v>
      </c>
      <c r="AI39" s="13">
        <f>IF('Données projet'!$A$62&gt;35,AI38+AH39-AQ38,IF(A39&lt;'Données projet'!$A$62,$AF$205^A39,IF(A39='Données projet'!$A$62,'Données projet'!$B$62,AI38+AH39-AQ38)))</f>
        <v>151.49166666666667</v>
      </c>
      <c r="AJ39" s="13">
        <f>AI39*VLOOKUP('Données projet'!$B$10,Paramètres!$A$1:$I$89,3,0)*VLOOKUP('Données projet'!$B$10,Paramètres!$A$1:$I$89,5,0)</f>
        <v>127.61658000000001</v>
      </c>
      <c r="AK39" s="13">
        <f t="shared" si="35"/>
        <v>33.445029241298066</v>
      </c>
      <c r="AL39" s="20">
        <f t="shared" si="4"/>
        <v>280.51563609526079</v>
      </c>
      <c r="AM39" s="59">
        <f t="shared" si="5"/>
        <v>573.84896942859405</v>
      </c>
      <c r="AN39" s="59">
        <f ca="1">AVERAGE(OFFSET($AM$3,0,0,'Données projet'!$E$10+1,1))-AVERAGE(OFFSET($H$3,0,0,'Données projet'!$E$10+1,1))</f>
        <v>424.81155998881928</v>
      </c>
      <c r="AO39" s="59">
        <f t="shared" si="36"/>
        <v>277.34430416544575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18.269741213606231</v>
      </c>
      <c r="AW39" s="21">
        <f>EXP(-LN(2)/2)*AW38+(1-EXP(-LN(2)/2))/(LN(2)/2)*AQ39*AT39*VLOOKUP('Données projet'!$B$10,Paramètres!$A$1:$I$89,3,0)*0.475*44/12</f>
        <v>1.8482278056546573</v>
      </c>
      <c r="AX39" s="21">
        <f t="shared" si="6"/>
        <v>20.11796901926089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149.45780571428583</v>
      </c>
      <c r="BF39" s="13">
        <f t="shared" si="37"/>
        <v>38.455344067865383</v>
      </c>
      <c r="BG39" s="20">
        <f t="shared" si="7"/>
        <v>327.2820692039133</v>
      </c>
      <c r="BH39" s="59">
        <f t="shared" si="8"/>
        <v>620.61540253724661</v>
      </c>
      <c r="BI39" s="59">
        <f ca="1">AVERAGE(OFFSET($BH$3,0,0,'Données projet'!$E$11+1,1))-AVERAGE(OFFSET($H$3,0,0,'Données projet'!$E$11+1,1))</f>
        <v>706.69239849991595</v>
      </c>
      <c r="BJ39" s="59">
        <f t="shared" si="38"/>
        <v>310.59887275116529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4.016578947368421</v>
      </c>
      <c r="BY39" s="12">
        <f>IF('Données projet'!$A$114&gt;35,BY38+BX39-CG38,IF(A39&lt;'Données projet'!$A$114,$BV$205^A39,IF(A39='Données projet'!$A$114,'Données projet'!$B$114,BY38+BX39-CG38)))</f>
        <v>144.59684210526314</v>
      </c>
      <c r="BZ39" s="13">
        <f>BY39*VLOOKUP('Données projet'!$B$12,Paramètres!$A$1:$I$89,3,0)*VLOOKUP('Données projet'!$B$12,Paramètres!$A$1:$I$89,5,0)</f>
        <v>137.59835494736839</v>
      </c>
      <c r="CA39" s="13">
        <f t="shared" si="39"/>
        <v>35.746269497802267</v>
      </c>
      <c r="CB39" s="20">
        <f t="shared" si="10"/>
        <v>301.90855424200555</v>
      </c>
      <c r="CC39" s="59">
        <f t="shared" si="11"/>
        <v>595.24188757533886</v>
      </c>
      <c r="CD39" s="59">
        <f ca="1">AVERAGE(OFFSET($CC$3,0,0,'Données projet'!$E$12+1,1))-AVERAGE(OFFSET($H$3,0,0,'Données projet'!$E$12+1,1))</f>
        <v>449.28947235329758</v>
      </c>
      <c r="CE39" s="59">
        <f t="shared" si="40"/>
        <v>289.36994109443964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107.10336</v>
      </c>
      <c r="CV39" s="13">
        <f t="shared" si="41"/>
        <v>28.647457255358184</v>
      </c>
      <c r="CW39" s="20">
        <f t="shared" si="13"/>
        <v>236.43267338641553</v>
      </c>
      <c r="CX39" s="59">
        <f t="shared" si="14"/>
        <v>529.76600671974882</v>
      </c>
      <c r="CY39" s="59">
        <f ca="1">AVERAGE(OFFSET($CX$3,0,0,'Données projet'!$E$13+1,1))-AVERAGE(OFFSET($H$3,0,0,'Données projet'!$E$13+1,1))</f>
        <v>261.93797831021766</v>
      </c>
      <c r="CZ39" s="59">
        <f t="shared" si="42"/>
        <v>256.90876395053073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8.5603922028931763</v>
      </c>
      <c r="DH39" s="21">
        <f>EXP(-LN(2)/2)*DH38+(1-EXP(-LN(2)/2))/(LN(2)/2)*DB39*DE39*VLOOKUP('Données projet'!$B$13,Paramètres!$A$1:$I$89,3,0)*0.475*44/12</f>
        <v>3.7133787238649618</v>
      </c>
      <c r="DI39" s="22">
        <f t="shared" si="15"/>
        <v>12.273770926758138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13.956249999999997</v>
      </c>
      <c r="N40" s="13">
        <f>IF('Données projet'!$A$36&gt;35,N39+M40-V39,IF(A40&lt;'Données projet'!$A$36,$K$205^A40,IF(A40='Données projet'!$A$36,'Données projet'!$B$36,N39+M40-V39)))</f>
        <v>178.22874999999999</v>
      </c>
      <c r="O40" s="13">
        <f>N40*VLOOKUP('Données projet'!$B$9,Paramètres!$A$1:$I$89,3,0)*VLOOKUP('Données projet'!$B$9,Paramètres!$A$1:$I$89,5,0)</f>
        <v>161.26137299999999</v>
      </c>
      <c r="P40" s="13">
        <f t="shared" si="33"/>
        <v>41.126891450739848</v>
      </c>
      <c r="Q40" s="20">
        <f t="shared" si="53"/>
        <v>352.49289391837186</v>
      </c>
      <c r="R40" s="59">
        <f t="shared" si="0"/>
        <v>645.82622725170518</v>
      </c>
      <c r="S40" s="59">
        <f ca="1">AVERAGE(OFFSET($R$3,0,0,'Données projet'!$E$9+1,1))-AVERAGE(OFFSET($H$3,0,0,'Données projet'!$E$9+1,1))</f>
        <v>695.0879239758051</v>
      </c>
      <c r="T40" s="59">
        <f t="shared" si="34"/>
        <v>226.22150997227476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11.567793152377147</v>
      </c>
      <c r="AB40" s="21">
        <f>EXP(-LN(2)/2)*AB39+(1-EXP(-LN(2)/2))/(LN(2)/2)*V40*Y40*VLOOKUP('Données projet'!$B$9,Paramètres!$A$1:$I$89,3,0)*0.475*44/12</f>
        <v>2.2142222688842375</v>
      </c>
      <c r="AC40" s="22">
        <f t="shared" si="3"/>
        <v>13.782015421261384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164.49</v>
      </c>
      <c r="AG40" s="12">
        <f>VLOOKUP(A40,'Données projet'!$A$61:$I$81,9,0)</f>
        <v>12.998333333333335</v>
      </c>
      <c r="AH40" s="12">
        <f t="array" ref="AH40">INDEX(AG:AG,MIN(IF(ISNUMBER(AG40:AG236),ROW(AG40:AG236),"")))</f>
        <v>12.998333333333335</v>
      </c>
      <c r="AI40" s="13">
        <f>IF('Données projet'!$A$62&gt;35,AI39+AH40-AQ39,IF(A40&lt;'Données projet'!$A$62,$AF$205^A40,IF(A40='Données projet'!$A$62,'Données projet'!$B$62,AI39+AH40-AQ39)))</f>
        <v>164.49</v>
      </c>
      <c r="AJ40" s="13">
        <f>AI40*VLOOKUP('Données projet'!$B$10,Paramètres!$A$1:$I$89,3,0)*VLOOKUP('Données projet'!$B$10,Paramètres!$A$1:$I$89,5,0)</f>
        <v>138.56637600000002</v>
      </c>
      <c r="AK40" s="13">
        <f t="shared" si="35"/>
        <v>35.968385885318511</v>
      </c>
      <c r="AL40" s="20">
        <f t="shared" si="4"/>
        <v>303.9813769502631</v>
      </c>
      <c r="AM40" s="59">
        <f t="shared" si="5"/>
        <v>597.31471028359647</v>
      </c>
      <c r="AN40" s="59">
        <f ca="1">AVERAGE(OFFSET($AM$3,0,0,'Données projet'!$E$10+1,1))-AVERAGE(OFFSET($H$3,0,0,'Données projet'!$E$10+1,1))</f>
        <v>424.81155998881928</v>
      </c>
      <c r="AO40" s="59">
        <f t="shared" si="36"/>
        <v>277.34430416544575</v>
      </c>
      <c r="AP40" s="15">
        <f>IF(ISNA(VLOOKUP(A40,'Données projet'!$A$61:$I$81,3,0)),0,VLOOKUP(A40,'Données projet'!$A$61:$I$81,3,0))</f>
        <v>2</v>
      </c>
      <c r="AQ40" s="15">
        <f>IF(ISNA(VLOOKUP(A40,'Données projet'!$A$61:$I$81,4,0)),0,VLOOKUP(A40,'Données projet'!$A$61:$I$81,4,0))</f>
        <v>43.890000000000015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0.34400000000000003</v>
      </c>
      <c r="AT40" s="16">
        <f>IF(ISNA(VLOOKUP(A40,'Données projet'!$A$61:$I$81,7,0)),0%,VLOOKUP(A40,'Données projet'!$A$61:$I$81,7,0))</f>
        <v>0.2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31.774929114131851</v>
      </c>
      <c r="AW40" s="21">
        <f>EXP(-LN(2)/2)*AW39+(1-EXP(-LN(2)/2))/(LN(2)/2)*AQ40*AT40*VLOOKUP('Données projet'!$B$10,Paramètres!$A$1:$I$89,3,0)*0.475*44/12</f>
        <v>8.2838864601524413</v>
      </c>
      <c r="AX40" s="21">
        <f t="shared" si="6"/>
        <v>40.058815574284296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153.60941142857155</v>
      </c>
      <c r="BF40" s="13">
        <f t="shared" si="37"/>
        <v>39.397698754311712</v>
      </c>
      <c r="BG40" s="20">
        <f t="shared" si="7"/>
        <v>336.15405023518832</v>
      </c>
      <c r="BH40" s="59">
        <f t="shared" si="8"/>
        <v>629.48738356852164</v>
      </c>
      <c r="BI40" s="59">
        <f ca="1">AVERAGE(OFFSET($BH$3,0,0,'Données projet'!$E$11+1,1))-AVERAGE(OFFSET($H$3,0,0,'Données projet'!$E$11+1,1))</f>
        <v>706.69239849991595</v>
      </c>
      <c r="BJ40" s="59">
        <f t="shared" si="38"/>
        <v>310.59887275116529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4.016578947368421</v>
      </c>
      <c r="BY40" s="12">
        <f>IF('Données projet'!$A$114&gt;35,BY39+BX40-CG39,IF(A40&lt;'Données projet'!$A$114,$BV$205^A40,IF(A40='Données projet'!$A$114,'Données projet'!$B$114,BY39+BX40-CG39)))</f>
        <v>148.61342105263157</v>
      </c>
      <c r="BZ40" s="13">
        <f>BY40*VLOOKUP('Données projet'!$B$12,Paramètres!$A$1:$I$89,3,0)*VLOOKUP('Données projet'!$B$12,Paramètres!$A$1:$I$89,5,0)</f>
        <v>141.42053147368418</v>
      </c>
      <c r="CA40" s="13">
        <f t="shared" si="39"/>
        <v>36.62223785540634</v>
      </c>
      <c r="CB40" s="20">
        <f t="shared" si="10"/>
        <v>310.09115658149926</v>
      </c>
      <c r="CC40" s="59">
        <f t="shared" si="11"/>
        <v>603.42448991483252</v>
      </c>
      <c r="CD40" s="59">
        <f ca="1">AVERAGE(OFFSET($CC$3,0,0,'Données projet'!$E$12+1,1))-AVERAGE(OFFSET($H$3,0,0,'Données projet'!$E$12+1,1))</f>
        <v>449.28947235329758</v>
      </c>
      <c r="CE40" s="59">
        <f t="shared" si="40"/>
        <v>289.36994109443964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113.74271999999996</v>
      </c>
      <c r="CV40" s="13">
        <f t="shared" si="41"/>
        <v>30.211074114233345</v>
      </c>
      <c r="CW40" s="20">
        <f t="shared" si="13"/>
        <v>250.71952474895636</v>
      </c>
      <c r="CX40" s="59">
        <f t="shared" si="14"/>
        <v>544.05285808228973</v>
      </c>
      <c r="CY40" s="59">
        <f ca="1">AVERAGE(OFFSET($CX$3,0,0,'Données projet'!$E$13+1,1))-AVERAGE(OFFSET($H$3,0,0,'Données projet'!$E$13+1,1))</f>
        <v>261.93797831021766</v>
      </c>
      <c r="CZ40" s="59">
        <f t="shared" si="42"/>
        <v>256.90876395053073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8.3263078279336007</v>
      </c>
      <c r="DH40" s="21">
        <f>EXP(-LN(2)/2)*DH39+(1-EXP(-LN(2)/2))/(LN(2)/2)*DB40*DE40*VLOOKUP('Données projet'!$B$13,Paramètres!$A$1:$I$89,3,0)*0.475*44/12</f>
        <v>2.6257552767587629</v>
      </c>
      <c r="DI40" s="22">
        <f t="shared" si="15"/>
        <v>10.952063104692364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13.956249999999997</v>
      </c>
      <c r="N41" s="13">
        <f>IF('Données projet'!$A$36&gt;35,N40+M41-V40,IF(A41&lt;'Données projet'!$A$36,$K$205^A41,IF(A41='Données projet'!$A$36,'Données projet'!$B$36,N40+M41-V40)))</f>
        <v>192.185</v>
      </c>
      <c r="O41" s="13">
        <f>N41*VLOOKUP('Données projet'!$B$9,Paramètres!$A$1:$I$89,3,0)*VLOOKUP('Données projet'!$B$9,Paramètres!$A$1:$I$89,5,0)</f>
        <v>173.88898799999998</v>
      </c>
      <c r="P41" s="13">
        <f t="shared" si="33"/>
        <v>43.959877621771504</v>
      </c>
      <c r="Q41" s="20">
        <f t="shared" si="53"/>
        <v>379.42010762458534</v>
      </c>
      <c r="R41" s="59">
        <f t="shared" si="0"/>
        <v>672.75344095791866</v>
      </c>
      <c r="S41" s="59">
        <f ca="1">AVERAGE(OFFSET($R$3,0,0,'Données projet'!$E$9+1,1))-AVERAGE(OFFSET($H$3,0,0,'Données projet'!$E$9+1,1))</f>
        <v>695.0879239758051</v>
      </c>
      <c r="T41" s="59">
        <f t="shared" si="34"/>
        <v>226.22150997227476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11.251471240301591</v>
      </c>
      <c r="AB41" s="21">
        <f>EXP(-LN(2)/2)*AB40+(1-EXP(-LN(2)/2))/(LN(2)/2)*V41*Y41*VLOOKUP('Données projet'!$B$9,Paramètres!$A$1:$I$89,3,0)*0.475*44/12</f>
        <v>1.5656915813823074</v>
      </c>
      <c r="AC41" s="22">
        <f t="shared" si="3"/>
        <v>12.817162821683898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13.987142857142857</v>
      </c>
      <c r="AI41" s="13">
        <f>IF('Données projet'!$A$62&gt;35,AI40+AH41-AQ40,IF(A41&lt;'Données projet'!$A$62,$AF$205^A41,IF(A41='Données projet'!$A$62,'Données projet'!$B$62,AI40+AH41-AQ40)))</f>
        <v>134.58714285714285</v>
      </c>
      <c r="AJ41" s="13">
        <f>AI41*VLOOKUP('Données projet'!$B$10,Paramètres!$A$1:$I$89,3,0)*VLOOKUP('Données projet'!$B$10,Paramètres!$A$1:$I$89,5,0)</f>
        <v>113.37620914285714</v>
      </c>
      <c r="AK41" s="13">
        <f t="shared" si="35"/>
        <v>30.125040801765408</v>
      </c>
      <c r="AL41" s="20">
        <f t="shared" si="4"/>
        <v>249.93134365355093</v>
      </c>
      <c r="AM41" s="59">
        <f t="shared" si="5"/>
        <v>543.2646769868843</v>
      </c>
      <c r="AN41" s="59">
        <f ca="1">AVERAGE(OFFSET($AM$3,0,0,'Données projet'!$E$10+1,1))-AVERAGE(OFFSET($H$3,0,0,'Données projet'!$E$10+1,1))</f>
        <v>424.81155998881928</v>
      </c>
      <c r="AO41" s="59">
        <f t="shared" si="36"/>
        <v>277.34430416544575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30.906042006535017</v>
      </c>
      <c r="AW41" s="21">
        <f>EXP(-LN(2)/2)*AW40+(1-EXP(-LN(2)/2))/(LN(2)/2)*AQ41*AT41*VLOOKUP('Données projet'!$B$10,Paramètres!$A$1:$I$89,3,0)*0.475*44/12</f>
        <v>5.8575922905532165</v>
      </c>
      <c r="AX41" s="21">
        <f t="shared" si="6"/>
        <v>36.763634297088231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157.76101714285727</v>
      </c>
      <c r="BF41" s="13">
        <f t="shared" si="37"/>
        <v>40.337093121354812</v>
      </c>
      <c r="BG41" s="20">
        <f t="shared" si="7"/>
        <v>345.02087537683605</v>
      </c>
      <c r="BH41" s="59">
        <f t="shared" si="8"/>
        <v>638.35420871016936</v>
      </c>
      <c r="BI41" s="59">
        <f ca="1">AVERAGE(OFFSET($BH$3,0,0,'Données projet'!$E$11+1,1))-AVERAGE(OFFSET($H$3,0,0,'Données projet'!$E$11+1,1))</f>
        <v>706.69239849991595</v>
      </c>
      <c r="BJ41" s="59">
        <f t="shared" si="38"/>
        <v>310.59887275116529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>
        <f>VLOOKUP(A41,'Données projet'!$A$113:$I$133,2,0)</f>
        <v>152.63</v>
      </c>
      <c r="BW41" s="12">
        <f>VLOOKUP(A41,'Données projet'!$A$113:$I$133,9,0)</f>
        <v>4.016578947368421</v>
      </c>
      <c r="BX41" s="12">
        <f t="array" ref="BX41">INDEX(BW:BW,MIN(IF(ISNUMBER(BW41:BW237),ROW(BW41:BW237),"")))</f>
        <v>4.016578947368421</v>
      </c>
      <c r="BY41" s="12">
        <f>IF('Données projet'!$A$114&gt;35,BY40+BX41-CG40,IF(A41&lt;'Données projet'!$A$114,$BV$205^A41,IF(A41='Données projet'!$A$114,'Données projet'!$B$114,BY40+BX41-CG40)))</f>
        <v>152.63</v>
      </c>
      <c r="BZ41" s="13">
        <f>BY41*VLOOKUP('Données projet'!$B$12,Paramètres!$A$1:$I$89,3,0)*VLOOKUP('Données projet'!$B$12,Paramètres!$A$1:$I$89,5,0)</f>
        <v>145.24270799999999</v>
      </c>
      <c r="CA41" s="13">
        <f t="shared" si="39"/>
        <v>37.495454440070851</v>
      </c>
      <c r="CB41" s="20">
        <f t="shared" si="10"/>
        <v>318.26896624979003</v>
      </c>
      <c r="CC41" s="59">
        <f t="shared" si="11"/>
        <v>611.60229958312334</v>
      </c>
      <c r="CD41" s="59">
        <f ca="1">AVERAGE(OFFSET($CC$3,0,0,'Données projet'!$E$12+1,1))-AVERAGE(OFFSET($H$3,0,0,'Données projet'!$E$12+1,1))</f>
        <v>449.28947235329758</v>
      </c>
      <c r="CE41" s="59">
        <f t="shared" si="40"/>
        <v>289.36994109443964</v>
      </c>
      <c r="CF41" s="15">
        <f>IF(ISNA(VLOOKUP(A41,'Données projet'!$A$113:$I$133,3,0)),0,VLOOKUP(A41,'Données projet'!$A$113:$I$133,3,0))</f>
        <v>1</v>
      </c>
      <c r="CG41" s="15">
        <f>IF(ISNA(VLOOKUP(A41,'Données projet'!$A$113:$I$133,4,0)),0,VLOOKUP(A41,'Données projet'!$A$113:$I$133,4,0))</f>
        <v>71.569999999999993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0.34400000000000003</v>
      </c>
      <c r="CJ41" s="16">
        <f>IF(ISNA(VLOOKUP(A41,'Données projet'!$A$113:$I$133,7,0)),0%,VLOOKUP(A41,'Données projet'!$A$113:$I$133,7,0))</f>
        <v>0.2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25.797501441733676</v>
      </c>
      <c r="CM41" s="21">
        <f>EXP(-LN(2)/2)*CM40+(1-EXP(-LN(2)/2))/(LN(2)/2)*CG41*CJ41*VLOOKUP('Données projet'!$B$12,Paramètres!$A$1:$I$89,3,0)*0.475*44/12</f>
        <v>12.851971073687507</v>
      </c>
      <c r="CN41" s="22">
        <f t="shared" si="12"/>
        <v>38.649472515421181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120.38207999999997</v>
      </c>
      <c r="CV41" s="13">
        <f t="shared" si="41"/>
        <v>31.764096685603551</v>
      </c>
      <c r="CW41" s="20">
        <f t="shared" si="13"/>
        <v>264.98792439409277</v>
      </c>
      <c r="CX41" s="59">
        <f t="shared" si="14"/>
        <v>558.32125772742609</v>
      </c>
      <c r="CY41" s="59">
        <f ca="1">AVERAGE(OFFSET($CX$3,0,0,'Données projet'!$E$13+1,1))-AVERAGE(OFFSET($H$3,0,0,'Données projet'!$E$13+1,1))</f>
        <v>261.93797831021766</v>
      </c>
      <c r="CZ41" s="59">
        <f t="shared" si="42"/>
        <v>256.90876395053073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8.0986245025172572</v>
      </c>
      <c r="DH41" s="21">
        <f>EXP(-LN(2)/2)*DH40+(1-EXP(-LN(2)/2))/(LN(2)/2)*DB41*DE41*VLOOKUP('Données projet'!$B$13,Paramètres!$A$1:$I$89,3,0)*0.475*44/12</f>
        <v>1.8566893619324811</v>
      </c>
      <c r="DI41" s="22">
        <f t="shared" si="15"/>
        <v>9.9553138644497388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13.956249999999997</v>
      </c>
      <c r="N42" s="13">
        <f>IF('Données projet'!$A$36&gt;35,N41+M42-V41,IF(A42&lt;'Données projet'!$A$36,$K$205^A42,IF(A42='Données projet'!$A$36,'Données projet'!$B$36,N41+M42-V41)))</f>
        <v>206.14125000000001</v>
      </c>
      <c r="O42" s="13">
        <f>N42*VLOOKUP('Données projet'!$B$9,Paramètres!$A$1:$I$89,3,0)*VLOOKUP('Données projet'!$B$9,Paramètres!$A$1:$I$89,5,0)</f>
        <v>186.516603</v>
      </c>
      <c r="P42" s="13">
        <f t="shared" si="33"/>
        <v>46.768995827807657</v>
      </c>
      <c r="Q42" s="20">
        <f t="shared" si="53"/>
        <v>406.30575129176503</v>
      </c>
      <c r="R42" s="59">
        <f t="shared" si="0"/>
        <v>699.63908462509835</v>
      </c>
      <c r="S42" s="59">
        <f ca="1">AVERAGE(OFFSET($R$3,0,0,'Données projet'!$E$9+1,1))-AVERAGE(OFFSET($H$3,0,0,'Données projet'!$E$9+1,1))</f>
        <v>695.0879239758051</v>
      </c>
      <c r="T42" s="59">
        <f t="shared" si="34"/>
        <v>226.22150997227476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10.943799167546386</v>
      </c>
      <c r="AB42" s="21">
        <f>EXP(-LN(2)/2)*AB41+(1-EXP(-LN(2)/2))/(LN(2)/2)*V42*Y42*VLOOKUP('Données projet'!$B$9,Paramètres!$A$1:$I$89,3,0)*0.475*44/12</f>
        <v>1.1071111344421189</v>
      </c>
      <c r="AC42" s="22">
        <f t="shared" si="3"/>
        <v>12.050910301988505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13.987142857142857</v>
      </c>
      <c r="AI42" s="13">
        <f>IF('Données projet'!$A$62&gt;35,AI41+AH42-AQ41,IF(A42&lt;'Données projet'!$A$62,$AF$205^A42,IF(A42='Données projet'!$A$62,'Données projet'!$B$62,AI41+AH42-AQ41)))</f>
        <v>148.57428571428571</v>
      </c>
      <c r="AJ42" s="13">
        <f>AI42*VLOOKUP('Données projet'!$B$10,Paramètres!$A$1:$I$89,3,0)*VLOOKUP('Données projet'!$B$10,Paramètres!$A$1:$I$89,5,0)</f>
        <v>125.1589782857143</v>
      </c>
      <c r="AK42" s="13">
        <f t="shared" si="35"/>
        <v>32.875282708584329</v>
      </c>
      <c r="AL42" s="20">
        <f t="shared" si="4"/>
        <v>275.24300456507007</v>
      </c>
      <c r="AM42" s="59">
        <f t="shared" si="5"/>
        <v>568.57633789840338</v>
      </c>
      <c r="AN42" s="59">
        <f ca="1">AVERAGE(OFFSET($AM$3,0,0,'Données projet'!$E$10+1,1))-AVERAGE(OFFSET($H$3,0,0,'Données projet'!$E$10+1,1))</f>
        <v>424.81155998881928</v>
      </c>
      <c r="AO42" s="59">
        <f t="shared" si="36"/>
        <v>277.34430416544575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30.060914662588203</v>
      </c>
      <c r="AW42" s="21">
        <f>EXP(-LN(2)/2)*AW41+(1-EXP(-LN(2)/2))/(LN(2)/2)*AQ42*AT42*VLOOKUP('Données projet'!$B$10,Paramètres!$A$1:$I$89,3,0)*0.475*44/12</f>
        <v>4.1419432300762216</v>
      </c>
      <c r="AX42" s="21">
        <f t="shared" si="6"/>
        <v>34.202857892664426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161.91262285714299</v>
      </c>
      <c r="BF42" s="13">
        <f t="shared" si="37"/>
        <v>41.273614027289312</v>
      </c>
      <c r="BG42" s="20">
        <f t="shared" si="7"/>
        <v>353.88269590705289</v>
      </c>
      <c r="BH42" s="59">
        <f t="shared" si="8"/>
        <v>647.21602924038621</v>
      </c>
      <c r="BI42" s="59">
        <f ca="1">AVERAGE(OFFSET($BH$3,0,0,'Données projet'!$E$11+1,1))-AVERAGE(OFFSET($H$3,0,0,'Données projet'!$E$11+1,1))</f>
        <v>706.69239849991595</v>
      </c>
      <c r="BJ42" s="59">
        <f t="shared" si="38"/>
        <v>310.59887275116529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9.8128571428571423</v>
      </c>
      <c r="BY42" s="12">
        <f>IF('Données projet'!$A$114&gt;35,BY41+BX42-CG41,IF(A42&lt;'Données projet'!$A$114,$BV$205^A42,IF(A42='Données projet'!$A$114,'Données projet'!$B$114,BY41+BX42-CG41)))</f>
        <v>90.872857142857157</v>
      </c>
      <c r="BZ42" s="13">
        <f>BY42*VLOOKUP('Données projet'!$B$12,Paramètres!$A$1:$I$89,3,0)*VLOOKUP('Données projet'!$B$12,Paramètres!$A$1:$I$89,5,0)</f>
        <v>86.474610857142878</v>
      </c>
      <c r="CA42" s="13">
        <f t="shared" si="39"/>
        <v>23.713018835104659</v>
      </c>
      <c r="CB42" s="20">
        <f t="shared" si="10"/>
        <v>191.9101217139978</v>
      </c>
      <c r="CC42" s="59">
        <f t="shared" si="11"/>
        <v>485.24345504733111</v>
      </c>
      <c r="CD42" s="59">
        <f ca="1">AVERAGE(OFFSET($CC$3,0,0,'Données projet'!$E$12+1,1))-AVERAGE(OFFSET($H$3,0,0,'Données projet'!$E$12+1,1))</f>
        <v>449.28947235329758</v>
      </c>
      <c r="CE42" s="59">
        <f t="shared" si="40"/>
        <v>289.36994109443964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25.092067408177829</v>
      </c>
      <c r="CM42" s="21">
        <f>EXP(-LN(2)/2)*CM41+(1-EXP(-LN(2)/2))/(LN(2)/2)*CG42*CJ42*VLOOKUP('Données projet'!$B$12,Paramètres!$A$1:$I$89,3,0)*0.475*44/12</f>
        <v>9.087715897817791</v>
      </c>
      <c r="CN42" s="22">
        <f t="shared" si="12"/>
        <v>34.17978330599562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127.02143999999997</v>
      </c>
      <c r="CV42" s="13">
        <f t="shared" si="41"/>
        <v>33.307175870664402</v>
      </c>
      <c r="CW42" s="20">
        <f t="shared" si="13"/>
        <v>279.23900597474045</v>
      </c>
      <c r="CX42" s="59">
        <f t="shared" si="14"/>
        <v>572.57233930807377</v>
      </c>
      <c r="CY42" s="59">
        <f ca="1">AVERAGE(OFFSET($CX$3,0,0,'Données projet'!$E$13+1,1))-AVERAGE(OFFSET($H$3,0,0,'Données projet'!$E$13+1,1))</f>
        <v>261.93797831021766</v>
      </c>
      <c r="CZ42" s="59">
        <f t="shared" si="42"/>
        <v>256.90876395053073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7.8771671896077695</v>
      </c>
      <c r="DH42" s="21">
        <f>EXP(-LN(2)/2)*DH41+(1-EXP(-LN(2)/2))/(LN(2)/2)*DB42*DE42*VLOOKUP('Données projet'!$B$13,Paramètres!$A$1:$I$89,3,0)*0.475*44/12</f>
        <v>1.3128776383793817</v>
      </c>
      <c r="DI42" s="22">
        <f t="shared" si="15"/>
        <v>9.1900448279871512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13.956249999999997</v>
      </c>
      <c r="N43" s="13">
        <f>IF('Données projet'!$A$36&gt;35,N42+M43-V42,IF(A43&lt;'Données projet'!$A$36,$K$205^A43,IF(A43='Données projet'!$A$36,'Données projet'!$B$36,N42+M43-V42)))</f>
        <v>220.09750000000003</v>
      </c>
      <c r="O43" s="13">
        <f>N43*VLOOKUP('Données projet'!$B$9,Paramètres!$A$1:$I$89,3,0)*VLOOKUP('Données projet'!$B$9,Paramètres!$A$1:$I$89,5,0)</f>
        <v>199.14421800000002</v>
      </c>
      <c r="P43" s="13">
        <f t="shared" si="33"/>
        <v>49.55604583218453</v>
      </c>
      <c r="Q43" s="20">
        <f t="shared" si="53"/>
        <v>433.15295950772139</v>
      </c>
      <c r="R43" s="59">
        <f t="shared" si="0"/>
        <v>726.48629284105471</v>
      </c>
      <c r="S43" s="59">
        <f ca="1">AVERAGE(OFFSET($R$3,0,0,'Données projet'!$E$9+1,1))-AVERAGE(OFFSET($H$3,0,0,'Données projet'!$E$9+1,1))</f>
        <v>695.0879239758051</v>
      </c>
      <c r="T43" s="59">
        <f t="shared" si="34"/>
        <v>226.22150997227476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10.644540403800445</v>
      </c>
      <c r="AB43" s="21">
        <f>EXP(-LN(2)/2)*AB42+(1-EXP(-LN(2)/2))/(LN(2)/2)*V43*Y43*VLOOKUP('Données projet'!$B$9,Paramètres!$A$1:$I$89,3,0)*0.475*44/12</f>
        <v>0.7828457906911539</v>
      </c>
      <c r="AC43" s="22">
        <f t="shared" si="3"/>
        <v>11.427386194491598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13.987142857142857</v>
      </c>
      <c r="AI43" s="13">
        <f>IF('Données projet'!$A$62&gt;35,AI42+AH43-AQ42,IF(A43&lt;'Données projet'!$A$62,$AF$205^A43,IF(A43='Données projet'!$A$62,'Données projet'!$B$62,AI42+AH43-AQ42)))</f>
        <v>162.56142857142856</v>
      </c>
      <c r="AJ43" s="13">
        <f>AI43*VLOOKUP('Données projet'!$B$10,Paramètres!$A$1:$I$89,3,0)*VLOOKUP('Données projet'!$B$10,Paramètres!$A$1:$I$89,5,0)</f>
        <v>136.94174742857143</v>
      </c>
      <c r="AK43" s="13">
        <f t="shared" si="35"/>
        <v>35.595504732914314</v>
      </c>
      <c r="AL43" s="20">
        <f t="shared" si="4"/>
        <v>300.50238084792096</v>
      </c>
      <c r="AM43" s="59">
        <f t="shared" si="5"/>
        <v>593.83571418125427</v>
      </c>
      <c r="AN43" s="59">
        <f ca="1">AVERAGE(OFFSET($AM$3,0,0,'Données projet'!$E$10+1,1))-AVERAGE(OFFSET($H$3,0,0,'Données projet'!$E$10+1,1))</f>
        <v>424.81155998881928</v>
      </c>
      <c r="AO43" s="59">
        <f t="shared" si="36"/>
        <v>277.34430416544575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29.238897370304933</v>
      </c>
      <c r="AW43" s="21">
        <f>EXP(-LN(2)/2)*AW42+(1-EXP(-LN(2)/2))/(LN(2)/2)*AQ43*AT43*VLOOKUP('Données projet'!$B$10,Paramètres!$A$1:$I$89,3,0)*0.475*44/12</f>
        <v>2.9287961452766087</v>
      </c>
      <c r="AX43" s="21">
        <f t="shared" si="6"/>
        <v>32.16769351558154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166.06422857142869</v>
      </c>
      <c r="BF43" s="13">
        <f t="shared" si="37"/>
        <v>42.20734362237048</v>
      </c>
      <c r="BG43" s="20">
        <f t="shared" si="7"/>
        <v>362.73965490420022</v>
      </c>
      <c r="BH43" s="59">
        <f t="shared" si="8"/>
        <v>656.07298823753354</v>
      </c>
      <c r="BI43" s="59">
        <f ca="1">AVERAGE(OFFSET($BH$3,0,0,'Données projet'!$E$11+1,1))-AVERAGE(OFFSET($H$3,0,0,'Données projet'!$E$11+1,1))</f>
        <v>706.69239849991595</v>
      </c>
      <c r="BJ43" s="59">
        <f t="shared" si="38"/>
        <v>310.59887275116529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9.8128571428571423</v>
      </c>
      <c r="BY43" s="12">
        <f>IF('Données projet'!$A$114&gt;35,BY42+BX43-CG42,IF(A43&lt;'Données projet'!$A$114,$BV$205^A43,IF(A43='Données projet'!$A$114,'Données projet'!$B$114,BY42+BX43-CG42)))</f>
        <v>100.6857142857143</v>
      </c>
      <c r="BZ43" s="13">
        <f>BY43*VLOOKUP('Données projet'!$B$12,Paramètres!$A$1:$I$89,3,0)*VLOOKUP('Données projet'!$B$12,Paramètres!$A$1:$I$89,5,0)</f>
        <v>95.812525714285727</v>
      </c>
      <c r="CA43" s="13">
        <f t="shared" si="39"/>
        <v>25.961919514574856</v>
      </c>
      <c r="CB43" s="20">
        <f t="shared" si="10"/>
        <v>212.09049210693217</v>
      </c>
      <c r="CC43" s="59">
        <f t="shared" si="11"/>
        <v>505.42382544026549</v>
      </c>
      <c r="CD43" s="59">
        <f ca="1">AVERAGE(OFFSET($CC$3,0,0,'Données projet'!$E$12+1,1))-AVERAGE(OFFSET($H$3,0,0,'Données projet'!$E$12+1,1))</f>
        <v>449.28947235329758</v>
      </c>
      <c r="CE43" s="59">
        <f t="shared" si="40"/>
        <v>289.36994109443964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24.405923505366729</v>
      </c>
      <c r="CM43" s="21">
        <f>EXP(-LN(2)/2)*CM42+(1-EXP(-LN(2)/2))/(LN(2)/2)*CG43*CJ43*VLOOKUP('Données projet'!$B$12,Paramètres!$A$1:$I$89,3,0)*0.475*44/12</f>
        <v>6.4259855368437542</v>
      </c>
      <c r="CN43" s="22">
        <f t="shared" si="12"/>
        <v>30.831909042210484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133.66079999999997</v>
      </c>
      <c r="CV43" s="13">
        <f t="shared" si="41"/>
        <v>34.840890682716719</v>
      </c>
      <c r="CW43" s="20">
        <f t="shared" si="13"/>
        <v>293.47377793906486</v>
      </c>
      <c r="CX43" s="59">
        <f t="shared" si="14"/>
        <v>586.80711127239817</v>
      </c>
      <c r="CY43" s="59">
        <f ca="1">AVERAGE(OFFSET($CX$3,0,0,'Données projet'!$E$13+1,1))-AVERAGE(OFFSET($H$3,0,0,'Données projet'!$E$13+1,1))</f>
        <v>261.93797831021766</v>
      </c>
      <c r="CZ43" s="59">
        <f t="shared" si="42"/>
        <v>256.90876395053073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10.338353786879626</v>
      </c>
      <c r="DH43" s="21">
        <f>EXP(-LN(2)/2)*DH42+(1-EXP(-LN(2)/2))/(LN(2)/2)*DB43*DE43*VLOOKUP('Données projet'!$B$13,Paramètres!$A$1:$I$89,3,0)*0.475*44/12</f>
        <v>5.2557365221123939</v>
      </c>
      <c r="DI43" s="22">
        <f t="shared" si="15"/>
        <v>15.594090308992019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13.956249999999997</v>
      </c>
      <c r="N44" s="13">
        <f>IF('Données projet'!$A$36&gt;35,N43+M44-V43,IF(A44&lt;'Données projet'!$A$36,$K$205^A44,IF(A44='Données projet'!$A$36,'Données projet'!$B$36,N43+M44-V43)))</f>
        <v>234.05375000000004</v>
      </c>
      <c r="O44" s="13">
        <f>N44*VLOOKUP('Données projet'!$B$9,Paramètres!$A$1:$I$89,3,0)*VLOOKUP('Données projet'!$B$9,Paramètres!$A$1:$I$89,5,0)</f>
        <v>211.77183300000004</v>
      </c>
      <c r="P44" s="13">
        <f t="shared" si="33"/>
        <v>52.322586251762758</v>
      </c>
      <c r="Q44" s="20">
        <f t="shared" si="53"/>
        <v>459.9644468634869</v>
      </c>
      <c r="R44" s="59">
        <f t="shared" si="0"/>
        <v>753.29778019682021</v>
      </c>
      <c r="S44" s="59">
        <f ca="1">AVERAGE(OFFSET($R$3,0,0,'Données projet'!$E$9+1,1))-AVERAGE(OFFSET($H$3,0,0,'Données projet'!$E$9+1,1))</f>
        <v>695.0879239758051</v>
      </c>
      <c r="T44" s="59">
        <f t="shared" si="34"/>
        <v>226.22150997227476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10.353464886686471</v>
      </c>
      <c r="AB44" s="21">
        <f>EXP(-LN(2)/2)*AB43+(1-EXP(-LN(2)/2))/(LN(2)/2)*V44*Y44*VLOOKUP('Données projet'!$B$9,Paramètres!$A$1:$I$89,3,0)*0.475*44/12</f>
        <v>0.55355556722105959</v>
      </c>
      <c r="AC44" s="22">
        <f t="shared" si="3"/>
        <v>10.90702045390753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13.987142857142857</v>
      </c>
      <c r="AI44" s="13">
        <f>IF('Données projet'!$A$62&gt;35,AI43+AH44-AQ43,IF(A44&lt;'Données projet'!$A$62,$AF$205^A44,IF(A44='Données projet'!$A$62,'Données projet'!$B$62,AI43+AH44-AQ43)))</f>
        <v>176.54857142857142</v>
      </c>
      <c r="AJ44" s="13">
        <f>AI44*VLOOKUP('Données projet'!$B$10,Paramètres!$A$1:$I$89,3,0)*VLOOKUP('Données projet'!$B$10,Paramètres!$A$1:$I$89,5,0)</f>
        <v>148.72451657142858</v>
      </c>
      <c r="AK44" s="13">
        <f t="shared" si="35"/>
        <v>38.288583531630934</v>
      </c>
      <c r="AL44" s="20">
        <f t="shared" si="4"/>
        <v>325.71448267949529</v>
      </c>
      <c r="AM44" s="59">
        <f t="shared" si="5"/>
        <v>619.04781601282866</v>
      </c>
      <c r="AN44" s="59">
        <f ca="1">AVERAGE(OFFSET($AM$3,0,0,'Données projet'!$E$10+1,1))-AVERAGE(OFFSET($H$3,0,0,'Données projet'!$E$10+1,1))</f>
        <v>424.81155998881928</v>
      </c>
      <c r="AO44" s="59">
        <f t="shared" si="36"/>
        <v>277.34430416544575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28.43935818410716</v>
      </c>
      <c r="AW44" s="21">
        <f>EXP(-LN(2)/2)*AW43+(1-EXP(-LN(2)/2))/(LN(2)/2)*AQ44*AT44*VLOOKUP('Données projet'!$B$10,Paramètres!$A$1:$I$89,3,0)*0.475*44/12</f>
        <v>2.0709716150381108</v>
      </c>
      <c r="AX44" s="21">
        <f t="shared" si="6"/>
        <v>30.510329799145271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170.21583428571441</v>
      </c>
      <c r="BF44" s="13">
        <f t="shared" si="37"/>
        <v>43.138359715238352</v>
      </c>
      <c r="BG44" s="20">
        <f t="shared" si="7"/>
        <v>371.59188788499273</v>
      </c>
      <c r="BH44" s="59">
        <f t="shared" si="8"/>
        <v>664.92522121832599</v>
      </c>
      <c r="BI44" s="59">
        <f ca="1">AVERAGE(OFFSET($BH$3,0,0,'Données projet'!$E$11+1,1))-AVERAGE(OFFSET($H$3,0,0,'Données projet'!$E$11+1,1))</f>
        <v>706.69239849991595</v>
      </c>
      <c r="BJ44" s="59">
        <f t="shared" si="38"/>
        <v>310.59887275116529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9.8128571428571423</v>
      </c>
      <c r="BY44" s="12">
        <f>IF('Données projet'!$A$114&gt;35,BY43+BX44-CG43,IF(A44&lt;'Données projet'!$A$114,$BV$205^A44,IF(A44='Données projet'!$A$114,'Données projet'!$B$114,BY43+BX44-CG43)))</f>
        <v>110.49857142857144</v>
      </c>
      <c r="BZ44" s="13">
        <f>BY44*VLOOKUP('Données projet'!$B$12,Paramètres!$A$1:$I$89,3,0)*VLOOKUP('Données projet'!$B$12,Paramètres!$A$1:$I$89,5,0)</f>
        <v>105.15044057142858</v>
      </c>
      <c r="CA44" s="13">
        <f t="shared" si="39"/>
        <v>28.185409559827399</v>
      </c>
      <c r="CB44" s="20">
        <f t="shared" si="10"/>
        <v>232.22660564527078</v>
      </c>
      <c r="CC44" s="59">
        <f t="shared" si="11"/>
        <v>525.55993897860412</v>
      </c>
      <c r="CD44" s="59">
        <f ca="1">AVERAGE(OFFSET($CC$3,0,0,'Données projet'!$E$12+1,1))-AVERAGE(OFFSET($H$3,0,0,'Données projet'!$E$12+1,1))</f>
        <v>449.28947235329758</v>
      </c>
      <c r="CE44" s="59">
        <f t="shared" si="40"/>
        <v>289.36994109443964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23.738542243660739</v>
      </c>
      <c r="CM44" s="21">
        <f>EXP(-LN(2)/2)*CM43+(1-EXP(-LN(2)/2))/(LN(2)/2)*CG44*CJ44*VLOOKUP('Données projet'!$B$12,Paramètres!$A$1:$I$89,3,0)*0.475*44/12</f>
        <v>4.5438579489088955</v>
      </c>
      <c r="CN44" s="22">
        <f t="shared" si="12"/>
        <v>28.282400192569632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120.90623999999997</v>
      </c>
      <c r="CV44" s="13">
        <f t="shared" si="41"/>
        <v>31.886272251257857</v>
      </c>
      <c r="CW44" s="20">
        <f t="shared" si="13"/>
        <v>266.11362550427401</v>
      </c>
      <c r="CX44" s="59">
        <f t="shared" si="14"/>
        <v>559.44695883760733</v>
      </c>
      <c r="CY44" s="59">
        <f ca="1">AVERAGE(OFFSET($CX$3,0,0,'Données projet'!$E$13+1,1))-AVERAGE(OFFSET($H$3,0,0,'Données projet'!$E$13+1,1))</f>
        <v>261.93797831021766</v>
      </c>
      <c r="CZ44" s="59">
        <f t="shared" si="42"/>
        <v>256.90876395053073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10.055650958907005</v>
      </c>
      <c r="DH44" s="21">
        <f>EXP(-LN(2)/2)*DH43+(1-EXP(-LN(2)/2))/(LN(2)/2)*DB44*DE44*VLOOKUP('Données projet'!$B$13,Paramètres!$A$1:$I$89,3,0)*0.475*44/12</f>
        <v>3.7163669349154751</v>
      </c>
      <c r="DI44" s="22">
        <f t="shared" si="15"/>
        <v>13.772017893822481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13.956249999999997</v>
      </c>
      <c r="M45" s="12">
        <f t="array" ref="M45">INDEX(L:L,MIN(IF(ISNUMBER(L45:L241),ROW(L45:L241),"")))</f>
        <v>13.956249999999997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780.07591926045438</v>
      </c>
      <c r="S45" s="59">
        <f ca="1">AVERAGE(OFFSET($R$3,0,0,'Données projet'!$E$9+1,1))-AVERAGE(OFFSET($H$3,0,0,'Données projet'!$E$9+1,1))</f>
        <v>695.0879239758051</v>
      </c>
      <c r="T45" s="59">
        <f t="shared" si="34"/>
        <v>226.22150997227476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58.099999999999994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29.982625570044064</v>
      </c>
      <c r="AB45" s="21">
        <f>EXP(-LN(2)/2)*AB44+(1-EXP(-LN(2)/2))/(LN(2)/2)*V45*Y45*VLOOKUP('Données projet'!$B$9,Paramètres!$A$1:$I$89,3,0)*0.475*44/12</f>
        <v>10.311453525477758</v>
      </c>
      <c r="AC45" s="22">
        <f t="shared" si="3"/>
        <v>40.294079095521823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13.987142857142857</v>
      </c>
      <c r="AI45" s="13">
        <f>IF('Données projet'!$A$62&gt;35,AI44+AH45-AQ44,IF(A45&lt;'Données projet'!$A$62,$AF$205^A45,IF(A45='Données projet'!$A$62,'Données projet'!$B$62,AI44+AH45-AQ44)))</f>
        <v>190.53571428571428</v>
      </c>
      <c r="AJ45" s="13">
        <f>AI45*VLOOKUP('Données projet'!$B$10,Paramètres!$A$1:$I$89,3,0)*VLOOKUP('Données projet'!$B$10,Paramètres!$A$1:$I$89,5,0)</f>
        <v>160.50728571428573</v>
      </c>
      <c r="AK45" s="13">
        <f t="shared" si="35"/>
        <v>40.956914027108454</v>
      </c>
      <c r="AL45" s="20">
        <f t="shared" si="4"/>
        <v>350.88348121626149</v>
      </c>
      <c r="AM45" s="59">
        <f t="shared" si="5"/>
        <v>644.2168145495948</v>
      </c>
      <c r="AN45" s="59">
        <f ca="1">AVERAGE(OFFSET($AM$3,0,0,'Données projet'!$E$10+1,1))-AVERAGE(OFFSET($H$3,0,0,'Données projet'!$E$10+1,1))</f>
        <v>424.81155998881928</v>
      </c>
      <c r="AO45" s="59">
        <f t="shared" si="36"/>
        <v>277.34430416544575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27.6616824390019</v>
      </c>
      <c r="AW45" s="21">
        <f>EXP(-LN(2)/2)*AW44+(1-EXP(-LN(2)/2))/(LN(2)/2)*AQ45*AT45*VLOOKUP('Données projet'!$B$10,Paramètres!$A$1:$I$89,3,0)*0.475*44/12</f>
        <v>1.4643980726383043</v>
      </c>
      <c r="AX45" s="21">
        <f t="shared" si="6"/>
        <v>29.126080511640204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174.36744000000013</v>
      </c>
      <c r="BF45" s="13">
        <f t="shared" si="37"/>
        <v>44.066736102586425</v>
      </c>
      <c r="BG45" s="20">
        <f t="shared" si="7"/>
        <v>380.43952337867154</v>
      </c>
      <c r="BH45" s="59">
        <f t="shared" si="8"/>
        <v>673.7728567120048</v>
      </c>
      <c r="BI45" s="59">
        <f ca="1">AVERAGE(OFFSET($BH$3,0,0,'Données projet'!$E$11+1,1))-AVERAGE(OFFSET($H$3,0,0,'Données projet'!$E$11+1,1))</f>
        <v>706.69239849991595</v>
      </c>
      <c r="BJ45" s="59">
        <f t="shared" si="38"/>
        <v>310.59887275116529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17.095733695579888</v>
      </c>
      <c r="BR45" s="21">
        <f>EXP(-LN(2)/2)*BR44+(1-EXP(-LN(2)/2))/(LN(2)/2)*BL45*BO45*VLOOKUP('Données projet'!$B$11,Paramètres!$A$1:$I$89,3,0)*0.475*44/12</f>
        <v>8.5168664661306082</v>
      </c>
      <c r="BS45" s="22">
        <f t="shared" si="9"/>
        <v>25.612600161710496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9.8128571428571423</v>
      </c>
      <c r="BY45" s="12">
        <f>IF('Données projet'!$A$114&gt;35,BY44+BX45-CG44,IF(A45&lt;'Données projet'!$A$114,$BV$205^A45,IF(A45='Données projet'!$A$114,'Données projet'!$B$114,BY44+BX45-CG44)))</f>
        <v>120.31142857142858</v>
      </c>
      <c r="BZ45" s="13">
        <f>BY45*VLOOKUP('Données projet'!$B$12,Paramètres!$A$1:$I$89,3,0)*VLOOKUP('Données projet'!$B$12,Paramètres!$A$1:$I$89,5,0)</f>
        <v>114.48835542857144</v>
      </c>
      <c r="CA45" s="13">
        <f t="shared" si="39"/>
        <v>30.386002172379861</v>
      </c>
      <c r="CB45" s="20">
        <f t="shared" si="10"/>
        <v>252.32283948832352</v>
      </c>
      <c r="CC45" s="59">
        <f t="shared" si="11"/>
        <v>545.65617282165681</v>
      </c>
      <c r="CD45" s="59">
        <f ca="1">AVERAGE(OFFSET($CC$3,0,0,'Données projet'!$E$12+1,1))-AVERAGE(OFFSET($H$3,0,0,'Données projet'!$E$12+1,1))</f>
        <v>449.28947235329758</v>
      </c>
      <c r="CE45" s="59">
        <f t="shared" si="40"/>
        <v>289.36994109443964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23.089410557652155</v>
      </c>
      <c r="CM45" s="21">
        <f>EXP(-LN(2)/2)*CM44+(1-EXP(-LN(2)/2))/(LN(2)/2)*CG45*CJ45*VLOOKUP('Données projet'!$B$12,Paramètres!$A$1:$I$89,3,0)*0.475*44/12</f>
        <v>3.2129927684218771</v>
      </c>
      <c r="CN45" s="22">
        <f t="shared" si="12"/>
        <v>26.302403326074032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126.49727999999998</v>
      </c>
      <c r="CV45" s="13">
        <f t="shared" si="41"/>
        <v>33.185701456959592</v>
      </c>
      <c r="CW45" s="20">
        <f t="shared" si="13"/>
        <v>278.11452603753787</v>
      </c>
      <c r="CX45" s="59">
        <f t="shared" si="14"/>
        <v>571.44785937087113</v>
      </c>
      <c r="CY45" s="59">
        <f ca="1">AVERAGE(OFFSET($CX$3,0,0,'Données projet'!$E$13+1,1))-AVERAGE(OFFSET($H$3,0,0,'Données projet'!$E$13+1,1))</f>
        <v>261.93797831021766</v>
      </c>
      <c r="CZ45" s="59">
        <f t="shared" si="42"/>
        <v>256.90876395053073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9.7806786546319913</v>
      </c>
      <c r="DH45" s="21">
        <f>EXP(-LN(2)/2)*DH44+(1-EXP(-LN(2)/2))/(LN(2)/2)*DB45*DE45*VLOOKUP('Données projet'!$B$13,Paramètres!$A$1:$I$89,3,0)*0.475*44/12</f>
        <v>2.6278682610561974</v>
      </c>
      <c r="DI45" s="22">
        <f t="shared" si="15"/>
        <v>12.408546915688188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14.351250000000004</v>
      </c>
      <c r="N46" s="13">
        <f>IF('Données projet'!$A$36&gt;35,N45+M46-V45,IF(A46&lt;'Données projet'!$A$36,$K$205^A46,IF(A46='Données projet'!$A$36,'Données projet'!$B$36,N45+M46-V45)))</f>
        <v>204.26125000000005</v>
      </c>
      <c r="O46" s="13">
        <f>N46*VLOOKUP('Données projet'!$B$9,Paramètres!$A$1:$I$89,3,0)*VLOOKUP('Données projet'!$B$9,Paramètres!$A$1:$I$89,5,0)</f>
        <v>184.81557900000004</v>
      </c>
      <c r="P46" s="13">
        <f t="shared" si="33"/>
        <v>46.391911974203119</v>
      </c>
      <c r="Q46" s="20">
        <f t="shared" si="53"/>
        <v>402.6863801134038</v>
      </c>
      <c r="R46" s="59">
        <f t="shared" si="0"/>
        <v>696.01971344673711</v>
      </c>
      <c r="S46" s="59">
        <f ca="1">AVERAGE(OFFSET($R$3,0,0,'Données projet'!$E$9+1,1))-AVERAGE(OFFSET($H$3,0,0,'Données projet'!$E$9+1,1))</f>
        <v>695.0879239758051</v>
      </c>
      <c r="T46" s="59">
        <f t="shared" si="34"/>
        <v>226.22150997227476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29.162749097113455</v>
      </c>
      <c r="AB46" s="21">
        <f>EXP(-LN(2)/2)*AB45+(1-EXP(-LN(2)/2))/(LN(2)/2)*V46*Y46*VLOOKUP('Données projet'!$B$9,Paramètres!$A$1:$I$89,3,0)*0.475*44/12</f>
        <v>7.291298711755255</v>
      </c>
      <c r="AC46" s="22">
        <f t="shared" si="3"/>
        <v>36.454047808868708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13.987142857142857</v>
      </c>
      <c r="AI46" s="13">
        <f>IF('Données projet'!$A$62&gt;35,AI45+AH46-AQ45,IF(A46&lt;'Données projet'!$A$62,$AF$205^A46,IF(A46='Données projet'!$A$62,'Données projet'!$B$62,AI45+AH46-AQ45)))</f>
        <v>204.52285714285713</v>
      </c>
      <c r="AJ46" s="13">
        <f>AI46*VLOOKUP('Données projet'!$B$10,Paramètres!$A$1:$I$89,3,0)*VLOOKUP('Données projet'!$B$10,Paramètres!$A$1:$I$89,5,0)</f>
        <v>172.29005485714288</v>
      </c>
      <c r="AK46" s="13">
        <f t="shared" si="35"/>
        <v>43.602519580548581</v>
      </c>
      <c r="AL46" s="20">
        <f t="shared" si="4"/>
        <v>376.01290047897925</v>
      </c>
      <c r="AM46" s="59">
        <f t="shared" si="5"/>
        <v>669.34623381231256</v>
      </c>
      <c r="AN46" s="59">
        <f ca="1">AVERAGE(OFFSET($AM$3,0,0,'Données projet'!$E$10+1,1))-AVERAGE(OFFSET($H$3,0,0,'Données projet'!$E$10+1,1))</f>
        <v>424.81155998881928</v>
      </c>
      <c r="AO46" s="59">
        <f t="shared" si="36"/>
        <v>277.34430416544575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26.905272278042737</v>
      </c>
      <c r="AW46" s="21">
        <f>EXP(-LN(2)/2)*AW45+(1-EXP(-LN(2)/2))/(LN(2)/2)*AQ46*AT46*VLOOKUP('Données projet'!$B$10,Paramètres!$A$1:$I$89,3,0)*0.475*44/12</f>
        <v>1.0354858075190554</v>
      </c>
      <c r="AX46" s="21">
        <f t="shared" si="6"/>
        <v>27.940758085561793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139.48584000000011</v>
      </c>
      <c r="BF46" s="13">
        <f t="shared" si="37"/>
        <v>36.179193448415994</v>
      </c>
      <c r="BG46" s="20">
        <f t="shared" si="7"/>
        <v>305.94993325599131</v>
      </c>
      <c r="BH46" s="59">
        <f t="shared" si="8"/>
        <v>599.28326658932463</v>
      </c>
      <c r="BI46" s="59">
        <f ca="1">AVERAGE(OFFSET($BH$3,0,0,'Données projet'!$E$11+1,1))-AVERAGE(OFFSET($H$3,0,0,'Données projet'!$E$11+1,1))</f>
        <v>706.69239849991595</v>
      </c>
      <c r="BJ46" s="59">
        <f t="shared" si="38"/>
        <v>310.59887275116529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16.628249958648695</v>
      </c>
      <c r="BR46" s="21">
        <f>EXP(-LN(2)/2)*BR45+(1-EXP(-LN(2)/2))/(LN(2)/2)*BL46*BO46*VLOOKUP('Données projet'!$B$11,Paramètres!$A$1:$I$89,3,0)*0.475*44/12</f>
        <v>6.0223340326612602</v>
      </c>
      <c r="BS46" s="22">
        <f t="shared" si="9"/>
        <v>22.650583991309954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9.8128571428571423</v>
      </c>
      <c r="BY46" s="12">
        <f>IF('Données projet'!$A$114&gt;35,BY45+BX46-CG45,IF(A46&lt;'Données projet'!$A$114,$BV$205^A46,IF(A46='Données projet'!$A$114,'Données projet'!$B$114,BY45+BX46-CG45)))</f>
        <v>130.12428571428572</v>
      </c>
      <c r="BZ46" s="13">
        <f>BY46*VLOOKUP('Données projet'!$B$12,Paramètres!$A$1:$I$89,3,0)*VLOOKUP('Données projet'!$B$12,Paramètres!$A$1:$I$89,5,0)</f>
        <v>123.82627028571429</v>
      </c>
      <c r="CA46" s="13">
        <f t="shared" si="39"/>
        <v>32.565777238714922</v>
      </c>
      <c r="CB46" s="20">
        <f t="shared" si="10"/>
        <v>272.38281610504754</v>
      </c>
      <c r="CC46" s="59">
        <f t="shared" si="11"/>
        <v>565.71614943838085</v>
      </c>
      <c r="CD46" s="59">
        <f ca="1">AVERAGE(OFFSET($CC$3,0,0,'Données projet'!$E$12+1,1))-AVERAGE(OFFSET($H$3,0,0,'Données projet'!$E$12+1,1))</f>
        <v>449.28947235329758</v>
      </c>
      <c r="CE46" s="59">
        <f t="shared" si="40"/>
        <v>289.36994109443964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22.458029411733825</v>
      </c>
      <c r="CM46" s="21">
        <f>EXP(-LN(2)/2)*CM45+(1-EXP(-LN(2)/2))/(LN(2)/2)*CG46*CJ46*VLOOKUP('Données projet'!$B$12,Paramètres!$A$1:$I$89,3,0)*0.475*44/12</f>
        <v>2.2719289744544477</v>
      </c>
      <c r="CN46" s="22">
        <f t="shared" si="12"/>
        <v>24.729958386188272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132.08831999999998</v>
      </c>
      <c r="CV46" s="13">
        <f t="shared" si="41"/>
        <v>34.47846029657056</v>
      </c>
      <c r="CW46" s="20">
        <f t="shared" si="13"/>
        <v>290.10380901652701</v>
      </c>
      <c r="CX46" s="59">
        <f t="shared" si="14"/>
        <v>583.43714234986032</v>
      </c>
      <c r="CY46" s="59">
        <f ca="1">AVERAGE(OFFSET($CX$3,0,0,'Données projet'!$E$13+1,1))-AVERAGE(OFFSET($H$3,0,0,'Données projet'!$E$13+1,1))</f>
        <v>261.93797831021766</v>
      </c>
      <c r="CZ46" s="59">
        <f t="shared" si="42"/>
        <v>256.90876395053073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9.5132254824775426</v>
      </c>
      <c r="DH46" s="21">
        <f>EXP(-LN(2)/2)*DH45+(1-EXP(-LN(2)/2))/(LN(2)/2)*DB46*DE46*VLOOKUP('Données projet'!$B$13,Paramètres!$A$1:$I$89,3,0)*0.475*44/12</f>
        <v>1.8581834674577378</v>
      </c>
      <c r="DI46" s="22">
        <f t="shared" si="15"/>
        <v>11.37140894993528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14.351250000000004</v>
      </c>
      <c r="N47" s="13">
        <f>IF('Données projet'!$A$36&gt;35,N46+M47-V46,IF(A47&lt;'Données projet'!$A$36,$K$205^A47,IF(A47='Données projet'!$A$36,'Données projet'!$B$36,N46+M47-V46)))</f>
        <v>218.61250000000004</v>
      </c>
      <c r="O47" s="13">
        <f>N47*VLOOKUP('Données projet'!$B$9,Paramètres!$A$1:$I$89,3,0)*VLOOKUP('Données projet'!$B$9,Paramètres!$A$1:$I$89,5,0)</f>
        <v>197.80059000000003</v>
      </c>
      <c r="P47" s="13">
        <f t="shared" si="33"/>
        <v>49.260493336959819</v>
      </c>
      <c r="Q47" s="20">
        <f t="shared" si="53"/>
        <v>430.29805347853835</v>
      </c>
      <c r="R47" s="59">
        <f t="shared" si="0"/>
        <v>723.63138681187161</v>
      </c>
      <c r="S47" s="59">
        <f ca="1">AVERAGE(OFFSET($R$3,0,0,'Données projet'!$E$9+1,1))-AVERAGE(OFFSET($H$3,0,0,'Données projet'!$E$9+1,1))</f>
        <v>695.0879239758051</v>
      </c>
      <c r="T47" s="59">
        <f t="shared" si="34"/>
        <v>226.22150997227476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28.365292189450564</v>
      </c>
      <c r="AB47" s="21">
        <f>EXP(-LN(2)/2)*AB46+(1-EXP(-LN(2)/2))/(LN(2)/2)*V47*Y47*VLOOKUP('Données projet'!$B$9,Paramètres!$A$1:$I$89,3,0)*0.475*44/12</f>
        <v>5.1557267627388796</v>
      </c>
      <c r="AC47" s="22">
        <f t="shared" si="3"/>
        <v>33.521018952189443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218.51</v>
      </c>
      <c r="AG47" s="12">
        <f>VLOOKUP(A47,'Données projet'!$A$61:$I$81,9,0)</f>
        <v>13.987142857142857</v>
      </c>
      <c r="AH47" s="12">
        <f t="array" ref="AH47">INDEX(AG:AG,MIN(IF(ISNUMBER(AG47:AG243),ROW(AG47:AG243),"")))</f>
        <v>13.987142857142857</v>
      </c>
      <c r="AI47" s="13">
        <f>IF('Données projet'!$A$62&gt;35,AI46+AH47-AQ46,IF(A47&lt;'Données projet'!$A$62,$AF$205^A47,IF(A47='Données projet'!$A$62,'Données projet'!$B$62,AI46+AH47-AQ46)))</f>
        <v>218.51</v>
      </c>
      <c r="AJ47" s="13">
        <f>AI47*VLOOKUP('Données projet'!$B$10,Paramètres!$A$1:$I$89,3,0)*VLOOKUP('Données projet'!$B$10,Paramètres!$A$1:$I$89,5,0)</f>
        <v>184.07282400000003</v>
      </c>
      <c r="AK47" s="13">
        <f t="shared" si="35"/>
        <v>46.227131136084815</v>
      </c>
      <c r="AL47" s="20">
        <f t="shared" si="4"/>
        <v>401.10575519534768</v>
      </c>
      <c r="AM47" s="59">
        <f t="shared" si="5"/>
        <v>694.43908852868094</v>
      </c>
      <c r="AN47" s="59">
        <f ca="1">AVERAGE(OFFSET($AM$3,0,0,'Données projet'!$E$10+1,1))-AVERAGE(OFFSET($H$3,0,0,'Données projet'!$E$10+1,1))</f>
        <v>424.81155998881928</v>
      </c>
      <c r="AO47" s="59">
        <f t="shared" si="36"/>
        <v>277.34430416544575</v>
      </c>
      <c r="AP47" s="15">
        <f>IF(ISNA(VLOOKUP(A47,'Données projet'!$A$61:$I$81,3,0)),0,VLOOKUP(A47,'Données projet'!$A$61:$I$81,3,0))</f>
        <v>3</v>
      </c>
      <c r="AQ47" s="15">
        <f>IF(ISNA(VLOOKUP(A47,'Données projet'!$A$61:$I$81,4,0)),0,VLOOKUP(A47,'Données projet'!$A$61:$I$81,4,0))</f>
        <v>56.45999999999998</v>
      </c>
      <c r="AR47" s="16">
        <f>IF(ISNA(VLOOKUP(A47,'Données projet'!$A$61:$I$81,5,0)),0%,VLOOKUP(A47,'Données projet'!$A$61:$I$81,5,0)*VLOOKUP('Données projet'!$B$10,Paramètres!$A$1:$I$89,7,0))</f>
        <v>0.15049999999999999</v>
      </c>
      <c r="AS47" s="16">
        <f>IF(ISNA(VLOOKUP(A47,'Données projet'!$A$61:$I$81,6,0)),0%,VLOOKUP(A47,'Données projet'!$A$61:$I$81,6,0)*VLOOKUP('Données projet'!$B$10,Paramètres!$A$1:$I$89,7,0))</f>
        <v>8.6000000000000007E-2</v>
      </c>
      <c r="AT47" s="16">
        <f>IF(ISNA(VLOOKUP(A47,'Données projet'!$A$61:$I$81,7,0)),0%,VLOOKUP(A47,'Données projet'!$A$61:$I$81,7,0))</f>
        <v>0.1</v>
      </c>
      <c r="AU47" s="21">
        <f>EXP(-LN(2)/35)*AU46+(1-EXP(-LN(2)/35))/(LN(2)/35)*AQ47*AR47*VLOOKUP('Données projet'!$B$10,Paramètres!$A$1:$I$89,3,0)*0.475*44/12</f>
        <v>7.9130305479615517</v>
      </c>
      <c r="AV47" s="21">
        <f>EXP(-LN(2)/25)*AV46+(1-EXP(-LN(2)/25))/(LN(2)/25)*Calculateur!AQ47*Calculateur!AS47*VLOOKUP('Données projet'!$B$10,Paramètres!$A$1:$I$89,3,0)*0.475*44/12</f>
        <v>30.673474153623289</v>
      </c>
      <c r="AW47" s="21">
        <f>EXP(-LN(2)/2)*AW46+(1-EXP(-LN(2)/2))/(LN(2)/2)*AQ47*AT47*VLOOKUP('Données projet'!$B$10,Paramètres!$A$1:$I$89,3,0)*0.475*44/12</f>
        <v>5.2197926897069191</v>
      </c>
      <c r="AX47" s="21">
        <f t="shared" si="6"/>
        <v>43.806297391291764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149.73738000000014</v>
      </c>
      <c r="BF47" s="13">
        <f t="shared" si="37"/>
        <v>38.518898198188772</v>
      </c>
      <c r="BG47" s="20">
        <f t="shared" si="7"/>
        <v>327.87968452851231</v>
      </c>
      <c r="BH47" s="59">
        <f t="shared" si="8"/>
        <v>621.21301786184563</v>
      </c>
      <c r="BI47" s="59">
        <f ca="1">AVERAGE(OFFSET($BH$3,0,0,'Données projet'!$E$11+1,1))-AVERAGE(OFFSET($H$3,0,0,'Données projet'!$E$11+1,1))</f>
        <v>706.69239849991595</v>
      </c>
      <c r="BJ47" s="59">
        <f t="shared" si="38"/>
        <v>310.59887275116529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16.173549589087784</v>
      </c>
      <c r="BR47" s="21">
        <f>EXP(-LN(2)/2)*BR46+(1-EXP(-LN(2)/2))/(LN(2)/2)*BL47*BO47*VLOOKUP('Données projet'!$B$11,Paramètres!$A$1:$I$89,3,0)*0.475*44/12</f>
        <v>4.2584332330653041</v>
      </c>
      <c r="BS47" s="22">
        <f t="shared" si="9"/>
        <v>20.431982822153088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9.8128571428571423</v>
      </c>
      <c r="BY47" s="12">
        <f>IF('Données projet'!$A$114&gt;35,BY46+BX47-CG46,IF(A47&lt;'Données projet'!$A$114,$BV$205^A47,IF(A47='Données projet'!$A$114,'Données projet'!$B$114,BY46+BX47-CG46)))</f>
        <v>139.93714285714287</v>
      </c>
      <c r="BZ47" s="13">
        <f>BY47*VLOOKUP('Données projet'!$B$12,Paramètres!$A$1:$I$89,3,0)*VLOOKUP('Données projet'!$B$12,Paramètres!$A$1:$I$89,5,0)</f>
        <v>133.16418514285718</v>
      </c>
      <c r="CA47" s="13">
        <f t="shared" si="39"/>
        <v>34.726483144583192</v>
      </c>
      <c r="CB47" s="20">
        <f t="shared" si="10"/>
        <v>292.4095806006253</v>
      </c>
      <c r="CC47" s="59">
        <f t="shared" si="11"/>
        <v>585.74291393395856</v>
      </c>
      <c r="CD47" s="59">
        <f ca="1">AVERAGE(OFFSET($CC$3,0,0,'Données projet'!$E$12+1,1))-AVERAGE(OFFSET($H$3,0,0,'Données projet'!$E$12+1,1))</f>
        <v>449.28947235329758</v>
      </c>
      <c r="CE47" s="59">
        <f t="shared" si="40"/>
        <v>289.36994109443964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21.843913416453525</v>
      </c>
      <c r="CM47" s="21">
        <f>EXP(-LN(2)/2)*CM46+(1-EXP(-LN(2)/2))/(LN(2)/2)*CG47*CJ47*VLOOKUP('Données projet'!$B$12,Paramètres!$A$1:$I$89,3,0)*0.475*44/12</f>
        <v>1.6064963842109385</v>
      </c>
      <c r="CN47" s="22">
        <f t="shared" si="12"/>
        <v>23.450409800664463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137.67935999999997</v>
      </c>
      <c r="CV47" s="13">
        <f t="shared" si="41"/>
        <v>35.764863394856881</v>
      </c>
      <c r="CW47" s="20">
        <f t="shared" si="13"/>
        <v>302.08202241270902</v>
      </c>
      <c r="CX47" s="59">
        <f t="shared" si="14"/>
        <v>595.41535574604234</v>
      </c>
      <c r="CY47" s="59">
        <f ca="1">AVERAGE(OFFSET($CX$3,0,0,'Données projet'!$E$13+1,1))-AVERAGE(OFFSET($H$3,0,0,'Données projet'!$E$13+1,1))</f>
        <v>261.93797831021766</v>
      </c>
      <c r="CZ47" s="59">
        <f t="shared" si="42"/>
        <v>256.90876395053073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9.2530858313804085</v>
      </c>
      <c r="DH47" s="21">
        <f>EXP(-LN(2)/2)*DH46+(1-EXP(-LN(2)/2))/(LN(2)/2)*DB47*DE47*VLOOKUP('Données projet'!$B$13,Paramètres!$A$1:$I$89,3,0)*0.475*44/12</f>
        <v>1.3139341305280989</v>
      </c>
      <c r="DI47" s="22">
        <f t="shared" si="15"/>
        <v>10.567019961908507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14.351250000000004</v>
      </c>
      <c r="N48" s="13">
        <f>IF('Données projet'!$A$36&gt;35,N47+M48-V47,IF(A48&lt;'Données projet'!$A$36,$K$205^A48,IF(A48='Données projet'!$A$36,'Données projet'!$B$36,N47+M48-V47)))</f>
        <v>232.96375000000003</v>
      </c>
      <c r="O48" s="13">
        <f>N48*VLOOKUP('Données projet'!$B$9,Paramètres!$A$1:$I$89,3,0)*VLOOKUP('Données projet'!$B$9,Paramètres!$A$1:$I$89,5,0)</f>
        <v>210.78560100000001</v>
      </c>
      <c r="P48" s="13">
        <f t="shared" si="33"/>
        <v>52.107221956756902</v>
      </c>
      <c r="Q48" s="20">
        <f t="shared" si="53"/>
        <v>457.87166664968487</v>
      </c>
      <c r="R48" s="59">
        <f t="shared" si="0"/>
        <v>751.20499998301818</v>
      </c>
      <c r="S48" s="59">
        <f ca="1">AVERAGE(OFFSET($R$3,0,0,'Données projet'!$E$9+1,1))-AVERAGE(OFFSET($H$3,0,0,'Données projet'!$E$9+1,1))</f>
        <v>695.0879239758051</v>
      </c>
      <c r="T48" s="59">
        <f t="shared" si="34"/>
        <v>226.22150997227476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27.589641782864152</v>
      </c>
      <c r="AB48" s="21">
        <f>EXP(-LN(2)/2)*AB47+(1-EXP(-LN(2)/2))/(LN(2)/2)*V48*Y48*VLOOKUP('Données projet'!$B$9,Paramètres!$A$1:$I$89,3,0)*0.475*44/12</f>
        <v>3.6456493558776284</v>
      </c>
      <c r="AC48" s="22">
        <f t="shared" si="3"/>
        <v>31.235291138741779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14.224285714285713</v>
      </c>
      <c r="AI48" s="13">
        <f>IF('Données projet'!$A$62&gt;35,AI47+AH48-AQ47,IF(A48&lt;'Données projet'!$A$62,$AF$205^A48,IF(A48='Données projet'!$A$62,'Données projet'!$B$62,AI47+AH48-AQ47)))</f>
        <v>176.27428571428572</v>
      </c>
      <c r="AJ48" s="13">
        <f>AI48*VLOOKUP('Données projet'!$B$10,Paramètres!$A$1:$I$89,3,0)*VLOOKUP('Données projet'!$B$10,Paramètres!$A$1:$I$89,5,0)</f>
        <v>148.4934582857143</v>
      </c>
      <c r="AK48" s="13">
        <f t="shared" si="35"/>
        <v>38.236017731685749</v>
      </c>
      <c r="AL48" s="20">
        <f t="shared" si="4"/>
        <v>325.22050406363837</v>
      </c>
      <c r="AM48" s="59">
        <f t="shared" si="5"/>
        <v>618.55383739697163</v>
      </c>
      <c r="AN48" s="59">
        <f ca="1">AVERAGE(OFFSET($AM$3,0,0,'Données projet'!$E$10+1,1))-AVERAGE(OFFSET($H$3,0,0,'Données projet'!$E$10+1,1))</f>
        <v>424.81155998881928</v>
      </c>
      <c r="AO48" s="59">
        <f t="shared" si="36"/>
        <v>277.34430416544575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7.7578608453880857</v>
      </c>
      <c r="AV48" s="21">
        <f>EXP(-LN(2)/25)*AV47+(1-EXP(-LN(2)/25))/(LN(2)/25)*Calculateur!AQ48*Calculateur!AS48*VLOOKUP('Données projet'!$B$10,Paramètres!$A$1:$I$89,3,0)*0.475*44/12</f>
        <v>29.834706389844559</v>
      </c>
      <c r="AW48" s="21">
        <f>EXP(-LN(2)/2)*AW47+(1-EXP(-LN(2)/2))/(LN(2)/2)*AQ48*AT48*VLOOKUP('Données projet'!$B$10,Paramètres!$A$1:$I$89,3,0)*0.475*44/12</f>
        <v>3.690950807279731</v>
      </c>
      <c r="AX48" s="21">
        <f t="shared" si="6"/>
        <v>41.283518042512377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159.98892000000018</v>
      </c>
      <c r="BF48" s="13">
        <f t="shared" si="37"/>
        <v>40.840016271695262</v>
      </c>
      <c r="BG48" s="20">
        <f t="shared" si="7"/>
        <v>349.77706400653625</v>
      </c>
      <c r="BH48" s="59">
        <f t="shared" si="8"/>
        <v>643.11039733986956</v>
      </c>
      <c r="BI48" s="59">
        <f ca="1">AVERAGE(OFFSET($BH$3,0,0,'Données projet'!$E$11+1,1))-AVERAGE(OFFSET($H$3,0,0,'Données projet'!$E$11+1,1))</f>
        <v>706.69239849991595</v>
      </c>
      <c r="BJ48" s="59">
        <f t="shared" si="38"/>
        <v>310.59887275116529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15.731283025044171</v>
      </c>
      <c r="BR48" s="21">
        <f>EXP(-LN(2)/2)*BR47+(1-EXP(-LN(2)/2))/(LN(2)/2)*BL48*BO48*VLOOKUP('Données projet'!$B$11,Paramètres!$A$1:$I$89,3,0)*0.475*44/12</f>
        <v>3.0111670163306301</v>
      </c>
      <c r="BS48" s="22">
        <f t="shared" si="9"/>
        <v>18.742450041374802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149.75</v>
      </c>
      <c r="BW48" s="12">
        <f>VLOOKUP(A48,'Données projet'!$A$113:$I$133,9,0)</f>
        <v>9.8128571428571423</v>
      </c>
      <c r="BX48" s="12">
        <f t="array" ref="BX48">INDEX(BW:BW,MIN(IF(ISNUMBER(BW48:BW244),ROW(BW48:BW244),"")))</f>
        <v>9.8128571428571423</v>
      </c>
      <c r="BY48" s="12">
        <f>IF('Données projet'!$A$114&gt;35,BY47+BX48-CG47,IF(A48&lt;'Données projet'!$A$114,$BV$205^A48,IF(A48='Données projet'!$A$114,'Données projet'!$B$114,BY47+BX48-CG47)))</f>
        <v>149.75000000000003</v>
      </c>
      <c r="BZ48" s="13">
        <f>BY48*VLOOKUP('Données projet'!$B$12,Paramètres!$A$1:$I$89,3,0)*VLOOKUP('Données projet'!$B$12,Paramètres!$A$1:$I$89,5,0)</f>
        <v>142.50210000000001</v>
      </c>
      <c r="CA48" s="13">
        <f t="shared" si="39"/>
        <v>36.869609182810613</v>
      </c>
      <c r="CB48" s="20">
        <f t="shared" si="10"/>
        <v>312.40572682672854</v>
      </c>
      <c r="CC48" s="59">
        <f t="shared" si="11"/>
        <v>605.73906016006185</v>
      </c>
      <c r="CD48" s="59">
        <f ca="1">AVERAGE(OFFSET($CC$3,0,0,'Données projet'!$E$12+1,1))-AVERAGE(OFFSET($H$3,0,0,'Données projet'!$E$12+1,1))</f>
        <v>449.28947235329758</v>
      </c>
      <c r="CE48" s="59">
        <f t="shared" si="40"/>
        <v>289.36994109443964</v>
      </c>
      <c r="CF48" s="15">
        <f>IF(ISNA(VLOOKUP(A48,'Données projet'!$A$113:$I$133,3,0)),0,VLOOKUP(A48,'Données projet'!$A$113:$I$133,3,0))</f>
        <v>2</v>
      </c>
      <c r="CG48" s="15">
        <f>IF(ISNA(VLOOKUP(A48,'Données projet'!$A$113:$I$133,4,0)),0,VLOOKUP(A48,'Données projet'!$A$113:$I$133,4,0))</f>
        <v>41.69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0.34400000000000003</v>
      </c>
      <c r="CJ48" s="16">
        <f>IF(ISNA(VLOOKUP(A48,'Données projet'!$A$113:$I$133,7,0)),0%,VLOOKUP(A48,'Données projet'!$A$113:$I$133,7,0))</f>
        <v>0.2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36.273806259549104</v>
      </c>
      <c r="CM48" s="21">
        <f>EXP(-LN(2)/2)*CM47+(1-EXP(-LN(2)/2))/(LN(2)/2)*CG48*CJ48*VLOOKUP('Données projet'!$B$12,Paramètres!$A$1:$I$89,3,0)*0.475*44/12</f>
        <v>8.6223229343703309</v>
      </c>
      <c r="CN48" s="22">
        <f t="shared" si="12"/>
        <v>44.896129193919435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143.2704</v>
      </c>
      <c r="CV48" s="13">
        <f t="shared" si="41"/>
        <v>37.045198377171303</v>
      </c>
      <c r="CW48" s="20">
        <f t="shared" si="13"/>
        <v>314.04966717357325</v>
      </c>
      <c r="CX48" s="59">
        <f t="shared" si="14"/>
        <v>607.38300050690657</v>
      </c>
      <c r="CY48" s="59">
        <f ca="1">AVERAGE(OFFSET($CX$3,0,0,'Données projet'!$E$13+1,1))-AVERAGE(OFFSET($H$3,0,0,'Données projet'!$E$13+1,1))</f>
        <v>261.93797831021766</v>
      </c>
      <c r="CZ48" s="59">
        <f t="shared" si="42"/>
        <v>256.90876395053073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11.29427812556316</v>
      </c>
      <c r="DH48" s="21">
        <f>EXP(-LN(2)/2)*DH47+(1-EXP(-LN(2)/2))/(LN(2)/2)*DB48*DE48*VLOOKUP('Données projet'!$B$13,Paramètres!$A$1:$I$89,3,0)*0.475*44/12</f>
        <v>4.6382847404255712</v>
      </c>
      <c r="DI48" s="22">
        <f t="shared" si="15"/>
        <v>15.932562865988732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14.351250000000004</v>
      </c>
      <c r="N49" s="13">
        <f>IF('Données projet'!$A$36&gt;35,N48+M49-V48,IF(A49&lt;'Données projet'!$A$36,$K$205^A49,IF(A49='Données projet'!$A$36,'Données projet'!$B$36,N48+M49-V48)))</f>
        <v>247.31500000000003</v>
      </c>
      <c r="O49" s="13">
        <f>N49*VLOOKUP('Données projet'!$B$9,Paramètres!$A$1:$I$89,3,0)*VLOOKUP('Données projet'!$B$9,Paramètres!$A$1:$I$89,5,0)</f>
        <v>223.770612</v>
      </c>
      <c r="P49" s="13">
        <f t="shared" si="33"/>
        <v>54.933597302380846</v>
      </c>
      <c r="Q49" s="20">
        <f t="shared" si="53"/>
        <v>485.40983120164657</v>
      </c>
      <c r="R49" s="59">
        <f t="shared" si="0"/>
        <v>778.74316453497988</v>
      </c>
      <c r="S49" s="59">
        <f ca="1">AVERAGE(OFFSET($R$3,0,0,'Données projet'!$E$9+1,1))-AVERAGE(OFFSET($H$3,0,0,'Données projet'!$E$9+1,1))</f>
        <v>695.0879239758051</v>
      </c>
      <c r="T49" s="59">
        <f t="shared" si="34"/>
        <v>226.22150997227476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26.835201577435527</v>
      </c>
      <c r="AB49" s="21">
        <f>EXP(-LN(2)/2)*AB48+(1-EXP(-LN(2)/2))/(LN(2)/2)*V49*Y49*VLOOKUP('Données projet'!$B$9,Paramètres!$A$1:$I$89,3,0)*0.475*44/12</f>
        <v>2.5778633813694403</v>
      </c>
      <c r="AC49" s="22">
        <f t="shared" si="3"/>
        <v>29.413064958804966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14.224285714285713</v>
      </c>
      <c r="AI49" s="13">
        <f>IF('Données projet'!$A$62&gt;35,AI48+AH49-AQ48,IF(A49&lt;'Données projet'!$A$62,$AF$205^A49,IF(A49='Données projet'!$A$62,'Données projet'!$B$62,AI48+AH49-AQ48)))</f>
        <v>190.49857142857144</v>
      </c>
      <c r="AJ49" s="13">
        <f>AI49*VLOOKUP('Données projet'!$B$10,Paramètres!$A$1:$I$89,3,0)*VLOOKUP('Données projet'!$B$10,Paramètres!$A$1:$I$89,5,0)</f>
        <v>160.4759965714286</v>
      </c>
      <c r="AK49" s="13">
        <f t="shared" si="35"/>
        <v>40.949859193473067</v>
      </c>
      <c r="AL49" s="20">
        <f t="shared" si="4"/>
        <v>350.81669879053698</v>
      </c>
      <c r="AM49" s="59">
        <f t="shared" si="5"/>
        <v>644.15003212387023</v>
      </c>
      <c r="AN49" s="59">
        <f ca="1">AVERAGE(OFFSET($AM$3,0,0,'Données projet'!$E$10+1,1))-AVERAGE(OFFSET($H$3,0,0,'Données projet'!$E$10+1,1))</f>
        <v>424.81155998881928</v>
      </c>
      <c r="AO49" s="59">
        <f t="shared" si="36"/>
        <v>277.34430416544575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7.605733926037912</v>
      </c>
      <c r="AV49" s="21">
        <f>EXP(-LN(2)/25)*AV48+(1-EXP(-LN(2)/25))/(LN(2)/25)*Calculateur!AQ49*Calculateur!AS49*VLOOKUP('Données projet'!$B$10,Paramètres!$A$1:$I$89,3,0)*0.475*44/12</f>
        <v>29.01887477467524</v>
      </c>
      <c r="AW49" s="21">
        <f>EXP(-LN(2)/2)*AW48+(1-EXP(-LN(2)/2))/(LN(2)/2)*AQ49*AT49*VLOOKUP('Données projet'!$B$10,Paramètres!$A$1:$I$89,3,0)*0.475*44/12</f>
        <v>2.60989634485346</v>
      </c>
      <c r="AX49" s="21">
        <f t="shared" si="6"/>
        <v>39.234505045566614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170.24046000000016</v>
      </c>
      <c r="BF49" s="13">
        <f t="shared" si="37"/>
        <v>43.143874195121747</v>
      </c>
      <c r="BG49" s="20">
        <f t="shared" si="7"/>
        <v>371.64438205650396</v>
      </c>
      <c r="BH49" s="59">
        <f t="shared" si="8"/>
        <v>664.97771538983727</v>
      </c>
      <c r="BI49" s="59">
        <f ca="1">AVERAGE(OFFSET($BH$3,0,0,'Données projet'!$E$11+1,1))-AVERAGE(OFFSET($H$3,0,0,'Données projet'!$E$11+1,1))</f>
        <v>706.69239849991595</v>
      </c>
      <c r="BJ49" s="59">
        <f t="shared" si="38"/>
        <v>310.59887275116529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15.301110263452118</v>
      </c>
      <c r="BR49" s="21">
        <f>EXP(-LN(2)/2)*BR48+(1-EXP(-LN(2)/2))/(LN(2)/2)*BL49*BO49*VLOOKUP('Données projet'!$B$11,Paramètres!$A$1:$I$89,3,0)*0.475*44/12</f>
        <v>2.129216616532652</v>
      </c>
      <c r="BS49" s="22">
        <f t="shared" si="9"/>
        <v>17.430326879984769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10.001428571428571</v>
      </c>
      <c r="BY49" s="12">
        <f>IF('Données projet'!$A$114&gt;35,BY48+BX49-CG48,IF(A49&lt;'Données projet'!$A$114,$BV$205^A49,IF(A49='Données projet'!$A$114,'Données projet'!$B$114,BY48+BX49-CG48)))</f>
        <v>118.06142857142859</v>
      </c>
      <c r="BZ49" s="13">
        <f>BY49*VLOOKUP('Données projet'!$B$12,Paramètres!$A$1:$I$89,3,0)*VLOOKUP('Données projet'!$B$12,Paramètres!$A$1:$I$89,5,0)</f>
        <v>112.34725542857144</v>
      </c>
      <c r="CA49" s="13">
        <f t="shared" si="39"/>
        <v>29.883334836157822</v>
      </c>
      <c r="CB49" s="20">
        <f t="shared" si="10"/>
        <v>247.71827804440349</v>
      </c>
      <c r="CC49" s="59">
        <f t="shared" si="11"/>
        <v>541.05161137773678</v>
      </c>
      <c r="CD49" s="59">
        <f ca="1">AVERAGE(OFFSET($CC$3,0,0,'Données projet'!$E$12+1,1))-AVERAGE(OFFSET($H$3,0,0,'Données projet'!$E$12+1,1))</f>
        <v>449.28947235329758</v>
      </c>
      <c r="CE49" s="59">
        <f t="shared" si="40"/>
        <v>289.36994109443964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35.281897119825167</v>
      </c>
      <c r="CM49" s="21">
        <f>EXP(-LN(2)/2)*CM48+(1-EXP(-LN(2)/2))/(LN(2)/2)*CG49*CJ49*VLOOKUP('Données projet'!$B$12,Paramètres!$A$1:$I$89,3,0)*0.475*44/12</f>
        <v>6.0969030164735525</v>
      </c>
      <c r="CN49" s="22">
        <f t="shared" si="12"/>
        <v>41.378800136298722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132.43776</v>
      </c>
      <c r="CV49" s="13">
        <f t="shared" si="41"/>
        <v>34.559043580858436</v>
      </c>
      <c r="CW49" s="20">
        <f t="shared" si="13"/>
        <v>290.85276623666175</v>
      </c>
      <c r="CX49" s="59">
        <f t="shared" si="14"/>
        <v>584.18609956999512</v>
      </c>
      <c r="CY49" s="59">
        <f ca="1">AVERAGE(OFFSET($CX$3,0,0,'Données projet'!$E$13+1,1))-AVERAGE(OFFSET($H$3,0,0,'Données projet'!$E$13+1,1))</f>
        <v>261.93797831021766</v>
      </c>
      <c r="CZ49" s="59">
        <f t="shared" si="42"/>
        <v>256.90876395053073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10.985435496279361</v>
      </c>
      <c r="DH49" s="21">
        <f>EXP(-LN(2)/2)*DH48+(1-EXP(-LN(2)/2))/(LN(2)/2)*DB49*DE49*VLOOKUP('Données projet'!$B$13,Paramètres!$A$1:$I$89,3,0)*0.475*44/12</f>
        <v>3.2797625930290071</v>
      </c>
      <c r="DI49" s="22">
        <f t="shared" si="15"/>
        <v>14.265198089308369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14.351250000000004</v>
      </c>
      <c r="N50" s="13">
        <f>IF('Données projet'!$A$36&gt;35,N49+M50-V49,IF(A50&lt;'Données projet'!$A$36,$K$205^A50,IF(A50='Données projet'!$A$36,'Données projet'!$B$36,N49+M50-V49)))</f>
        <v>261.66625000000005</v>
      </c>
      <c r="O50" s="13">
        <f>N50*VLOOKUP('Données projet'!$B$9,Paramètres!$A$1:$I$89,3,0)*VLOOKUP('Données projet'!$B$9,Paramètres!$A$1:$I$89,5,0)</f>
        <v>236.75562300000004</v>
      </c>
      <c r="P50" s="13">
        <f t="shared" si="33"/>
        <v>57.740934989627185</v>
      </c>
      <c r="Q50" s="20">
        <f t="shared" si="53"/>
        <v>512.91483849860072</v>
      </c>
      <c r="R50" s="59">
        <f t="shared" si="0"/>
        <v>806.24817183193409</v>
      </c>
      <c r="S50" s="59">
        <f ca="1">AVERAGE(OFFSET($R$3,0,0,'Données projet'!$E$9+1,1))-AVERAGE(OFFSET($H$3,0,0,'Données projet'!$E$9+1,1))</f>
        <v>695.0879239758051</v>
      </c>
      <c r="T50" s="59">
        <f t="shared" si="34"/>
        <v>226.22150997227476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26.101391579098635</v>
      </c>
      <c r="AB50" s="21">
        <f>EXP(-LN(2)/2)*AB49+(1-EXP(-LN(2)/2))/(LN(2)/2)*V50*Y50*VLOOKUP('Données projet'!$B$9,Paramètres!$A$1:$I$89,3,0)*0.475*44/12</f>
        <v>1.8228246779388144</v>
      </c>
      <c r="AC50" s="22">
        <f t="shared" si="3"/>
        <v>27.92421625703745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14.224285714285713</v>
      </c>
      <c r="AI50" s="13">
        <f>IF('Données projet'!$A$62&gt;35,AI49+AH50-AQ49,IF(A50&lt;'Données projet'!$A$62,$AF$205^A50,IF(A50='Données projet'!$A$62,'Données projet'!$B$62,AI49+AH50-AQ49)))</f>
        <v>204.72285714285715</v>
      </c>
      <c r="AJ50" s="13">
        <f>AI50*VLOOKUP('Données projet'!$B$10,Paramètres!$A$1:$I$89,3,0)*VLOOKUP('Données projet'!$B$10,Paramètres!$A$1:$I$89,5,0)</f>
        <v>172.45853485714287</v>
      </c>
      <c r="AK50" s="13">
        <f t="shared" si="35"/>
        <v>43.640192625939278</v>
      </c>
      <c r="AL50" s="20">
        <f t="shared" si="4"/>
        <v>376.37195036636803</v>
      </c>
      <c r="AM50" s="59">
        <f t="shared" si="5"/>
        <v>669.70528369970134</v>
      </c>
      <c r="AN50" s="59">
        <f ca="1">AVERAGE(OFFSET($AM$3,0,0,'Données projet'!$E$10+1,1))-AVERAGE(OFFSET($H$3,0,0,'Données projet'!$E$10+1,1))</f>
        <v>424.81155998881928</v>
      </c>
      <c r="AO50" s="59">
        <f t="shared" si="36"/>
        <v>277.34430416544575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7.4565901227879365</v>
      </c>
      <c r="AV50" s="21">
        <f>EXP(-LN(2)/25)*AV49+(1-EXP(-LN(2)/25))/(LN(2)/25)*Calculateur!AQ50*Calculateur!AS50*VLOOKUP('Données projet'!$B$10,Paramètres!$A$1:$I$89,3,0)*0.475*44/12</f>
        <v>28.225352117925443</v>
      </c>
      <c r="AW50" s="21">
        <f>EXP(-LN(2)/2)*AW49+(1-EXP(-LN(2)/2))/(LN(2)/2)*AQ50*AT50*VLOOKUP('Données projet'!$B$10,Paramètres!$A$1:$I$89,3,0)*0.475*44/12</f>
        <v>1.845475403639866</v>
      </c>
      <c r="AX50" s="21">
        <f t="shared" si="6"/>
        <v>37.52741764435325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180.49200000000019</v>
      </c>
      <c r="BF50" s="13">
        <f t="shared" si="37"/>
        <v>45.431629706642696</v>
      </c>
      <c r="BG50" s="20">
        <f t="shared" si="7"/>
        <v>393.48365507240305</v>
      </c>
      <c r="BH50" s="59">
        <f t="shared" si="8"/>
        <v>686.81698840573631</v>
      </c>
      <c r="BI50" s="59">
        <f ca="1">AVERAGE(OFFSET($BH$3,0,0,'Données projet'!$E$11+1,1))-AVERAGE(OFFSET($H$3,0,0,'Données projet'!$E$11+1,1))</f>
        <v>706.69239849991595</v>
      </c>
      <c r="BJ50" s="59">
        <f t="shared" si="38"/>
        <v>310.59887275116529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14.882700598647602</v>
      </c>
      <c r="BR50" s="21">
        <f>EXP(-LN(2)/2)*BR49+(1-EXP(-LN(2)/2))/(LN(2)/2)*BL50*BO50*VLOOKUP('Données projet'!$B$11,Paramètres!$A$1:$I$89,3,0)*0.475*44/12</f>
        <v>1.5055835081653151</v>
      </c>
      <c r="BS50" s="22">
        <f t="shared" si="9"/>
        <v>16.388284106812918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10.001428571428571</v>
      </c>
      <c r="BY50" s="12">
        <f>IF('Données projet'!$A$114&gt;35,BY49+BX50-CG49,IF(A50&lt;'Données projet'!$A$114,$BV$205^A50,IF(A50='Données projet'!$A$114,'Données projet'!$B$114,BY49+BX50-CG49)))</f>
        <v>128.06285714285715</v>
      </c>
      <c r="BZ50" s="13">
        <f>BY50*VLOOKUP('Données projet'!$B$12,Paramètres!$A$1:$I$89,3,0)*VLOOKUP('Données projet'!$B$12,Paramètres!$A$1:$I$89,5,0)</f>
        <v>121.86461485714287</v>
      </c>
      <c r="CA50" s="13">
        <f t="shared" si="39"/>
        <v>32.109499056362758</v>
      </c>
      <c r="CB50" s="20">
        <f t="shared" si="10"/>
        <v>268.17158173268894</v>
      </c>
      <c r="CC50" s="59">
        <f t="shared" si="11"/>
        <v>561.50491506602225</v>
      </c>
      <c r="CD50" s="59">
        <f ca="1">AVERAGE(OFFSET($CC$3,0,0,'Données projet'!$E$12+1,1))-AVERAGE(OFFSET($H$3,0,0,'Données projet'!$E$12+1,1))</f>
        <v>449.28947235329758</v>
      </c>
      <c r="CE50" s="59">
        <f t="shared" si="40"/>
        <v>289.36994109443964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34.317111787689214</v>
      </c>
      <c r="CM50" s="21">
        <f>EXP(-LN(2)/2)*CM49+(1-EXP(-LN(2)/2))/(LN(2)/2)*CG50*CJ50*VLOOKUP('Données projet'!$B$12,Paramètres!$A$1:$I$89,3,0)*0.475*44/12</f>
        <v>4.3111614671851664</v>
      </c>
      <c r="CN50" s="22">
        <f t="shared" si="12"/>
        <v>38.628273254874379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137.32991999999999</v>
      </c>
      <c r="CV50" s="13">
        <f t="shared" si="41"/>
        <v>35.684643836992151</v>
      </c>
      <c r="CW50" s="20">
        <f t="shared" si="13"/>
        <v>301.33369868276128</v>
      </c>
      <c r="CX50" s="59">
        <f t="shared" si="14"/>
        <v>594.66703201609459</v>
      </c>
      <c r="CY50" s="59">
        <f ca="1">AVERAGE(OFFSET($CX$3,0,0,'Données projet'!$E$13+1,1))-AVERAGE(OFFSET($H$3,0,0,'Données projet'!$E$13+1,1))</f>
        <v>261.93797831021766</v>
      </c>
      <c r="CZ50" s="59">
        <f t="shared" si="42"/>
        <v>256.90876395053073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10.685038184934657</v>
      </c>
      <c r="DH50" s="21">
        <f>EXP(-LN(2)/2)*DH49+(1-EXP(-LN(2)/2))/(LN(2)/2)*DB50*DE50*VLOOKUP('Données projet'!$B$13,Paramètres!$A$1:$I$89,3,0)*0.475*44/12</f>
        <v>2.319142370212786</v>
      </c>
      <c r="DI50" s="22">
        <f t="shared" si="15"/>
        <v>13.004180555147443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14.351250000000004</v>
      </c>
      <c r="N51" s="13">
        <f>IF('Données projet'!$A$36&gt;35,N50+M51-V50,IF(A51&lt;'Données projet'!$A$36,$K$205^A51,IF(A51='Données projet'!$A$36,'Données projet'!$B$36,N50+M51-V50)))</f>
        <v>276.01750000000004</v>
      </c>
      <c r="O51" s="13">
        <f>N51*VLOOKUP('Données projet'!$B$9,Paramètres!$A$1:$I$89,3,0)*VLOOKUP('Données projet'!$B$9,Paramètres!$A$1:$I$89,5,0)</f>
        <v>249.74063400000006</v>
      </c>
      <c r="P51" s="13">
        <f t="shared" si="33"/>
        <v>60.530398172289644</v>
      </c>
      <c r="Q51" s="20">
        <f t="shared" si="53"/>
        <v>540.38871436673799</v>
      </c>
      <c r="R51" s="59">
        <f t="shared" si="0"/>
        <v>833.72204770007124</v>
      </c>
      <c r="S51" s="59">
        <f ca="1">AVERAGE(OFFSET($R$3,0,0,'Données projet'!$E$9+1,1))-AVERAGE(OFFSET($H$3,0,0,'Données projet'!$E$9+1,1))</f>
        <v>695.0879239758051</v>
      </c>
      <c r="T51" s="59">
        <f t="shared" si="34"/>
        <v>226.22150997227476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25.387647653755657</v>
      </c>
      <c r="AB51" s="21">
        <f>EXP(-LN(2)/2)*AB50+(1-EXP(-LN(2)/2))/(LN(2)/2)*V51*Y51*VLOOKUP('Données projet'!$B$9,Paramètres!$A$1:$I$89,3,0)*0.475*44/12</f>
        <v>1.2889316906847204</v>
      </c>
      <c r="AC51" s="22">
        <f t="shared" si="3"/>
        <v>26.676579344440377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14.224285714285713</v>
      </c>
      <c r="AI51" s="13">
        <f>IF('Données projet'!$A$62&gt;35,AI50+AH51-AQ50,IF(A51&lt;'Données projet'!$A$62,$AF$205^A51,IF(A51='Données projet'!$A$62,'Données projet'!$B$62,AI50+AH51-AQ50)))</f>
        <v>218.94714285714286</v>
      </c>
      <c r="AJ51" s="13">
        <f>AI51*VLOOKUP('Données projet'!$B$10,Paramètres!$A$1:$I$89,3,0)*VLOOKUP('Données projet'!$B$10,Paramètres!$A$1:$I$89,5,0)</f>
        <v>184.44107314285716</v>
      </c>
      <c r="AK51" s="13">
        <f t="shared" si="35"/>
        <v>46.308837180748704</v>
      </c>
      <c r="AL51" s="20">
        <f t="shared" si="4"/>
        <v>401.88942714694684</v>
      </c>
      <c r="AM51" s="59">
        <f t="shared" si="5"/>
        <v>695.22276048028016</v>
      </c>
      <c r="AN51" s="59">
        <f ca="1">AVERAGE(OFFSET($AM$3,0,0,'Données projet'!$E$10+1,1))-AVERAGE(OFFSET($H$3,0,0,'Données projet'!$E$10+1,1))</f>
        <v>424.81155998881928</v>
      </c>
      <c r="AO51" s="59">
        <f t="shared" si="36"/>
        <v>277.34430416544575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7.310370938550955</v>
      </c>
      <c r="AV51" s="21">
        <f>EXP(-LN(2)/25)*AV50+(1-EXP(-LN(2)/25))/(LN(2)/25)*Calculateur!AQ51*Calculateur!AS51*VLOOKUP('Données projet'!$B$10,Paramètres!$A$1:$I$89,3,0)*0.475*44/12</f>
        <v>27.453528379954015</v>
      </c>
      <c r="AW51" s="21">
        <f>EXP(-LN(2)/2)*AW50+(1-EXP(-LN(2)/2))/(LN(2)/2)*AQ51*AT51*VLOOKUP('Données projet'!$B$10,Paramètres!$A$1:$I$89,3,0)*0.475*44/12</f>
        <v>1.3049481724267302</v>
      </c>
      <c r="AX51" s="21">
        <f t="shared" si="6"/>
        <v>36.068847490931702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190.74354000000019</v>
      </c>
      <c r="BF51" s="13">
        <f t="shared" si="37"/>
        <v>47.704301602434754</v>
      </c>
      <c r="BG51" s="20">
        <f t="shared" si="7"/>
        <v>415.29665745757416</v>
      </c>
      <c r="BH51" s="59">
        <f t="shared" si="8"/>
        <v>708.62999079090741</v>
      </c>
      <c r="BI51" s="59">
        <f ca="1">AVERAGE(OFFSET($BH$3,0,0,'Données projet'!$E$11+1,1))-AVERAGE(OFFSET($H$3,0,0,'Données projet'!$E$11+1,1))</f>
        <v>706.69239849991595</v>
      </c>
      <c r="BJ51" s="59">
        <f t="shared" si="38"/>
        <v>310.59887275116529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14.475732368130375</v>
      </c>
      <c r="BR51" s="21">
        <f>EXP(-LN(2)/2)*BR50+(1-EXP(-LN(2)/2))/(LN(2)/2)*BL51*BO51*VLOOKUP('Données projet'!$B$11,Paramètres!$A$1:$I$89,3,0)*0.475*44/12</f>
        <v>1.064608308266326</v>
      </c>
      <c r="BS51" s="22">
        <f t="shared" si="9"/>
        <v>15.540340676396701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10.001428571428571</v>
      </c>
      <c r="BY51" s="12">
        <f>IF('Données projet'!$A$114&gt;35,BY50+BX51-CG50,IF(A51&lt;'Données projet'!$A$114,$BV$205^A51,IF(A51='Données projet'!$A$114,'Données projet'!$B$114,BY50+BX51-CG50)))</f>
        <v>138.06428571428572</v>
      </c>
      <c r="BZ51" s="13">
        <f>BY51*VLOOKUP('Données projet'!$B$12,Paramètres!$A$1:$I$89,3,0)*VLOOKUP('Données projet'!$B$12,Paramètres!$A$1:$I$89,5,0)</f>
        <v>131.38197428571428</v>
      </c>
      <c r="CA51" s="13">
        <f t="shared" si="39"/>
        <v>34.315496219726761</v>
      </c>
      <c r="CB51" s="20">
        <f t="shared" si="10"/>
        <v>288.5897611303098</v>
      </c>
      <c r="CC51" s="59">
        <f t="shared" si="11"/>
        <v>581.92309446364311</v>
      </c>
      <c r="CD51" s="59">
        <f ca="1">AVERAGE(OFFSET($CC$3,0,0,'Données projet'!$E$12+1,1))-AVERAGE(OFFSET($H$3,0,0,'Données projet'!$E$12+1,1))</f>
        <v>449.28947235329758</v>
      </c>
      <c r="CE51" s="59">
        <f t="shared" si="40"/>
        <v>289.36994109443964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33.378708561196376</v>
      </c>
      <c r="CM51" s="21">
        <f>EXP(-LN(2)/2)*CM50+(1-EXP(-LN(2)/2))/(LN(2)/2)*CG51*CJ51*VLOOKUP('Données projet'!$B$12,Paramètres!$A$1:$I$89,3,0)*0.475*44/12</f>
        <v>3.0484515082367767</v>
      </c>
      <c r="CN51" s="22">
        <f t="shared" si="12"/>
        <v>36.42716006943315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142.22207999999998</v>
      </c>
      <c r="CV51" s="13">
        <f t="shared" si="41"/>
        <v>36.805585341198615</v>
      </c>
      <c r="CW51" s="20">
        <f t="shared" si="13"/>
        <v>311.8065171359209</v>
      </c>
      <c r="CX51" s="59">
        <f t="shared" si="14"/>
        <v>605.13985046925427</v>
      </c>
      <c r="CY51" s="59">
        <f ca="1">AVERAGE(OFFSET($CX$3,0,0,'Données projet'!$E$13+1,1))-AVERAGE(OFFSET($H$3,0,0,'Données projet'!$E$13+1,1))</f>
        <v>261.93797831021766</v>
      </c>
      <c r="CZ51" s="59">
        <f t="shared" si="42"/>
        <v>256.90876395053073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10.392855253865882</v>
      </c>
      <c r="DH51" s="21">
        <f>EXP(-LN(2)/2)*DH50+(1-EXP(-LN(2)/2))/(LN(2)/2)*DB51*DE51*VLOOKUP('Données projet'!$B$13,Paramètres!$A$1:$I$89,3,0)*0.475*44/12</f>
        <v>1.6398812965145038</v>
      </c>
      <c r="DI51" s="22">
        <f t="shared" si="15"/>
        <v>12.032736550380386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14.351250000000004</v>
      </c>
      <c r="N52" s="13">
        <f>IF('Données projet'!$A$36&gt;35,N51+M52-V51,IF(A52&lt;'Données projet'!$A$36,$K$205^A52,IF(A52='Données projet'!$A$36,'Données projet'!$B$36,N51+M52-V51)))</f>
        <v>290.36875000000003</v>
      </c>
      <c r="O52" s="13">
        <f>N52*VLOOKUP('Données projet'!$B$9,Paramètres!$A$1:$I$89,3,0)*VLOOKUP('Données projet'!$B$9,Paramètres!$A$1:$I$89,5,0)</f>
        <v>262.72564500000004</v>
      </c>
      <c r="P52" s="13">
        <f t="shared" si="33"/>
        <v>63.303022218516737</v>
      </c>
      <c r="Q52" s="20">
        <f t="shared" si="53"/>
        <v>567.83326207225002</v>
      </c>
      <c r="R52" s="59">
        <f t="shared" si="0"/>
        <v>861.16659540558339</v>
      </c>
      <c r="S52" s="59">
        <f ca="1">AVERAGE(OFFSET($R$3,0,0,'Données projet'!$E$9+1,1))-AVERAGE(OFFSET($H$3,0,0,'Données projet'!$E$9+1,1))</f>
        <v>695.0879239758051</v>
      </c>
      <c r="T52" s="59">
        <f t="shared" si="34"/>
        <v>226.22150997227476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24.693421093585343</v>
      </c>
      <c r="AB52" s="21">
        <f>EXP(-LN(2)/2)*AB51+(1-EXP(-LN(2)/2))/(LN(2)/2)*V52*Y52*VLOOKUP('Données projet'!$B$9,Paramètres!$A$1:$I$89,3,0)*0.475*44/12</f>
        <v>0.91141233896940732</v>
      </c>
      <c r="AC52" s="22">
        <f t="shared" si="3"/>
        <v>25.604833432554749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14.224285714285713</v>
      </c>
      <c r="AI52" s="13">
        <f>IF('Données projet'!$A$62&gt;35,AI51+AH52-AQ51,IF(A52&lt;'Données projet'!$A$62,$AF$205^A52,IF(A52='Données projet'!$A$62,'Données projet'!$B$62,AI51+AH52-AQ51)))</f>
        <v>233.17142857142858</v>
      </c>
      <c r="AJ52" s="13">
        <f>AI52*VLOOKUP('Données projet'!$B$10,Paramètres!$A$1:$I$89,3,0)*VLOOKUP('Données projet'!$B$10,Paramètres!$A$1:$I$89,5,0)</f>
        <v>196.42361142857146</v>
      </c>
      <c r="AK52" s="13">
        <f t="shared" si="35"/>
        <v>48.957362274220372</v>
      </c>
      <c r="AL52" s="20">
        <f t="shared" si="4"/>
        <v>427.3718625323624</v>
      </c>
      <c r="AM52" s="59">
        <f t="shared" si="5"/>
        <v>720.70519586569571</v>
      </c>
      <c r="AN52" s="59">
        <f ca="1">AVERAGE(OFFSET($AM$3,0,0,'Données projet'!$E$10+1,1))-AVERAGE(OFFSET($H$3,0,0,'Données projet'!$E$10+1,1))</f>
        <v>424.81155998881928</v>
      </c>
      <c r="AO52" s="59">
        <f t="shared" si="36"/>
        <v>277.34430416544575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7.1670190233319646</v>
      </c>
      <c r="AV52" s="21">
        <f>EXP(-LN(2)/25)*AV51+(1-EXP(-LN(2)/25))/(LN(2)/25)*Calculateur!AQ52*Calculateur!AS52*VLOOKUP('Données projet'!$B$10,Paramètres!$A$1:$I$89,3,0)*0.475*44/12</f>
        <v>26.70281020268586</v>
      </c>
      <c r="AW52" s="21">
        <f>EXP(-LN(2)/2)*AW51+(1-EXP(-LN(2)/2))/(LN(2)/2)*AQ52*AT52*VLOOKUP('Données projet'!$B$10,Paramètres!$A$1:$I$89,3,0)*0.475*44/12</f>
        <v>0.92273770181993309</v>
      </c>
      <c r="AX52" s="21">
        <f t="shared" si="6"/>
        <v>34.792566927837761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200.9950800000002</v>
      </c>
      <c r="BF52" s="13">
        <f t="shared" si="37"/>
        <v>49.962792983004405</v>
      </c>
      <c r="BG52" s="20">
        <f t="shared" si="7"/>
        <v>437.08496211206631</v>
      </c>
      <c r="BH52" s="59">
        <f t="shared" si="8"/>
        <v>730.41829544539962</v>
      </c>
      <c r="BI52" s="59">
        <f ca="1">AVERAGE(OFFSET($BH$3,0,0,'Données projet'!$E$11+1,1))-AVERAGE(OFFSET($H$3,0,0,'Données projet'!$E$11+1,1))</f>
        <v>706.69239849991595</v>
      </c>
      <c r="BJ52" s="59">
        <f t="shared" si="38"/>
        <v>310.59887275116529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14.079892705278169</v>
      </c>
      <c r="BR52" s="21">
        <f>EXP(-LN(2)/2)*BR51+(1-EXP(-LN(2)/2))/(LN(2)/2)*BL52*BO52*VLOOKUP('Données projet'!$B$11,Paramètres!$A$1:$I$89,3,0)*0.475*44/12</f>
        <v>0.75279175408265753</v>
      </c>
      <c r="BS52" s="22">
        <f t="shared" si="9"/>
        <v>14.832684459360827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10.001428571428571</v>
      </c>
      <c r="BY52" s="12">
        <f>IF('Données projet'!$A$114&gt;35,BY51+BX52-CG51,IF(A52&lt;'Données projet'!$A$114,$BV$205^A52,IF(A52='Données projet'!$A$114,'Données projet'!$B$114,BY51+BX52-CG51)))</f>
        <v>148.06571428571428</v>
      </c>
      <c r="BZ52" s="13">
        <f>BY52*VLOOKUP('Données projet'!$B$12,Paramètres!$A$1:$I$89,3,0)*VLOOKUP('Données projet'!$B$12,Paramètres!$A$1:$I$89,5,0)</f>
        <v>140.89933371428572</v>
      </c>
      <c r="CA52" s="13">
        <f t="shared" si="39"/>
        <v>36.502953377985676</v>
      </c>
      <c r="CB52" s="20">
        <f t="shared" si="10"/>
        <v>308.97565001903934</v>
      </c>
      <c r="CC52" s="59">
        <f t="shared" si="11"/>
        <v>602.30898335237271</v>
      </c>
      <c r="CD52" s="59">
        <f ca="1">AVERAGE(OFFSET($CC$3,0,0,'Données projet'!$E$12+1,1))-AVERAGE(OFFSET($H$3,0,0,'Données projet'!$E$12+1,1))</f>
        <v>449.28947235329758</v>
      </c>
      <c r="CE52" s="59">
        <f t="shared" si="40"/>
        <v>289.36994109443964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32.465966020280469</v>
      </c>
      <c r="CM52" s="21">
        <f>EXP(-LN(2)/2)*CM51+(1-EXP(-LN(2)/2))/(LN(2)/2)*CG52*CJ52*VLOOKUP('Données projet'!$B$12,Paramètres!$A$1:$I$89,3,0)*0.475*44/12</f>
        <v>2.1555807335925832</v>
      </c>
      <c r="CN52" s="22">
        <f t="shared" si="12"/>
        <v>34.621546753873055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147.11423999999997</v>
      </c>
      <c r="CV52" s="13">
        <f t="shared" si="41"/>
        <v>37.922046712608186</v>
      </c>
      <c r="CW52" s="20">
        <f t="shared" si="13"/>
        <v>322.27153269112586</v>
      </c>
      <c r="CX52" s="59">
        <f t="shared" si="14"/>
        <v>615.60486602445917</v>
      </c>
      <c r="CY52" s="59">
        <f ca="1">AVERAGE(OFFSET($CX$3,0,0,'Données projet'!$E$13+1,1))-AVERAGE(OFFSET($H$3,0,0,'Données projet'!$E$13+1,1))</f>
        <v>261.93797831021766</v>
      </c>
      <c r="CZ52" s="59">
        <f t="shared" si="42"/>
        <v>256.90876395053073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10.108662080412415</v>
      </c>
      <c r="DH52" s="21">
        <f>EXP(-LN(2)/2)*DH51+(1-EXP(-LN(2)/2))/(LN(2)/2)*DB52*DE52*VLOOKUP('Données projet'!$B$13,Paramètres!$A$1:$I$89,3,0)*0.475*44/12</f>
        <v>1.1595711851063932</v>
      </c>
      <c r="DI52" s="22">
        <f t="shared" si="15"/>
        <v>11.268233265518809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14.351250000000004</v>
      </c>
      <c r="M53" s="12">
        <f t="array" ref="M53">INDEX(L:L,MIN(IF(ISNUMBER(L53:L249),ROW(L53:L249),"")))</f>
        <v>14.351250000000004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888.58342989476091</v>
      </c>
      <c r="S53" s="59">
        <f ca="1">AVERAGE(OFFSET($R$3,0,0,'Données projet'!$E$9+1,1))-AVERAGE(OFFSET($H$3,0,0,'Données projet'!$E$9+1,1))</f>
        <v>695.0879239758051</v>
      </c>
      <c r="T53" s="59">
        <f t="shared" si="34"/>
        <v>226.22150997227476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70.730000000000018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48.259061719647775</v>
      </c>
      <c r="AB53" s="21">
        <f>EXP(-LN(2)/2)*AB52+(1-EXP(-LN(2)/2))/(LN(2)/2)*V53*Y53*VLOOKUP('Données projet'!$B$9,Paramètres!$A$1:$I$89,3,0)*0.475*44/12</f>
        <v>12.720950638272642</v>
      </c>
      <c r="AC53" s="22">
        <f t="shared" si="3"/>
        <v>60.980012357920415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14.224285714285713</v>
      </c>
      <c r="AI53" s="13">
        <f>IF('Données projet'!$A$62&gt;35,AI52+AH53-AQ52,IF(A53&lt;'Données projet'!$A$62,$AF$205^A53,IF(A53='Données projet'!$A$62,'Données projet'!$B$62,AI52+AH53-AQ52)))</f>
        <v>247.39571428571429</v>
      </c>
      <c r="AJ53" s="13">
        <f>AI53*VLOOKUP('Données projet'!$B$10,Paramètres!$A$1:$I$89,3,0)*VLOOKUP('Données projet'!$B$10,Paramètres!$A$1:$I$89,5,0)</f>
        <v>208.40614971428573</v>
      </c>
      <c r="AK53" s="13">
        <f t="shared" si="35"/>
        <v>51.587135022941858</v>
      </c>
      <c r="AL53" s="20">
        <f t="shared" si="4"/>
        <v>452.82163758400475</v>
      </c>
      <c r="AM53" s="59">
        <f t="shared" si="5"/>
        <v>746.15497091733801</v>
      </c>
      <c r="AN53" s="59">
        <f ca="1">AVERAGE(OFFSET($AM$3,0,0,'Données projet'!$E$10+1,1))-AVERAGE(OFFSET($H$3,0,0,'Données projet'!$E$10+1,1))</f>
        <v>424.81155998881928</v>
      </c>
      <c r="AO53" s="59">
        <f t="shared" si="36"/>
        <v>277.34430416544575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7.0264781517343842</v>
      </c>
      <c r="AV53" s="21">
        <f>EXP(-LN(2)/25)*AV52+(1-EXP(-LN(2)/25))/(LN(2)/25)*Calculateur!AQ53*Calculateur!AS53*VLOOKUP('Données projet'!$B$10,Paramètres!$A$1:$I$89,3,0)*0.475*44/12</f>
        <v>25.972620453453658</v>
      </c>
      <c r="AW53" s="21">
        <f>EXP(-LN(2)/2)*AW52+(1-EXP(-LN(2)/2))/(LN(2)/2)*AQ53*AT53*VLOOKUP('Données projet'!$B$10,Paramètres!$A$1:$I$89,3,0)*0.475*44/12</f>
        <v>0.65247408621336522</v>
      </c>
      <c r="AX53" s="21">
        <f t="shared" si="6"/>
        <v>33.651572691401405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211.24662000000023</v>
      </c>
      <c r="BF53" s="13">
        <f t="shared" si="37"/>
        <v>52.207909621932217</v>
      </c>
      <c r="BG53" s="20">
        <f t="shared" si="7"/>
        <v>458.84997242486565</v>
      </c>
      <c r="BH53" s="59">
        <f t="shared" si="8"/>
        <v>752.18330575819891</v>
      </c>
      <c r="BI53" s="59">
        <f ca="1">AVERAGE(OFFSET($BH$3,0,0,'Données projet'!$E$11+1,1))-AVERAGE(OFFSET($H$3,0,0,'Données projet'!$E$11+1,1))</f>
        <v>706.69239849991595</v>
      </c>
      <c r="BJ53" s="59">
        <f t="shared" si="38"/>
        <v>310.59887275116529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28.113521264944488</v>
      </c>
      <c r="BR53" s="21">
        <f>EXP(-LN(2)/2)*BR52+(1-EXP(-LN(2)/2))/(LN(2)/2)*BL53*BO53*VLOOKUP('Données projet'!$B$11,Paramètres!$A$1:$I$89,3,0)*0.475*44/12</f>
        <v>7.7154802300384224</v>
      </c>
      <c r="BS53" s="22">
        <f t="shared" si="9"/>
        <v>35.829001494982911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10.001428571428571</v>
      </c>
      <c r="BY53" s="12">
        <f>IF('Données projet'!$A$114&gt;35,BY52+BX53-CG52,IF(A53&lt;'Données projet'!$A$114,$BV$205^A53,IF(A53='Données projet'!$A$114,'Données projet'!$B$114,BY52+BX53-CG52)))</f>
        <v>158.06714285714284</v>
      </c>
      <c r="BZ53" s="13">
        <f>BY53*VLOOKUP('Données projet'!$B$12,Paramètres!$A$1:$I$89,3,0)*VLOOKUP('Données projet'!$B$12,Paramètres!$A$1:$I$89,5,0)</f>
        <v>150.41669314285713</v>
      </c>
      <c r="CA53" s="13">
        <f t="shared" si="39"/>
        <v>38.673265338618677</v>
      </c>
      <c r="CB53" s="20">
        <f t="shared" si="10"/>
        <v>329.33167768857032</v>
      </c>
      <c r="CC53" s="59">
        <f t="shared" si="11"/>
        <v>622.66501102190364</v>
      </c>
      <c r="CD53" s="59">
        <f ca="1">AVERAGE(OFFSET($CC$3,0,0,'Données projet'!$E$12+1,1))-AVERAGE(OFFSET($H$3,0,0,'Données projet'!$E$12+1,1))</f>
        <v>449.28947235329758</v>
      </c>
      <c r="CE53" s="59">
        <f t="shared" si="40"/>
        <v>289.36994109443964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31.578182472144949</v>
      </c>
      <c r="CM53" s="21">
        <f>EXP(-LN(2)/2)*CM52+(1-EXP(-LN(2)/2))/(LN(2)/2)*CG53*CJ53*VLOOKUP('Données projet'!$B$12,Paramètres!$A$1:$I$89,3,0)*0.475*44/12</f>
        <v>1.5242257541183883</v>
      </c>
      <c r="CN53" s="22">
        <f t="shared" si="12"/>
        <v>33.102408226263336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152.00639999999999</v>
      </c>
      <c r="CV53" s="13">
        <f t="shared" si="41"/>
        <v>39.03419401656145</v>
      </c>
      <c r="CW53" s="20">
        <f t="shared" si="13"/>
        <v>332.72903457884451</v>
      </c>
      <c r="CX53" s="59">
        <f t="shared" si="14"/>
        <v>626.06236791217782</v>
      </c>
      <c r="CY53" s="59">
        <f ca="1">AVERAGE(OFFSET($CX$3,0,0,'Données projet'!$E$13+1,1))-AVERAGE(OFFSET($H$3,0,0,'Données projet'!$E$13+1,1))</f>
        <v>261.93797831021766</v>
      </c>
      <c r="CZ53" s="59">
        <f t="shared" si="42"/>
        <v>256.90876395053073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1.6634852958320749</v>
      </c>
      <c r="DG53" s="21">
        <f>EXP(-LN(2)/25)*DG52+(1-EXP(-LN(2)/25))/(LN(2)/25)*Calculateur!DB53*Calculateur!DD53*VLOOKUP('Données projet'!$B$13,Paramètres!$A$1:$I$89,3,0)*0.475*44/12</f>
        <v>11.489175704616896</v>
      </c>
      <c r="DH53" s="21">
        <f>EXP(-LN(2)/2)*DH52+(1-EXP(-LN(2)/2))/(LN(2)/2)*DB53*DE53*VLOOKUP('Données projet'!$B$13,Paramètres!$A$1:$I$89,3,0)*0.475*44/12</f>
        <v>3.4988022642048704</v>
      </c>
      <c r="DI53" s="22">
        <f t="shared" si="15"/>
        <v>16.651463264653842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14.073749999999997</v>
      </c>
      <c r="N54" s="13">
        <f>IF('Données projet'!$A$36&gt;35,N53+M54-V53,IF(A54&lt;'Données projet'!$A$36,$K$205^A54,IF(A54='Données projet'!$A$36,'Données projet'!$B$36,N53+M54-V53)))</f>
        <v>248.06375000000003</v>
      </c>
      <c r="O54" s="13">
        <f>N54*VLOOKUP('Données projet'!$B$9,Paramètres!$A$1:$I$89,3,0)*VLOOKUP('Données projet'!$B$9,Paramètres!$A$1:$I$89,5,0)</f>
        <v>224.44808100000003</v>
      </c>
      <c r="P54" s="13">
        <f t="shared" si="33"/>
        <v>55.080525002460227</v>
      </c>
      <c r="Q54" s="20">
        <f t="shared" si="53"/>
        <v>486.84565545428495</v>
      </c>
      <c r="R54" s="59">
        <f t="shared" si="0"/>
        <v>780.17898878761821</v>
      </c>
      <c r="S54" s="59">
        <f ca="1">AVERAGE(OFFSET($R$3,0,0,'Données projet'!$E$9+1,1))-AVERAGE(OFFSET($H$3,0,0,'Données projet'!$E$9+1,1))</f>
        <v>695.0879239758051</v>
      </c>
      <c r="T54" s="59">
        <f t="shared" si="34"/>
        <v>226.22150997227476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46.939415139090251</v>
      </c>
      <c r="AB54" s="21">
        <f>EXP(-LN(2)/2)*AB53+(1-EXP(-LN(2)/2))/(LN(2)/2)*V54*Y54*VLOOKUP('Données projet'!$B$9,Paramètres!$A$1:$I$89,3,0)*0.475*44/12</f>
        <v>8.9950704594619264</v>
      </c>
      <c r="AC54" s="22">
        <f t="shared" si="3"/>
        <v>55.934485598552179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261.62</v>
      </c>
      <c r="AG54" s="12">
        <f>VLOOKUP(A54,'Données projet'!$A$61:$I$81,9,0)</f>
        <v>14.224285714285713</v>
      </c>
      <c r="AH54" s="12">
        <f t="array" ref="AH54">INDEX(AG:AG,MIN(IF(ISNUMBER(AG54:AG250),ROW(AG54:AG250),"")))</f>
        <v>14.224285714285713</v>
      </c>
      <c r="AI54" s="13">
        <f>IF('Données projet'!$A$62&gt;35,AI53+AH54-AQ53,IF(A54&lt;'Données projet'!$A$62,$AF$205^A54,IF(A54='Données projet'!$A$62,'Données projet'!$B$62,AI53+AH54-AQ53)))</f>
        <v>261.62</v>
      </c>
      <c r="AJ54" s="13">
        <f>AI54*VLOOKUP('Données projet'!$B$10,Paramètres!$A$1:$I$89,3,0)*VLOOKUP('Données projet'!$B$10,Paramètres!$A$1:$I$89,5,0)</f>
        <v>220.388688</v>
      </c>
      <c r="AK54" s="13">
        <f t="shared" si="35"/>
        <v>54.199356456019601</v>
      </c>
      <c r="AL54" s="20">
        <f t="shared" si="4"/>
        <v>478.24084409423403</v>
      </c>
      <c r="AM54" s="59">
        <f t="shared" si="5"/>
        <v>771.57417742756729</v>
      </c>
      <c r="AN54" s="59">
        <f ca="1">AVERAGE(OFFSET($AM$3,0,0,'Données projet'!$E$10+1,1))-AVERAGE(OFFSET($H$3,0,0,'Données projet'!$E$10+1,1))</f>
        <v>424.81155998881928</v>
      </c>
      <c r="AO54" s="59">
        <f t="shared" si="36"/>
        <v>277.34430416544575</v>
      </c>
      <c r="AP54" s="15">
        <f>IF(ISNA(VLOOKUP(A54,'Données projet'!$A$61:$I$81,3,0)),0,VLOOKUP(A54,'Données projet'!$A$61:$I$81,3,0))</f>
        <v>4</v>
      </c>
      <c r="AQ54" s="15">
        <f>IF(ISNA(VLOOKUP(A54,'Données projet'!$A$61:$I$81,4,0)),0,VLOOKUP(A54,'Données projet'!$A$61:$I$81,4,0))</f>
        <v>55.400000000000006</v>
      </c>
      <c r="AR54" s="16">
        <f>IF(ISNA(VLOOKUP(A54,'Données projet'!$A$61:$I$81,5,0)),0%,VLOOKUP(A54,'Données projet'!$A$61:$I$81,5,0)*VLOOKUP('Données projet'!$B$10,Paramètres!$A$1:$I$89,7,0))</f>
        <v>0.15049999999999999</v>
      </c>
      <c r="AS54" s="16">
        <f>IF(ISNA(VLOOKUP(A54,'Données projet'!$A$61:$I$81,6,0)),0%,VLOOKUP(A54,'Données projet'!$A$61:$I$81,6,0)*VLOOKUP('Données projet'!$B$10,Paramètres!$A$1:$I$89,7,0))</f>
        <v>8.6000000000000007E-2</v>
      </c>
      <c r="AT54" s="16">
        <f>IF(ISNA(VLOOKUP(A54,'Données projet'!$A$61:$I$81,7,0)),0%,VLOOKUP(A54,'Données projet'!$A$61:$I$81,7,0))</f>
        <v>0.1</v>
      </c>
      <c r="AU54" s="21">
        <f>EXP(-LN(2)/35)*AU53+(1-EXP(-LN(2)/35))/(LN(2)/35)*AQ54*AR54*VLOOKUP('Données projet'!$B$10,Paramètres!$A$1:$I$89,3,0)*0.475*44/12</f>
        <v>14.653161715910381</v>
      </c>
      <c r="AV54" s="21">
        <f>EXP(-LN(2)/25)*AV53+(1-EXP(-LN(2)/25))/(LN(2)/25)*Calculateur!AQ54*Calculateur!AS54*VLOOKUP('Données projet'!$B$10,Paramètres!$A$1:$I$89,3,0)*0.475*44/12</f>
        <v>29.681767406436077</v>
      </c>
      <c r="AW54" s="21">
        <f>EXP(-LN(2)/2)*AW53+(1-EXP(-LN(2)/2))/(LN(2)/2)*AQ54*AT54*VLOOKUP('Données projet'!$B$10,Paramètres!$A$1:$I$89,3,0)*0.475*44/12</f>
        <v>4.8647108345741961</v>
      </c>
      <c r="AX54" s="21">
        <f t="shared" si="6"/>
        <v>49.199639956920656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183.68990250000022</v>
      </c>
      <c r="BF54" s="13">
        <f t="shared" si="37"/>
        <v>46.142149449949819</v>
      </c>
      <c r="BG54" s="20">
        <f t="shared" si="7"/>
        <v>400.29082381282961</v>
      </c>
      <c r="BH54" s="59">
        <f t="shared" si="8"/>
        <v>693.62415714616293</v>
      </c>
      <c r="BI54" s="59">
        <f ca="1">AVERAGE(OFFSET($BH$3,0,0,'Données projet'!$E$11+1,1))-AVERAGE(OFFSET($H$3,0,0,'Données projet'!$E$11+1,1))</f>
        <v>706.69239849991595</v>
      </c>
      <c r="BJ54" s="59">
        <f t="shared" si="38"/>
        <v>310.59887275116529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27.344755547528752</v>
      </c>
      <c r="BR54" s="21">
        <f>EXP(-LN(2)/2)*BR53+(1-EXP(-LN(2)/2))/(LN(2)/2)*BL54*BO54*VLOOKUP('Données projet'!$B$11,Paramètres!$A$1:$I$89,3,0)*0.475*44/12</f>
        <v>5.4556683907709127</v>
      </c>
      <c r="BS54" s="22">
        <f t="shared" si="9"/>
        <v>32.800423938299666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10.001428571428571</v>
      </c>
      <c r="BY54" s="12">
        <f>IF('Données projet'!$A$114&gt;35,BY53+BX54-CG53,IF(A54&lt;'Données projet'!$A$114,$BV$205^A54,IF(A54='Données projet'!$A$114,'Données projet'!$B$114,BY53+BX54-CG53)))</f>
        <v>168.0685714285714</v>
      </c>
      <c r="BZ54" s="13">
        <f>BY54*VLOOKUP('Données projet'!$B$12,Paramètres!$A$1:$I$89,3,0)*VLOOKUP('Données projet'!$B$12,Paramètres!$A$1:$I$89,5,0)</f>
        <v>159.93405257142857</v>
      </c>
      <c r="CA54" s="13">
        <f t="shared" si="39"/>
        <v>40.827640423227386</v>
      </c>
      <c r="CB54" s="20">
        <f t="shared" si="10"/>
        <v>349.65994863235909</v>
      </c>
      <c r="CC54" s="59">
        <f t="shared" si="11"/>
        <v>642.9932819656924</v>
      </c>
      <c r="CD54" s="59">
        <f ca="1">AVERAGE(OFFSET($CC$3,0,0,'Données projet'!$E$12+1,1))-AVERAGE(OFFSET($H$3,0,0,'Données projet'!$E$12+1,1))</f>
        <v>449.28947235329758</v>
      </c>
      <c r="CE54" s="59">
        <f t="shared" si="40"/>
        <v>289.36994109443964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30.714675411819702</v>
      </c>
      <c r="CM54" s="21">
        <f>EXP(-LN(2)/2)*CM53+(1-EXP(-LN(2)/2))/(LN(2)/2)*CG54*CJ54*VLOOKUP('Données projet'!$B$12,Paramètres!$A$1:$I$89,3,0)*0.475*44/12</f>
        <v>1.0777903667962916</v>
      </c>
      <c r="CN54" s="22">
        <f t="shared" si="12"/>
        <v>31.792465778615995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144.84287999999998</v>
      </c>
      <c r="CV54" s="13">
        <f t="shared" si="41"/>
        <v>37.40423595784457</v>
      </c>
      <c r="CW54" s="20">
        <f t="shared" si="13"/>
        <v>317.41372695991259</v>
      </c>
      <c r="CX54" s="59">
        <f t="shared" si="14"/>
        <v>610.74706029324591</v>
      </c>
      <c r="CY54" s="59">
        <f ca="1">AVERAGE(OFFSET($CX$3,0,0,'Données projet'!$E$13+1,1))-AVERAGE(OFFSET($H$3,0,0,'Données projet'!$E$13+1,1))</f>
        <v>261.93797831021766</v>
      </c>
      <c r="CZ54" s="59">
        <f t="shared" si="42"/>
        <v>256.90876395053073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1.6308653638066524</v>
      </c>
      <c r="DG54" s="21">
        <f>EXP(-LN(2)/25)*DG53+(1-EXP(-LN(2)/25))/(LN(2)/25)*Calculateur!DB54*Calculateur!DD54*VLOOKUP('Données projet'!$B$13,Paramètres!$A$1:$I$89,3,0)*0.475*44/12</f>
        <v>11.175003590784655</v>
      </c>
      <c r="DH54" s="21">
        <f>EXP(-LN(2)/2)*DH53+(1-EXP(-LN(2)/2))/(LN(2)/2)*DB54*DE54*VLOOKUP('Données projet'!$B$13,Paramètres!$A$1:$I$89,3,0)*0.475*44/12</f>
        <v>2.4740268070501106</v>
      </c>
      <c r="DI54" s="22">
        <f t="shared" si="15"/>
        <v>15.279895761641418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14.073749999999997</v>
      </c>
      <c r="N55" s="13">
        <f>IF('Données projet'!$A$36&gt;35,N54+M55-V54,IF(A55&lt;'Données projet'!$A$36,$K$205^A55,IF(A55='Données projet'!$A$36,'Données projet'!$B$36,N54+M55-V54)))</f>
        <v>262.13750000000005</v>
      </c>
      <c r="O55" s="13">
        <f>N55*VLOOKUP('Données projet'!$B$9,Paramètres!$A$1:$I$89,3,0)*VLOOKUP('Données projet'!$B$9,Paramètres!$A$1:$I$89,5,0)</f>
        <v>237.18201000000005</v>
      </c>
      <c r="P55" s="13">
        <f t="shared" si="33"/>
        <v>57.832810058824109</v>
      </c>
      <c r="Q55" s="20">
        <f t="shared" si="53"/>
        <v>513.81747826911885</v>
      </c>
      <c r="R55" s="59">
        <f t="shared" si="0"/>
        <v>807.15081160245222</v>
      </c>
      <c r="S55" s="59">
        <f ca="1">AVERAGE(OFFSET($R$3,0,0,'Données projet'!$E$9+1,1))-AVERAGE(OFFSET($H$3,0,0,'Données projet'!$E$9+1,1))</f>
        <v>695.0879239758051</v>
      </c>
      <c r="T55" s="59">
        <f t="shared" si="34"/>
        <v>226.22150997227476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45.655854363675267</v>
      </c>
      <c r="AB55" s="21">
        <f>EXP(-LN(2)/2)*AB54+(1-EXP(-LN(2)/2))/(LN(2)/2)*V55*Y55*VLOOKUP('Données projet'!$B$9,Paramètres!$A$1:$I$89,3,0)*0.475*44/12</f>
        <v>6.3604753191363219</v>
      </c>
      <c r="AC55" s="22">
        <f t="shared" si="3"/>
        <v>52.016329682811588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14.12857142857143</v>
      </c>
      <c r="AI55" s="13">
        <f>IF('Données projet'!$A$62&gt;35,AI54+AH55-AQ54,IF(A55&lt;'Données projet'!$A$62,$AF$205^A55,IF(A55='Données projet'!$A$62,'Données projet'!$B$62,AI54+AH55-AQ54)))</f>
        <v>220.34857142857143</v>
      </c>
      <c r="AJ55" s="13">
        <f>AI55*VLOOKUP('Données projet'!$B$10,Paramètres!$A$1:$I$89,3,0)*VLOOKUP('Données projet'!$B$10,Paramètres!$A$1:$I$89,5,0)</f>
        <v>185.62163657142858</v>
      </c>
      <c r="AK55" s="13">
        <f t="shared" si="35"/>
        <v>46.570649354822137</v>
      </c>
      <c r="AL55" s="20">
        <f t="shared" si="4"/>
        <v>404.40156465488667</v>
      </c>
      <c r="AM55" s="59">
        <f t="shared" si="5"/>
        <v>697.73489798821993</v>
      </c>
      <c r="AN55" s="59">
        <f ca="1">AVERAGE(OFFSET($AM$3,0,0,'Données projet'!$E$10+1,1))-AVERAGE(OFFSET($H$3,0,0,'Données projet'!$E$10+1,1))</f>
        <v>424.81155998881928</v>
      </c>
      <c r="AO55" s="59">
        <f t="shared" si="36"/>
        <v>277.34430416544575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14.365822152207516</v>
      </c>
      <c r="AV55" s="21">
        <f>EXP(-LN(2)/25)*AV54+(1-EXP(-LN(2)/25))/(LN(2)/25)*Calculateur!AQ55*Calculateur!AS55*VLOOKUP('Données projet'!$B$10,Paramètres!$A$1:$I$89,3,0)*0.475*44/12</f>
        <v>28.870117915810773</v>
      </c>
      <c r="AW55" s="21">
        <f>EXP(-LN(2)/2)*AW54+(1-EXP(-LN(2)/2))/(LN(2)/2)*AQ55*AT55*VLOOKUP('Données projet'!$B$10,Paramètres!$A$1:$I$89,3,0)*0.475*44/12</f>
        <v>3.4398700196390832</v>
      </c>
      <c r="AX55" s="21">
        <f t="shared" si="6"/>
        <v>46.675810087657368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194.19874500000023</v>
      </c>
      <c r="BF55" s="13">
        <f t="shared" si="37"/>
        <v>48.467051557519213</v>
      </c>
      <c r="BG55" s="20">
        <f t="shared" si="7"/>
        <v>422.64292900434634</v>
      </c>
      <c r="BH55" s="59">
        <f t="shared" si="8"/>
        <v>715.9762623376796</v>
      </c>
      <c r="BI55" s="59">
        <f ca="1">AVERAGE(OFFSET($BH$3,0,0,'Données projet'!$E$11+1,1))-AVERAGE(OFFSET($H$3,0,0,'Données projet'!$E$11+1,1))</f>
        <v>706.69239849991595</v>
      </c>
      <c r="BJ55" s="59">
        <f t="shared" si="38"/>
        <v>310.59887275116529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26.59701176908338</v>
      </c>
      <c r="BR55" s="21">
        <f>EXP(-LN(2)/2)*BR54+(1-EXP(-LN(2)/2))/(LN(2)/2)*BL55*BO55*VLOOKUP('Données projet'!$B$11,Paramètres!$A$1:$I$89,3,0)*0.475*44/12</f>
        <v>3.8577401150192121</v>
      </c>
      <c r="BS55" s="22">
        <f t="shared" si="9"/>
        <v>30.454751884102592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178.07</v>
      </c>
      <c r="BW55" s="12">
        <f>VLOOKUP(A55,'Données projet'!$A$113:$I$133,9,0)</f>
        <v>10.001428571428571</v>
      </c>
      <c r="BX55" s="12">
        <f t="array" ref="BX55">INDEX(BW:BW,MIN(IF(ISNUMBER(BW55:BW251),ROW(BW55:BW251),"")))</f>
        <v>10.001428571428571</v>
      </c>
      <c r="BY55" s="12">
        <f>IF('Données projet'!$A$114&gt;35,BY54+BX55-CG54,IF(A55&lt;'Données projet'!$A$114,$BV$205^A55,IF(A55='Données projet'!$A$114,'Données projet'!$B$114,BY54+BX55-CG54)))</f>
        <v>178.06999999999996</v>
      </c>
      <c r="BZ55" s="13">
        <f>BY55*VLOOKUP('Données projet'!$B$12,Paramètres!$A$1:$I$89,3,0)*VLOOKUP('Données projet'!$B$12,Paramètres!$A$1:$I$89,5,0)</f>
        <v>169.45141199999998</v>
      </c>
      <c r="CA55" s="13">
        <f t="shared" si="39"/>
        <v>42.967135019238462</v>
      </c>
      <c r="CB55" s="20">
        <f t="shared" si="10"/>
        <v>369.96230272517363</v>
      </c>
      <c r="CC55" s="59">
        <f t="shared" si="11"/>
        <v>663.29563605850694</v>
      </c>
      <c r="CD55" s="59">
        <f ca="1">AVERAGE(OFFSET($CC$3,0,0,'Données projet'!$E$12+1,1))-AVERAGE(OFFSET($H$3,0,0,'Données projet'!$E$12+1,1))</f>
        <v>449.28947235329758</v>
      </c>
      <c r="CE55" s="59">
        <f t="shared" si="40"/>
        <v>289.36994109443964</v>
      </c>
      <c r="CF55" s="15">
        <f>IF(ISNA(VLOOKUP(A55,'Données projet'!$A$113:$I$133,3,0)),0,VLOOKUP(A55,'Données projet'!$A$113:$I$133,3,0))</f>
        <v>3</v>
      </c>
      <c r="CG55" s="15">
        <f>IF(ISNA(VLOOKUP(A55,'Données projet'!$A$113:$I$133,4,0)),0,VLOOKUP(A55,'Données projet'!$A$113:$I$133,4,0))</f>
        <v>44.400000000000006</v>
      </c>
      <c r="CH55" s="16">
        <f>IF(ISNA(VLOOKUP(A55,'Données projet'!$A$113:$I$133,5,0)),0%,VLOOKUP(A55,'Données projet'!$A$113:$I$133,5,0)*VLOOKUP('Données projet'!$B$12,Paramètres!$A$1:$I$89,7,0))</f>
        <v>0.15049999999999999</v>
      </c>
      <c r="CI55" s="16">
        <f>IF(ISNA(VLOOKUP(A55,'Données projet'!$A$113:$I$133,6,0)),0%,VLOOKUP(A55,'Données projet'!$A$113:$I$133,6,0)*VLOOKUP('Données projet'!$B$12,Paramètres!$A$1:$I$89,7,0))</f>
        <v>8.6000000000000007E-2</v>
      </c>
      <c r="CJ55" s="16">
        <f>IF(ISNA(VLOOKUP(A55,'Données projet'!$A$113:$I$133,7,0)),0%,VLOOKUP(A55,'Données projet'!$A$113:$I$133,7,0))</f>
        <v>0.1</v>
      </c>
      <c r="CK55" s="21">
        <f>EXP(-LN(2)/35)*CK54+(1-EXP(-LN(2)/35))/(LN(2)/35)*CG55*CH55*VLOOKUP('Données projet'!$B$12,Paramètres!$A$1:$I$89,3,0)*0.475*44/12</f>
        <v>7.0294446202815104</v>
      </c>
      <c r="CL55" s="21">
        <f>EXP(-LN(2)/25)*CL54+(1-EXP(-LN(2)/25))/(LN(2)/25)*Calculateur!CG55*Calculateur!CI55*VLOOKUP('Données projet'!$B$12,Paramètres!$A$1:$I$89,3,0)*0.475*44/12</f>
        <v>33.875790722259239</v>
      </c>
      <c r="CM55" s="21">
        <f>EXP(-LN(2)/2)*CM54+(1-EXP(-LN(2)/2))/(LN(2)/2)*CG55*CJ55*VLOOKUP('Données projet'!$B$12,Paramètres!$A$1:$I$89,3,0)*0.475*44/12</f>
        <v>4.7486122180660786</v>
      </c>
      <c r="CN55" s="22">
        <f t="shared" si="12"/>
        <v>45.653847560606827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149.03616</v>
      </c>
      <c r="CV55" s="13">
        <f t="shared" si="41"/>
        <v>38.35946741279561</v>
      </c>
      <c r="CW55" s="20">
        <f t="shared" si="13"/>
        <v>326.38071774395229</v>
      </c>
      <c r="CX55" s="59">
        <f t="shared" si="14"/>
        <v>619.7140510772856</v>
      </c>
      <c r="CY55" s="59">
        <f ca="1">AVERAGE(OFFSET($CX$3,0,0,'Données projet'!$E$13+1,1))-AVERAGE(OFFSET($H$3,0,0,'Données projet'!$E$13+1,1))</f>
        <v>261.93797831021766</v>
      </c>
      <c r="CZ55" s="59">
        <f t="shared" si="42"/>
        <v>256.90876395053073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1.5988850887520545</v>
      </c>
      <c r="DG55" s="21">
        <f>EXP(-LN(2)/25)*DG54+(1-EXP(-LN(2)/25))/(LN(2)/25)*Calculateur!DB55*Calculateur!DD55*VLOOKUP('Données projet'!$B$13,Paramètres!$A$1:$I$89,3,0)*0.475*44/12</f>
        <v>10.869422529926752</v>
      </c>
      <c r="DH55" s="21">
        <f>EXP(-LN(2)/2)*DH54+(1-EXP(-LN(2)/2))/(LN(2)/2)*DB55*DE55*VLOOKUP('Données projet'!$B$13,Paramètres!$A$1:$I$89,3,0)*0.475*44/12</f>
        <v>1.7494011321024354</v>
      </c>
      <c r="DI55" s="22">
        <f t="shared" si="15"/>
        <v>14.217708750781242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14.073749999999997</v>
      </c>
      <c r="N56" s="13">
        <f>IF('Données projet'!$A$36&gt;35,N55+M56-V55,IF(A56&lt;'Données projet'!$A$36,$K$205^A56,IF(A56='Données projet'!$A$36,'Données projet'!$B$36,N55+M56-V55)))</f>
        <v>276.21125000000006</v>
      </c>
      <c r="O56" s="13">
        <f>N56*VLOOKUP('Données projet'!$B$9,Paramètres!$A$1:$I$89,3,0)*VLOOKUP('Données projet'!$B$9,Paramètres!$A$1:$I$89,5,0)</f>
        <v>249.91593900000007</v>
      </c>
      <c r="P56" s="13">
        <f t="shared" si="33"/>
        <v>60.567940102066487</v>
      </c>
      <c r="Q56" s="20">
        <f t="shared" si="53"/>
        <v>540.7594227694326</v>
      </c>
      <c r="R56" s="59">
        <f t="shared" si="0"/>
        <v>834.09275610276586</v>
      </c>
      <c r="S56" s="59">
        <f ca="1">AVERAGE(OFFSET($R$3,0,0,'Données projet'!$E$9+1,1))-AVERAGE(OFFSET($H$3,0,0,'Données projet'!$E$9+1,1))</f>
        <v>695.0879239758051</v>
      </c>
      <c r="T56" s="59">
        <f t="shared" si="34"/>
        <v>226.22150997227476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44.407392625163531</v>
      </c>
      <c r="AB56" s="21">
        <f>EXP(-LN(2)/2)*AB55+(1-EXP(-LN(2)/2))/(LN(2)/2)*V56*Y56*VLOOKUP('Données projet'!$B$9,Paramètres!$A$1:$I$89,3,0)*0.475*44/12</f>
        <v>4.4975352297309632</v>
      </c>
      <c r="AC56" s="22">
        <f t="shared" si="3"/>
        <v>48.904927854894495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14.12857142857143</v>
      </c>
      <c r="AI56" s="13">
        <f>IF('Données projet'!$A$62&gt;35,AI55+AH56-AQ55,IF(A56&lt;'Données projet'!$A$62,$AF$205^A56,IF(A56='Données projet'!$A$62,'Données projet'!$B$62,AI55+AH56-AQ55)))</f>
        <v>234.47714285714287</v>
      </c>
      <c r="AJ56" s="13">
        <f>AI56*VLOOKUP('Données projet'!$B$10,Paramètres!$A$1:$I$89,3,0)*VLOOKUP('Données projet'!$B$10,Paramètres!$A$1:$I$89,5,0)</f>
        <v>197.52354514285716</v>
      </c>
      <c r="AK56" s="13">
        <f t="shared" si="35"/>
        <v>49.199523870679094</v>
      </c>
      <c r="AL56" s="20">
        <f t="shared" si="4"/>
        <v>429.70934519857565</v>
      </c>
      <c r="AM56" s="59">
        <f t="shared" si="5"/>
        <v>723.0426785319089</v>
      </c>
      <c r="AN56" s="59">
        <f ca="1">AVERAGE(OFFSET($AM$3,0,0,'Données projet'!$E$10+1,1))-AVERAGE(OFFSET($H$3,0,0,'Données projet'!$E$10+1,1))</f>
        <v>424.81155998881928</v>
      </c>
      <c r="AO56" s="59">
        <f t="shared" si="36"/>
        <v>277.34430416544575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14.084117142089035</v>
      </c>
      <c r="AV56" s="21">
        <f>EXP(-LN(2)/25)*AV55+(1-EXP(-LN(2)/25))/(LN(2)/25)*Calculateur!AQ56*Calculateur!AS56*VLOOKUP('Données projet'!$B$10,Paramètres!$A$1:$I$89,3,0)*0.475*44/12</f>
        <v>28.080663023189409</v>
      </c>
      <c r="AW56" s="21">
        <f>EXP(-LN(2)/2)*AW55+(1-EXP(-LN(2)/2))/(LN(2)/2)*AQ56*AT56*VLOOKUP('Données projet'!$B$10,Paramètres!$A$1:$I$89,3,0)*0.475*44/12</f>
        <v>2.4323554172870985</v>
      </c>
      <c r="AX56" s="21">
        <f t="shared" si="6"/>
        <v>44.597135582565542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204.70758750000024</v>
      </c>
      <c r="BF56" s="13">
        <f t="shared" si="37"/>
        <v>50.777347948807439</v>
      </c>
      <c r="BG56" s="20">
        <f t="shared" si="7"/>
        <v>444.96959590667331</v>
      </c>
      <c r="BH56" s="59">
        <f t="shared" si="8"/>
        <v>738.30292924000662</v>
      </c>
      <c r="BI56" s="59">
        <f ca="1">AVERAGE(OFFSET($BH$3,0,0,'Données projet'!$E$11+1,1))-AVERAGE(OFFSET($H$3,0,0,'Données projet'!$E$11+1,1))</f>
        <v>706.69239849991595</v>
      </c>
      <c r="BJ56" s="59">
        <f t="shared" si="38"/>
        <v>310.59887275116529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25.869715083581735</v>
      </c>
      <c r="BR56" s="21">
        <f>EXP(-LN(2)/2)*BR55+(1-EXP(-LN(2)/2))/(LN(2)/2)*BL56*BO56*VLOOKUP('Données projet'!$B$11,Paramètres!$A$1:$I$89,3,0)*0.475*44/12</f>
        <v>2.7278341953854568</v>
      </c>
      <c r="BS56" s="22">
        <f t="shared" si="9"/>
        <v>28.597549278967193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9.8828571428571443</v>
      </c>
      <c r="BY56" s="12">
        <f>IF('Données projet'!$A$114&gt;35,BY55+BX56-CG55,IF(A56&lt;'Données projet'!$A$114,$BV$205^A56,IF(A56='Données projet'!$A$114,'Données projet'!$B$114,BY55+BX56-CG55)))</f>
        <v>143.55285714285711</v>
      </c>
      <c r="BZ56" s="13">
        <f>BY56*VLOOKUP('Données projet'!$B$12,Paramètres!$A$1:$I$89,3,0)*VLOOKUP('Données projet'!$B$12,Paramètres!$A$1:$I$89,5,0)</f>
        <v>136.60489885714281</v>
      </c>
      <c r="CA56" s="13">
        <f t="shared" si="39"/>
        <v>35.518127724762081</v>
      </c>
      <c r="CB56" s="20">
        <f t="shared" si="10"/>
        <v>299.78093796348435</v>
      </c>
      <c r="CC56" s="59">
        <f t="shared" si="11"/>
        <v>593.11427129681761</v>
      </c>
      <c r="CD56" s="59">
        <f ca="1">AVERAGE(OFFSET($CC$3,0,0,'Données projet'!$E$12+1,1))-AVERAGE(OFFSET($H$3,0,0,'Données projet'!$E$12+1,1))</f>
        <v>449.28947235329758</v>
      </c>
      <c r="CE56" s="59">
        <f t="shared" si="40"/>
        <v>289.36994109443964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6.8916014988156489</v>
      </c>
      <c r="CL56" s="21">
        <f>EXP(-LN(2)/25)*CL55+(1-EXP(-LN(2)/25))/(LN(2)/25)*Calculateur!CG56*Calculateur!CI56*VLOOKUP('Données projet'!$B$12,Paramètres!$A$1:$I$89,3,0)*0.475*44/12</f>
        <v>32.949455443508647</v>
      </c>
      <c r="CM56" s="21">
        <f>EXP(-LN(2)/2)*CM55+(1-EXP(-LN(2)/2))/(LN(2)/2)*CG56*CJ56*VLOOKUP('Données projet'!$B$12,Paramètres!$A$1:$I$89,3,0)*0.475*44/12</f>
        <v>3.3577759006198171</v>
      </c>
      <c r="CN56" s="22">
        <f t="shared" si="12"/>
        <v>43.198832842944114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153.22943999999998</v>
      </c>
      <c r="CV56" s="13">
        <f t="shared" si="41"/>
        <v>39.311575138468363</v>
      </c>
      <c r="CW56" s="20">
        <f t="shared" si="13"/>
        <v>335.34226803283235</v>
      </c>
      <c r="CX56" s="59">
        <f t="shared" si="14"/>
        <v>628.67560136616567</v>
      </c>
      <c r="CY56" s="59">
        <f ca="1">AVERAGE(OFFSET($CX$3,0,0,'Données projet'!$E$13+1,1))-AVERAGE(OFFSET($H$3,0,0,'Données projet'!$E$13+1,1))</f>
        <v>261.93797831021766</v>
      </c>
      <c r="CZ56" s="59">
        <f t="shared" si="42"/>
        <v>256.90876395053073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1.5675319273852355</v>
      </c>
      <c r="DG56" s="21">
        <f>EXP(-LN(2)/25)*DG55+(1-EXP(-LN(2)/25))/(LN(2)/25)*Calculateur!DB56*Calculateur!DD56*VLOOKUP('Données projet'!$B$13,Paramètres!$A$1:$I$89,3,0)*0.475*44/12</f>
        <v>10.572197599247817</v>
      </c>
      <c r="DH56" s="21">
        <f>EXP(-LN(2)/2)*DH55+(1-EXP(-LN(2)/2))/(LN(2)/2)*DB56*DE56*VLOOKUP('Données projet'!$B$13,Paramètres!$A$1:$I$89,3,0)*0.475*44/12</f>
        <v>1.2370134035250555</v>
      </c>
      <c r="DI56" s="22">
        <f t="shared" si="15"/>
        <v>13.376742930158109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14.073749999999997</v>
      </c>
      <c r="N57" s="13">
        <f>IF('Données projet'!$A$36&gt;35,N56+M57-V56,IF(A57&lt;'Données projet'!$A$36,$K$205^A57,IF(A57='Données projet'!$A$36,'Données projet'!$B$36,N56+M57-V56)))</f>
        <v>290.28500000000008</v>
      </c>
      <c r="O57" s="13">
        <f>N57*VLOOKUP('Données projet'!$B$9,Paramètres!$A$1:$I$89,3,0)*VLOOKUP('Données projet'!$B$9,Paramètres!$A$1:$I$89,5,0)</f>
        <v>262.64986800000008</v>
      </c>
      <c r="P57" s="13">
        <f t="shared" si="33"/>
        <v>63.286888949205185</v>
      </c>
      <c r="Q57" s="20">
        <f t="shared" si="53"/>
        <v>567.67318501986585</v>
      </c>
      <c r="R57" s="59">
        <f t="shared" si="0"/>
        <v>861.00651835319923</v>
      </c>
      <c r="S57" s="59">
        <f ca="1">AVERAGE(OFFSET($R$3,0,0,'Données projet'!$E$9+1,1))-AVERAGE(OFFSET($H$3,0,0,'Données projet'!$E$9+1,1))</f>
        <v>695.0879239758051</v>
      </c>
      <c r="T57" s="59">
        <f t="shared" si="34"/>
        <v>226.22150997227476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43.193070138545153</v>
      </c>
      <c r="AB57" s="21">
        <f>EXP(-LN(2)/2)*AB56+(1-EXP(-LN(2)/2))/(LN(2)/2)*V57*Y57*VLOOKUP('Données projet'!$B$9,Paramètres!$A$1:$I$89,3,0)*0.475*44/12</f>
        <v>3.180237659568161</v>
      </c>
      <c r="AC57" s="22">
        <f t="shared" si="3"/>
        <v>46.373307798113316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14.12857142857143</v>
      </c>
      <c r="AI57" s="13">
        <f>IF('Données projet'!$A$62&gt;35,AI56+AH57-AQ56,IF(A57&lt;'Données projet'!$A$62,$AF$205^A57,IF(A57='Données projet'!$A$62,'Données projet'!$B$62,AI56+AH57-AQ56)))</f>
        <v>248.6057142857143</v>
      </c>
      <c r="AJ57" s="13">
        <f>AI57*VLOOKUP('Données projet'!$B$10,Paramètres!$A$1:$I$89,3,0)*VLOOKUP('Données projet'!$B$10,Paramètres!$A$1:$I$89,5,0)</f>
        <v>209.42545371428574</v>
      </c>
      <c r="AK57" s="13">
        <f t="shared" si="35"/>
        <v>51.810012867163444</v>
      </c>
      <c r="AL57" s="20">
        <f t="shared" si="4"/>
        <v>454.98510429602402</v>
      </c>
      <c r="AM57" s="59">
        <f t="shared" si="5"/>
        <v>748.31843762935728</v>
      </c>
      <c r="AN57" s="59">
        <f ca="1">AVERAGE(OFFSET($AM$3,0,0,'Données projet'!$E$10+1,1))-AVERAGE(OFFSET($H$3,0,0,'Données projet'!$E$10+1,1))</f>
        <v>424.81155998881928</v>
      </c>
      <c r="AO57" s="59">
        <f t="shared" si="36"/>
        <v>277.34430416544575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13.807936195395888</v>
      </c>
      <c r="AV57" s="21">
        <f>EXP(-LN(2)/25)*AV56+(1-EXP(-LN(2)/25))/(LN(2)/25)*Calculateur!AQ57*Calculateur!AS57*VLOOKUP('Données projet'!$B$10,Paramètres!$A$1:$I$89,3,0)*0.475*44/12</f>
        <v>27.312795816122406</v>
      </c>
      <c r="AW57" s="21">
        <f>EXP(-LN(2)/2)*AW56+(1-EXP(-LN(2)/2))/(LN(2)/2)*AQ57*AT57*VLOOKUP('Données projet'!$B$10,Paramètres!$A$1:$I$89,3,0)*0.475*44/12</f>
        <v>1.7199350098195421</v>
      </c>
      <c r="AX57" s="21">
        <f t="shared" si="6"/>
        <v>42.840667021337836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215.21643000000026</v>
      </c>
      <c r="BF57" s="13">
        <f t="shared" si="37"/>
        <v>53.073873953396202</v>
      </c>
      <c r="BG57" s="20">
        <f t="shared" si="7"/>
        <v>467.27227938549885</v>
      </c>
      <c r="BH57" s="59">
        <f t="shared" si="8"/>
        <v>760.60561271883216</v>
      </c>
      <c r="BI57" s="59">
        <f ca="1">AVERAGE(OFFSET($BH$3,0,0,'Données projet'!$E$11+1,1))-AVERAGE(OFFSET($H$3,0,0,'Données projet'!$E$11+1,1))</f>
        <v>706.69239849991595</v>
      </c>
      <c r="BJ57" s="59">
        <f t="shared" si="38"/>
        <v>310.59887275116529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25.162306364192002</v>
      </c>
      <c r="BR57" s="21">
        <f>EXP(-LN(2)/2)*BR56+(1-EXP(-LN(2)/2))/(LN(2)/2)*BL57*BO57*VLOOKUP('Données projet'!$B$11,Paramètres!$A$1:$I$89,3,0)*0.475*44/12</f>
        <v>1.9288700575096063</v>
      </c>
      <c r="BS57" s="22">
        <f t="shared" si="9"/>
        <v>27.091176421701608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9.8828571428571443</v>
      </c>
      <c r="BY57" s="12">
        <f>IF('Données projet'!$A$114&gt;35,BY56+BX57-CG56,IF(A57&lt;'Données projet'!$A$114,$BV$205^A57,IF(A57='Données projet'!$A$114,'Données projet'!$B$114,BY56+BX57-CG56)))</f>
        <v>153.43571428571425</v>
      </c>
      <c r="BZ57" s="13">
        <f>BY57*VLOOKUP('Données projet'!$B$12,Paramètres!$A$1:$I$89,3,0)*VLOOKUP('Données projet'!$B$12,Paramètres!$A$1:$I$89,5,0)</f>
        <v>146.0094257142857</v>
      </c>
      <c r="CA57" s="13">
        <f t="shared" si="39"/>
        <v>37.670295045235548</v>
      </c>
      <c r="CB57" s="20">
        <f t="shared" si="10"/>
        <v>319.90884698949952</v>
      </c>
      <c r="CC57" s="59">
        <f t="shared" si="11"/>
        <v>613.24218032283284</v>
      </c>
      <c r="CD57" s="59">
        <f ca="1">AVERAGE(OFFSET($CC$3,0,0,'Données projet'!$E$12+1,1))-AVERAGE(OFFSET($H$3,0,0,'Données projet'!$E$12+1,1))</f>
        <v>449.28947235329758</v>
      </c>
      <c r="CE57" s="59">
        <f t="shared" si="40"/>
        <v>289.36994109443964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6.7564613968857312</v>
      </c>
      <c r="CL57" s="21">
        <f>EXP(-LN(2)/25)*CL56+(1-EXP(-LN(2)/25))/(LN(2)/25)*Calculateur!CG57*Calculateur!CI57*VLOOKUP('Données projet'!$B$12,Paramètres!$A$1:$I$89,3,0)*0.475*44/12</f>
        <v>32.048450851669351</v>
      </c>
      <c r="CM57" s="21">
        <f>EXP(-LN(2)/2)*CM56+(1-EXP(-LN(2)/2))/(LN(2)/2)*CG57*CJ57*VLOOKUP('Données projet'!$B$12,Paramètres!$A$1:$I$89,3,0)*0.475*44/12</f>
        <v>2.3743061090330397</v>
      </c>
      <c r="CN57" s="22">
        <f t="shared" si="12"/>
        <v>41.179218357588127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157.42272000000003</v>
      </c>
      <c r="CV57" s="13">
        <f t="shared" si="41"/>
        <v>40.260654441499831</v>
      </c>
      <c r="CW57" s="20">
        <f t="shared" si="13"/>
        <v>344.29854381894557</v>
      </c>
      <c r="CX57" s="59">
        <f t="shared" si="14"/>
        <v>637.63187715227889</v>
      </c>
      <c r="CY57" s="59">
        <f ca="1">AVERAGE(OFFSET($CX$3,0,0,'Données projet'!$E$13+1,1))-AVERAGE(OFFSET($H$3,0,0,'Données projet'!$E$13+1,1))</f>
        <v>261.93797831021766</v>
      </c>
      <c r="CZ57" s="59">
        <f t="shared" si="42"/>
        <v>256.90876395053073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1.5367935823892798</v>
      </c>
      <c r="DG57" s="21">
        <f>EXP(-LN(2)/25)*DG56+(1-EXP(-LN(2)/25))/(LN(2)/25)*Calculateur!DB57*Calculateur!DD57*VLOOKUP('Données projet'!$B$13,Paramètres!$A$1:$I$89,3,0)*0.475*44/12</f>
        <v>10.283100299928677</v>
      </c>
      <c r="DH57" s="21">
        <f>EXP(-LN(2)/2)*DH56+(1-EXP(-LN(2)/2))/(LN(2)/2)*DB57*DE57*VLOOKUP('Données projet'!$B$13,Paramètres!$A$1:$I$89,3,0)*0.475*44/12</f>
        <v>0.87470056605121793</v>
      </c>
      <c r="DI57" s="22">
        <f t="shared" si="15"/>
        <v>12.694594448369173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14.073749999999997</v>
      </c>
      <c r="N58" s="13">
        <f>IF('Données projet'!$A$36&gt;35,N57+M58-V57,IF(A58&lt;'Données projet'!$A$36,$K$205^A58,IF(A58='Données projet'!$A$36,'Données projet'!$B$36,N57+M58-V57)))</f>
        <v>304.3587500000001</v>
      </c>
      <c r="O58" s="13">
        <f>N58*VLOOKUP('Données projet'!$B$9,Paramètres!$A$1:$I$89,3,0)*VLOOKUP('Données projet'!$B$9,Paramètres!$A$1:$I$89,5,0)</f>
        <v>275.38379700000007</v>
      </c>
      <c r="P58" s="13">
        <f t="shared" si="33"/>
        <v>65.990530656055242</v>
      </c>
      <c r="Q58" s="20">
        <f t="shared" si="53"/>
        <v>594.56028733429628</v>
      </c>
      <c r="R58" s="59">
        <f t="shared" si="0"/>
        <v>887.89362066762965</v>
      </c>
      <c r="S58" s="59">
        <f ca="1">AVERAGE(OFFSET($R$3,0,0,'Données projet'!$E$9+1,1))-AVERAGE(OFFSET($H$3,0,0,'Données projet'!$E$9+1,1))</f>
        <v>695.0879239758051</v>
      </c>
      <c r="T58" s="59">
        <f t="shared" si="34"/>
        <v>226.22150997227476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42.011953364181799</v>
      </c>
      <c r="AB58" s="21">
        <f>EXP(-LN(2)/2)*AB57+(1-EXP(-LN(2)/2))/(LN(2)/2)*V58*Y58*VLOOKUP('Données projet'!$B$9,Paramètres!$A$1:$I$89,3,0)*0.475*44/12</f>
        <v>2.2487676148654816</v>
      </c>
      <c r="AC58" s="22">
        <f t="shared" si="3"/>
        <v>44.260720979047278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14.12857142857143</v>
      </c>
      <c r="AI58" s="13">
        <f>IF('Données projet'!$A$62&gt;35,AI57+AH58-AQ57,IF(A58&lt;'Données projet'!$A$62,$AF$205^A58,IF(A58='Données projet'!$A$62,'Données projet'!$B$62,AI57+AH58-AQ57)))</f>
        <v>262.7342857142857</v>
      </c>
      <c r="AJ58" s="13">
        <f>AI58*VLOOKUP('Données projet'!$B$10,Paramètres!$A$1:$I$89,3,0)*VLOOKUP('Données projet'!$B$10,Paramètres!$A$1:$I$89,5,0)</f>
        <v>221.32736228571429</v>
      </c>
      <c r="AK58" s="13">
        <f t="shared" si="35"/>
        <v>54.403280277320995</v>
      </c>
      <c r="AL58" s="20">
        <f t="shared" si="4"/>
        <v>480.23086913061974</v>
      </c>
      <c r="AM58" s="59">
        <f t="shared" si="5"/>
        <v>773.56420246395305</v>
      </c>
      <c r="AN58" s="59">
        <f ca="1">AVERAGE(OFFSET($AM$3,0,0,'Données projet'!$E$10+1,1))-AVERAGE(OFFSET($H$3,0,0,'Données projet'!$E$10+1,1))</f>
        <v>424.81155998881928</v>
      </c>
      <c r="AO58" s="59">
        <f t="shared" si="36"/>
        <v>277.34430416544575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13.537170988613649</v>
      </c>
      <c r="AV58" s="21">
        <f>EXP(-LN(2)/25)*AV57+(1-EXP(-LN(2)/25))/(LN(2)/25)*Calculateur!AQ58*Calculateur!AS58*VLOOKUP('Données projet'!$B$10,Paramètres!$A$1:$I$89,3,0)*0.475*44/12</f>
        <v>26.565925978213031</v>
      </c>
      <c r="AW58" s="21">
        <f>EXP(-LN(2)/2)*AW57+(1-EXP(-LN(2)/2))/(LN(2)/2)*AQ58*AT58*VLOOKUP('Données projet'!$B$10,Paramètres!$A$1:$I$89,3,0)*0.475*44/12</f>
        <v>1.2161777086435495</v>
      </c>
      <c r="AX58" s="21">
        <f t="shared" si="6"/>
        <v>41.319274675470233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225.72527250000027</v>
      </c>
      <c r="BF58" s="13">
        <f t="shared" si="37"/>
        <v>55.357378715128789</v>
      </c>
      <c r="BG58" s="20">
        <f t="shared" si="7"/>
        <v>489.55228419968324</v>
      </c>
      <c r="BH58" s="59">
        <f t="shared" si="8"/>
        <v>782.88561753301656</v>
      </c>
      <c r="BI58" s="59">
        <f ca="1">AVERAGE(OFFSET($BH$3,0,0,'Données projet'!$E$11+1,1))-AVERAGE(OFFSET($H$3,0,0,'Données projet'!$E$11+1,1))</f>
        <v>706.69239849991595</v>
      </c>
      <c r="BJ58" s="59">
        <f t="shared" si="38"/>
        <v>310.59887275116529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24.47424177343499</v>
      </c>
      <c r="BR58" s="21">
        <f>EXP(-LN(2)/2)*BR57+(1-EXP(-LN(2)/2))/(LN(2)/2)*BL58*BO58*VLOOKUP('Données projet'!$B$11,Paramètres!$A$1:$I$89,3,0)*0.475*44/12</f>
        <v>1.3639170976927286</v>
      </c>
      <c r="BS58" s="22">
        <f t="shared" si="9"/>
        <v>25.838158871127717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9.8828571428571443</v>
      </c>
      <c r="BY58" s="12">
        <f>IF('Données projet'!$A$114&gt;35,BY57+BX58-CG57,IF(A58&lt;'Données projet'!$A$114,$BV$205^A58,IF(A58='Données projet'!$A$114,'Données projet'!$B$114,BY57+BX58-CG57)))</f>
        <v>163.3185714285714</v>
      </c>
      <c r="BZ58" s="13">
        <f>BY58*VLOOKUP('Données projet'!$B$12,Paramètres!$A$1:$I$89,3,0)*VLOOKUP('Données projet'!$B$12,Paramètres!$A$1:$I$89,5,0)</f>
        <v>155.41395257142855</v>
      </c>
      <c r="CA58" s="13">
        <f t="shared" si="39"/>
        <v>39.806375365418063</v>
      </c>
      <c r="CB58" s="20">
        <f t="shared" si="10"/>
        <v>340.00873782334116</v>
      </c>
      <c r="CC58" s="59">
        <f t="shared" si="11"/>
        <v>633.34207115667448</v>
      </c>
      <c r="CD58" s="59">
        <f ca="1">AVERAGE(OFFSET($CC$3,0,0,'Données projet'!$E$12+1,1))-AVERAGE(OFFSET($H$3,0,0,'Données projet'!$E$12+1,1))</f>
        <v>449.28947235329758</v>
      </c>
      <c r="CE58" s="59">
        <f t="shared" si="40"/>
        <v>289.36994109443964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6.6239713099273354</v>
      </c>
      <c r="CL58" s="21">
        <f>EXP(-LN(2)/25)*CL57+(1-EXP(-LN(2)/25))/(LN(2)/25)*Calculateur!CG58*Calculateur!CI58*VLOOKUP('Données projet'!$B$12,Paramètres!$A$1:$I$89,3,0)*0.475*44/12</f>
        <v>31.172084277775671</v>
      </c>
      <c r="CM58" s="21">
        <f>EXP(-LN(2)/2)*CM57+(1-EXP(-LN(2)/2))/(LN(2)/2)*CG58*CJ58*VLOOKUP('Données projet'!$B$12,Paramètres!$A$1:$I$89,3,0)*0.475*44/12</f>
        <v>1.6788879503099088</v>
      </c>
      <c r="CN58" s="22">
        <f t="shared" si="12"/>
        <v>39.474943538012916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161.61600000000001</v>
      </c>
      <c r="CV58" s="13">
        <f t="shared" si="41"/>
        <v>41.20679526204917</v>
      </c>
      <c r="CW58" s="20">
        <f t="shared" si="13"/>
        <v>353.24970174806896</v>
      </c>
      <c r="CX58" s="59">
        <f t="shared" si="14"/>
        <v>646.58303508140227</v>
      </c>
      <c r="CY58" s="59">
        <f ca="1">AVERAGE(OFFSET($CX$3,0,0,'Données projet'!$E$13+1,1))-AVERAGE(OFFSET($H$3,0,0,'Données projet'!$E$13+1,1))</f>
        <v>261.93797831021766</v>
      </c>
      <c r="CZ58" s="59">
        <f t="shared" si="42"/>
        <v>256.90876395053073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2.914222478678834</v>
      </c>
      <c r="DG58" s="21">
        <f>EXP(-LN(2)/25)*DG57+(1-EXP(-LN(2)/25))/(LN(2)/25)*Calculateur!DB58*Calculateur!DD58*VLOOKUP('Données projet'!$B$13,Paramètres!$A$1:$I$89,3,0)*0.475*44/12</f>
        <v>11.403930744864905</v>
      </c>
      <c r="DH58" s="21">
        <f>EXP(-LN(2)/2)*DH57+(1-EXP(-LN(2)/2))/(LN(2)/2)*DB58*DE58*VLOOKUP('Données projet'!$B$13,Paramètres!$A$1:$I$89,3,0)*0.475*44/12</f>
        <v>2.8852357614105131</v>
      </c>
      <c r="DI58" s="22">
        <f t="shared" si="15"/>
        <v>17.203388984954252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14.073749999999997</v>
      </c>
      <c r="N59" s="13">
        <f>IF('Données projet'!$A$36&gt;35,N58+M59-V58,IF(A59&lt;'Données projet'!$A$36,$K$205^A59,IF(A59='Données projet'!$A$36,'Données projet'!$B$36,N58+M59-V58)))</f>
        <v>318.43250000000012</v>
      </c>
      <c r="O59" s="13">
        <f>N59*VLOOKUP('Données projet'!$B$9,Paramètres!$A$1:$I$89,3,0)*VLOOKUP('Données projet'!$B$9,Paramètres!$A$1:$I$89,5,0)</f>
        <v>288.11772600000012</v>
      </c>
      <c r="P59" s="13">
        <f t="shared" si="33"/>
        <v>68.679653876016673</v>
      </c>
      <c r="Q59" s="20">
        <f t="shared" si="53"/>
        <v>621.42210328406259</v>
      </c>
      <c r="R59" s="59">
        <f t="shared" si="0"/>
        <v>914.75543661739584</v>
      </c>
      <c r="S59" s="59">
        <f ca="1">AVERAGE(OFFSET($R$3,0,0,'Données projet'!$E$9+1,1))-AVERAGE(OFFSET($H$3,0,0,'Données projet'!$E$9+1,1))</f>
        <v>695.0879239758051</v>
      </c>
      <c r="T59" s="59">
        <f t="shared" si="34"/>
        <v>226.22150997227476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40.863134290125643</v>
      </c>
      <c r="AB59" s="21">
        <f>EXP(-LN(2)/2)*AB58+(1-EXP(-LN(2)/2))/(LN(2)/2)*V59*Y59*VLOOKUP('Données projet'!$B$9,Paramètres!$A$1:$I$89,3,0)*0.475*44/12</f>
        <v>1.5901188297840805</v>
      </c>
      <c r="AC59" s="22">
        <f t="shared" si="3"/>
        <v>42.453253119909725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14.12857142857143</v>
      </c>
      <c r="AI59" s="13">
        <f>IF('Données projet'!$A$62&gt;35,AI58+AH59-AQ58,IF(A59&lt;'Données projet'!$A$62,$AF$205^A59,IF(A59='Données projet'!$A$62,'Données projet'!$B$62,AI58+AH59-AQ58)))</f>
        <v>276.86285714285714</v>
      </c>
      <c r="AJ59" s="13">
        <f>AI59*VLOOKUP('Données projet'!$B$10,Paramètres!$A$1:$I$89,3,0)*VLOOKUP('Données projet'!$B$10,Paramètres!$A$1:$I$89,5,0)</f>
        <v>233.22927085714286</v>
      </c>
      <c r="AK59" s="13">
        <f t="shared" si="35"/>
        <v>56.980357782875821</v>
      </c>
      <c r="AL59" s="20">
        <f t="shared" si="4"/>
        <v>505.44843654803253</v>
      </c>
      <c r="AM59" s="59">
        <f t="shared" si="5"/>
        <v>798.78176988136579</v>
      </c>
      <c r="AN59" s="59">
        <f ca="1">AVERAGE(OFFSET($AM$3,0,0,'Données projet'!$E$10+1,1))-AVERAGE(OFFSET($H$3,0,0,'Données projet'!$E$10+1,1))</f>
        <v>424.81155998881928</v>
      </c>
      <c r="AO59" s="59">
        <f t="shared" si="36"/>
        <v>277.34430416544575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13.271715322385942</v>
      </c>
      <c r="AV59" s="21">
        <f>EXP(-LN(2)/25)*AV58+(1-EXP(-LN(2)/25))/(LN(2)/25)*Calculateur!AQ59*Calculateur!AS59*VLOOKUP('Données projet'!$B$10,Paramètres!$A$1:$I$89,3,0)*0.475*44/12</f>
        <v>25.839479335297465</v>
      </c>
      <c r="AW59" s="21">
        <f>EXP(-LN(2)/2)*AW58+(1-EXP(-LN(2)/2))/(LN(2)/2)*AQ59*AT59*VLOOKUP('Données projet'!$B$10,Paramètres!$A$1:$I$89,3,0)*0.475*44/12</f>
        <v>0.85996750490977114</v>
      </c>
      <c r="AX59" s="21">
        <f t="shared" si="6"/>
        <v>39.971162162593174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236.23411500000026</v>
      </c>
      <c r="BF59" s="13">
        <f t="shared" si="37"/>
        <v>57.628537681562783</v>
      </c>
      <c r="BG59" s="20">
        <f t="shared" si="7"/>
        <v>511.8107867537222</v>
      </c>
      <c r="BH59" s="59">
        <f t="shared" si="8"/>
        <v>805.14412008705551</v>
      </c>
      <c r="BI59" s="59">
        <f ca="1">AVERAGE(OFFSET($BH$3,0,0,'Données projet'!$E$11+1,1))-AVERAGE(OFFSET($H$3,0,0,'Données projet'!$E$11+1,1))</f>
        <v>706.69239849991595</v>
      </c>
      <c r="BJ59" s="59">
        <f t="shared" si="38"/>
        <v>310.59887275116529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23.804992345095972</v>
      </c>
      <c r="BR59" s="21">
        <f>EXP(-LN(2)/2)*BR58+(1-EXP(-LN(2)/2))/(LN(2)/2)*BL59*BO59*VLOOKUP('Données projet'!$B$11,Paramètres!$A$1:$I$89,3,0)*0.475*44/12</f>
        <v>0.96443502875480325</v>
      </c>
      <c r="BS59" s="22">
        <f t="shared" si="9"/>
        <v>24.769427373850775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9.8828571428571443</v>
      </c>
      <c r="BY59" s="12">
        <f>IF('Données projet'!$A$114&gt;35,BY58+BX59-CG58,IF(A59&lt;'Données projet'!$A$114,$BV$205^A59,IF(A59='Données projet'!$A$114,'Données projet'!$B$114,BY58+BX59-CG58)))</f>
        <v>173.20142857142855</v>
      </c>
      <c r="BZ59" s="13">
        <f>BY59*VLOOKUP('Données projet'!$B$12,Paramètres!$A$1:$I$89,3,0)*VLOOKUP('Données projet'!$B$12,Paramètres!$A$1:$I$89,5,0)</f>
        <v>164.81847942857141</v>
      </c>
      <c r="CA59" s="13">
        <f t="shared" si="39"/>
        <v>41.927453010205141</v>
      </c>
      <c r="CB59" s="20">
        <f t="shared" si="10"/>
        <v>360.08249899753582</v>
      </c>
      <c r="CC59" s="59">
        <f t="shared" si="11"/>
        <v>653.41583233086908</v>
      </c>
      <c r="CD59" s="59">
        <f ca="1">AVERAGE(OFFSET($CC$3,0,0,'Données projet'!$E$12+1,1))-AVERAGE(OFFSET($H$3,0,0,'Données projet'!$E$12+1,1))</f>
        <v>449.28947235329758</v>
      </c>
      <c r="CE59" s="59">
        <f t="shared" si="40"/>
        <v>289.36994109443964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6.4940792727632202</v>
      </c>
      <c r="CL59" s="21">
        <f>EXP(-LN(2)/25)*CL58+(1-EXP(-LN(2)/25))/(LN(2)/25)*Calculateur!CG59*Calculateur!CI59*VLOOKUP('Données projet'!$B$12,Paramètres!$A$1:$I$89,3,0)*0.475*44/12</f>
        <v>30.319681993931226</v>
      </c>
      <c r="CM59" s="21">
        <f>EXP(-LN(2)/2)*CM58+(1-EXP(-LN(2)/2))/(LN(2)/2)*CG59*CJ59*VLOOKUP('Données projet'!$B$12,Paramètres!$A$1:$I$89,3,0)*0.475*44/12</f>
        <v>1.1871530545165201</v>
      </c>
      <c r="CN59" s="22">
        <f t="shared" si="12"/>
        <v>38.000914321210971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155.50080000000003</v>
      </c>
      <c r="CV59" s="13">
        <f t="shared" si="41"/>
        <v>39.826029828200333</v>
      </c>
      <c r="CW59" s="20">
        <f t="shared" si="13"/>
        <v>340.19422861744891</v>
      </c>
      <c r="CX59" s="59">
        <f t="shared" si="14"/>
        <v>633.52756195078223</v>
      </c>
      <c r="CY59" s="59">
        <f ca="1">AVERAGE(OFFSET($CX$3,0,0,'Données projet'!$E$13+1,1))-AVERAGE(OFFSET($H$3,0,0,'Données projet'!$E$13+1,1))</f>
        <v>261.93797831021766</v>
      </c>
      <c r="CZ59" s="59">
        <f t="shared" si="42"/>
        <v>256.90876395053073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2.8570763533721406</v>
      </c>
      <c r="DG59" s="21">
        <f>EXP(-LN(2)/25)*DG58+(1-EXP(-LN(2)/25))/(LN(2)/25)*Calculateur!DB59*Calculateur!DD59*VLOOKUP('Données projet'!$B$13,Paramètres!$A$1:$I$89,3,0)*0.475*44/12</f>
        <v>11.092089658939921</v>
      </c>
      <c r="DH59" s="21">
        <f>EXP(-LN(2)/2)*DH58+(1-EXP(-LN(2)/2))/(LN(2)/2)*DB59*DE59*VLOOKUP('Données projet'!$B$13,Paramètres!$A$1:$I$89,3,0)*0.475*44/12</f>
        <v>2.0401697722153056</v>
      </c>
      <c r="DI59" s="22">
        <f t="shared" si="15"/>
        <v>15.989335784527368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14.073749999999997</v>
      </c>
      <c r="N60" s="13">
        <f>IF('Données projet'!$A$36&gt;35,N59+M60-V59,IF(A60&lt;'Données projet'!$A$36,$K$205^A60,IF(A60='Données projet'!$A$36,'Données projet'!$B$36,N59+M60-V59)))</f>
        <v>332.50625000000014</v>
      </c>
      <c r="O60" s="13">
        <f>N60*VLOOKUP('Données projet'!$B$9,Paramètres!$A$1:$I$89,3,0)*VLOOKUP('Données projet'!$B$9,Paramètres!$A$1:$I$89,5,0)</f>
        <v>300.85165500000011</v>
      </c>
      <c r="P60" s="13">
        <f t="shared" si="33"/>
        <v>71.354973608730333</v>
      </c>
      <c r="Q60" s="20">
        <f t="shared" si="53"/>
        <v>648.25987816020552</v>
      </c>
      <c r="R60" s="59">
        <f t="shared" si="0"/>
        <v>941.59321149353877</v>
      </c>
      <c r="S60" s="59">
        <f ca="1">AVERAGE(OFFSET($R$3,0,0,'Données projet'!$E$9+1,1))-AVERAGE(OFFSET($H$3,0,0,'Données projet'!$E$9+1,1))</f>
        <v>695.0879239758051</v>
      </c>
      <c r="T60" s="59">
        <f t="shared" si="34"/>
        <v>226.22150997227476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39.745729734063318</v>
      </c>
      <c r="AB60" s="21">
        <f>EXP(-LN(2)/2)*AB59+(1-EXP(-LN(2)/2))/(LN(2)/2)*V60*Y60*VLOOKUP('Données projet'!$B$9,Paramètres!$A$1:$I$89,3,0)*0.475*44/12</f>
        <v>1.1243838074327408</v>
      </c>
      <c r="AC60" s="22">
        <f t="shared" si="3"/>
        <v>40.87011354149606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14.12857142857143</v>
      </c>
      <c r="AI60" s="13">
        <f>IF('Données projet'!$A$62&gt;35,AI59+AH60-AQ59,IF(A60&lt;'Données projet'!$A$62,$AF$205^A60,IF(A60='Données projet'!$A$62,'Données projet'!$B$62,AI59+AH60-AQ59)))</f>
        <v>290.99142857142857</v>
      </c>
      <c r="AJ60" s="13">
        <f>AI60*VLOOKUP('Données projet'!$B$10,Paramètres!$A$1:$I$89,3,0)*VLOOKUP('Données projet'!$B$10,Paramètres!$A$1:$I$89,5,0)</f>
        <v>245.13117942857144</v>
      </c>
      <c r="AK60" s="13">
        <f t="shared" si="35"/>
        <v>59.542165822606094</v>
      </c>
      <c r="AL60" s="20">
        <f t="shared" si="4"/>
        <v>530.63940964580081</v>
      </c>
      <c r="AM60" s="59">
        <f t="shared" si="5"/>
        <v>823.97274297913418</v>
      </c>
      <c r="AN60" s="59">
        <f ca="1">AVERAGE(OFFSET($AM$3,0,0,'Données projet'!$E$10+1,1))-AVERAGE(OFFSET($H$3,0,0,'Données projet'!$E$10+1,1))</f>
        <v>424.81155998881928</v>
      </c>
      <c r="AO60" s="59">
        <f t="shared" si="36"/>
        <v>277.34430416544575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13.011465079860992</v>
      </c>
      <c r="AV60" s="21">
        <f>EXP(-LN(2)/25)*AV59+(1-EXP(-LN(2)/25))/(LN(2)/25)*Calculateur!AQ60*Calculateur!AS60*VLOOKUP('Données projet'!$B$10,Paramètres!$A$1:$I$89,3,0)*0.475*44/12</f>
        <v>25.132897414034595</v>
      </c>
      <c r="AW60" s="21">
        <f>EXP(-LN(2)/2)*AW59+(1-EXP(-LN(2)/2))/(LN(2)/2)*AQ60*AT60*VLOOKUP('Données projet'!$B$10,Paramètres!$A$1:$I$89,3,0)*0.475*44/12</f>
        <v>0.60808885432177484</v>
      </c>
      <c r="AX60" s="21">
        <f t="shared" si="6"/>
        <v>38.752451348217363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246.74295750000027</v>
      </c>
      <c r="BF60" s="13">
        <f t="shared" si="37"/>
        <v>59.887962808292784</v>
      </c>
      <c r="BG60" s="20">
        <f t="shared" si="7"/>
        <v>534.04885287027707</v>
      </c>
      <c r="BH60" s="59">
        <f t="shared" si="8"/>
        <v>827.38218620361044</v>
      </c>
      <c r="BI60" s="59">
        <f ca="1">AVERAGE(OFFSET($BH$3,0,0,'Données projet'!$E$11+1,1))-AVERAGE(OFFSET($H$3,0,0,'Données projet'!$E$11+1,1))</f>
        <v>706.69239849991595</v>
      </c>
      <c r="BJ60" s="59">
        <f t="shared" si="38"/>
        <v>310.59887275116529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23.154043577569183</v>
      </c>
      <c r="BR60" s="21">
        <f>EXP(-LN(2)/2)*BR59+(1-EXP(-LN(2)/2))/(LN(2)/2)*BL60*BO60*VLOOKUP('Données projet'!$B$11,Paramètres!$A$1:$I$89,3,0)*0.475*44/12</f>
        <v>0.68195854884636442</v>
      </c>
      <c r="BS60" s="22">
        <f t="shared" si="9"/>
        <v>23.836002126415547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9.8828571428571443</v>
      </c>
      <c r="BY60" s="12">
        <f>IF('Données projet'!$A$114&gt;35,BY59+BX60-CG59,IF(A60&lt;'Données projet'!$A$114,$BV$205^A60,IF(A60='Données projet'!$A$114,'Données projet'!$B$114,BY59+BX60-CG59)))</f>
        <v>183.0842857142857</v>
      </c>
      <c r="BZ60" s="13">
        <f>BY60*VLOOKUP('Données projet'!$B$12,Paramètres!$A$1:$I$89,3,0)*VLOOKUP('Données projet'!$B$12,Paramètres!$A$1:$I$89,5,0)</f>
        <v>174.22300628571426</v>
      </c>
      <c r="CA60" s="13">
        <f t="shared" si="39"/>
        <v>44.034481572204157</v>
      </c>
      <c r="CB60" s="20">
        <f t="shared" si="10"/>
        <v>380.13179135254126</v>
      </c>
      <c r="CC60" s="59">
        <f t="shared" si="11"/>
        <v>673.46512468587457</v>
      </c>
      <c r="CD60" s="59">
        <f ca="1">AVERAGE(OFFSET($CC$3,0,0,'Données projet'!$E$12+1,1))-AVERAGE(OFFSET($H$3,0,0,'Données projet'!$E$12+1,1))</f>
        <v>449.28947235329758</v>
      </c>
      <c r="CE60" s="59">
        <f t="shared" si="40"/>
        <v>289.36994109443964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6.3667343392215736</v>
      </c>
      <c r="CL60" s="21">
        <f>EXP(-LN(2)/25)*CL59+(1-EXP(-LN(2)/25))/(LN(2)/25)*Calculateur!CG60*Calculateur!CI60*VLOOKUP('Données projet'!$B$12,Paramètres!$A$1:$I$89,3,0)*0.475*44/12</f>
        <v>29.490588695364398</v>
      </c>
      <c r="CM60" s="21">
        <f>EXP(-LN(2)/2)*CM59+(1-EXP(-LN(2)/2))/(LN(2)/2)*CG60*CJ60*VLOOKUP('Données projet'!$B$12,Paramètres!$A$1:$I$89,3,0)*0.475*44/12</f>
        <v>0.8394439751549545</v>
      </c>
      <c r="CN60" s="22">
        <f t="shared" si="12"/>
        <v>36.696767009740931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158.99520000000004</v>
      </c>
      <c r="CV60" s="13">
        <f t="shared" si="41"/>
        <v>40.615796933386044</v>
      </c>
      <c r="CW60" s="20">
        <f t="shared" si="13"/>
        <v>347.65581965898076</v>
      </c>
      <c r="CX60" s="59">
        <f t="shared" si="14"/>
        <v>640.98915299231408</v>
      </c>
      <c r="CY60" s="59">
        <f ca="1">AVERAGE(OFFSET($CX$3,0,0,'Données projet'!$E$13+1,1))-AVERAGE(OFFSET($H$3,0,0,'Données projet'!$E$13+1,1))</f>
        <v>261.93797831021766</v>
      </c>
      <c r="CZ60" s="59">
        <f t="shared" si="42"/>
        <v>256.90876395053073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2.8010508287270168</v>
      </c>
      <c r="DG60" s="21">
        <f>EXP(-LN(2)/25)*DG59+(1-EXP(-LN(2)/25))/(LN(2)/25)*Calculateur!DB60*Calculateur!DD60*VLOOKUP('Données projet'!$B$13,Paramètres!$A$1:$I$89,3,0)*0.475*44/12</f>
        <v>10.788775883908565</v>
      </c>
      <c r="DH60" s="21">
        <f>EXP(-LN(2)/2)*DH59+(1-EXP(-LN(2)/2))/(LN(2)/2)*DB60*DE60*VLOOKUP('Données projet'!$B$13,Paramètres!$A$1:$I$89,3,0)*0.475*44/12</f>
        <v>1.4426178807052568</v>
      </c>
      <c r="DI60" s="22">
        <f t="shared" si="15"/>
        <v>15.032444593340838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14.073749999999997</v>
      </c>
      <c r="M61" s="12">
        <f t="array" ref="M61">INDEX(L:L,MIN(IF(ISNUMBER(L61:L257),ROW(L61:L257),"")))</f>
        <v>14.073749999999997</v>
      </c>
      <c r="N61" s="13">
        <f>IF('Données projet'!$A$36&gt;35,N60+M61-V60,IF(A61&lt;'Données projet'!$A$36,$K$205^A61,IF(A61='Données projet'!$A$36,'Données projet'!$B$36,N60+M61-V60)))</f>
        <v>346.58000000000015</v>
      </c>
      <c r="O61" s="13">
        <f>N61*VLOOKUP('Données projet'!$B$9,Paramètres!$A$1:$I$89,3,0)*VLOOKUP('Données projet'!$B$9,Paramètres!$A$1:$I$89,5,0)</f>
        <v>313.58558400000015</v>
      </c>
      <c r="P61" s="13">
        <f t="shared" si="33"/>
        <v>74.017140903550782</v>
      </c>
      <c r="Q61" s="20">
        <f t="shared" si="53"/>
        <v>675.07474587368461</v>
      </c>
      <c r="R61" s="59">
        <f t="shared" si="0"/>
        <v>968.40807920701786</v>
      </c>
      <c r="S61" s="59">
        <f ca="1">AVERAGE(OFFSET($R$3,0,0,'Données projet'!$E$9+1,1))-AVERAGE(OFFSET($H$3,0,0,'Données projet'!$E$9+1,1))</f>
        <v>695.0879239758051</v>
      </c>
      <c r="T61" s="59">
        <f t="shared" si="34"/>
        <v>226.22150997227476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65.819999999999993</v>
      </c>
      <c r="W61" s="16">
        <f>IF(ISNA(VLOOKUP(A61,'Données projet'!$A$35:$I$55,5,0)),0%,VLOOKUP(A61,'Données projet'!$A$35:$I$55,5,0)*VLOOKUP('Données projet'!$B$9,Paramètres!$A$1:$I$89,7,0))</f>
        <v>0.15049999999999999</v>
      </c>
      <c r="X61" s="16">
        <f>IF(ISNA(VLOOKUP(A61,'Données projet'!$A$35:$I$55,6,0)),0%,VLOOKUP(A61,'Données projet'!$A$35:$I$55,6,0)*VLOOKUP('Données projet'!$B$9,Paramètres!$A$1:$I$89,7,0))</f>
        <v>8.6000000000000007E-2</v>
      </c>
      <c r="Y61" s="16">
        <f>IF(ISNA(VLOOKUP(A61,'Données projet'!$A$35:$I$55,7,0)),0%,VLOOKUP(A61,'Données projet'!$A$35:$I$55,7,0))</f>
        <v>0.1</v>
      </c>
      <c r="Z61" s="21">
        <f>EXP(-LN(2)/35)*Z60+(1-EXP(-LN(2)/35))/(LN(2)/35)*V61*W61*VLOOKUP('Données projet'!$B$9,Paramètres!$A$1:$I$89,3,0)*0.475*44/12</f>
        <v>9.9081843910064524</v>
      </c>
      <c r="AA61" s="21">
        <f>EXP(-LN(2)/25)*AA60+(1-EXP(-LN(2)/25))/(LN(2)/25)*Calculateur!V61*Calculateur!X61*VLOOKUP('Données projet'!$B$9,Paramètres!$A$1:$I$89,3,0)*0.475*44/12</f>
        <v>44.298407575059599</v>
      </c>
      <c r="AB61" s="21">
        <f>EXP(-LN(2)/2)*AB60+(1-EXP(-LN(2)/2))/(LN(2)/2)*V61*Y61*VLOOKUP('Données projet'!$B$9,Paramètres!$A$1:$I$89,3,0)*0.475*44/12</f>
        <v>6.414133563560716</v>
      </c>
      <c r="AC61" s="22">
        <f t="shared" si="3"/>
        <v>60.620725529626768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305.12</v>
      </c>
      <c r="AG61" s="12">
        <f>VLOOKUP(A61,'Données projet'!$A$61:$I$81,9,0)</f>
        <v>14.12857142857143</v>
      </c>
      <c r="AH61" s="12">
        <f t="array" ref="AH61">INDEX(AG:AG,MIN(IF(ISNUMBER(AG61:AG257),ROW(AG61:AG257),"")))</f>
        <v>14.12857142857143</v>
      </c>
      <c r="AI61" s="13">
        <f>IF('Données projet'!$A$62&gt;35,AI60+AH61-AQ60,IF(A61&lt;'Données projet'!$A$62,$AF$205^A61,IF(A61='Données projet'!$A$62,'Données projet'!$B$62,AI60+AH61-AQ60)))</f>
        <v>305.12</v>
      </c>
      <c r="AJ61" s="13">
        <f>AI61*VLOOKUP('Données projet'!$B$10,Paramètres!$A$1:$I$89,3,0)*VLOOKUP('Données projet'!$B$10,Paramètres!$A$1:$I$89,5,0)</f>
        <v>257.03308800000002</v>
      </c>
      <c r="AK61" s="13">
        <f t="shared" si="35"/>
        <v>62.08953040488894</v>
      </c>
      <c r="AL61" s="20">
        <f t="shared" si="4"/>
        <v>555.8052270551816</v>
      </c>
      <c r="AM61" s="59">
        <f t="shared" si="5"/>
        <v>849.13856038851486</v>
      </c>
      <c r="AN61" s="59">
        <f ca="1">AVERAGE(OFFSET($AM$3,0,0,'Données projet'!$E$10+1,1))-AVERAGE(OFFSET($H$3,0,0,'Données projet'!$E$10+1,1))</f>
        <v>424.81155998881928</v>
      </c>
      <c r="AO61" s="59">
        <f t="shared" si="36"/>
        <v>277.34430416544575</v>
      </c>
      <c r="AP61" s="15">
        <f>IF(ISNA(VLOOKUP(A61,'Données projet'!$A$61:$I$81,3,0)),0,VLOOKUP(A61,'Données projet'!$A$61:$I$81,3,0))</f>
        <v>5</v>
      </c>
      <c r="AQ61" s="15">
        <f>IF(ISNA(VLOOKUP(A61,'Données projet'!$A$61:$I$81,4,0)),0,VLOOKUP(A61,'Données projet'!$A$61:$I$81,4,0))</f>
        <v>53.97</v>
      </c>
      <c r="AR61" s="16">
        <f>IF(ISNA(VLOOKUP(A61,'Données projet'!$A$61:$I$81,5,0)),0%,VLOOKUP(A61,'Données projet'!$A$61:$I$81,5,0)*VLOOKUP('Données projet'!$B$10,Paramètres!$A$1:$I$89,7,0))</f>
        <v>0.15049999999999999</v>
      </c>
      <c r="AS61" s="16">
        <f>IF(ISNA(VLOOKUP(A61,'Données projet'!$A$61:$I$81,6,0)),0%,VLOOKUP(A61,'Données projet'!$A$61:$I$81,6,0)*VLOOKUP('Données projet'!$B$10,Paramètres!$A$1:$I$89,7,0))</f>
        <v>8.6000000000000007E-2</v>
      </c>
      <c r="AT61" s="16">
        <f>IF(ISNA(VLOOKUP(A61,'Données projet'!$A$61:$I$81,7,0)),0%,VLOOKUP(A61,'Données projet'!$A$61:$I$81,7,0))</f>
        <v>0.1</v>
      </c>
      <c r="AU61" s="21">
        <f>EXP(-LN(2)/35)*AU60+(1-EXP(-LN(2)/35))/(LN(2)/35)*AQ61*AR61*VLOOKUP('Données projet'!$B$10,Paramètres!$A$1:$I$89,3,0)*0.475*44/12</f>
        <v>20.320368109225246</v>
      </c>
      <c r="AV61" s="21">
        <f>EXP(-LN(2)/25)*AV60+(1-EXP(-LN(2)/25))/(LN(2)/25)*Calculateur!AQ61*Calculateur!AS61*VLOOKUP('Données projet'!$B$10,Paramètres!$A$1:$I$89,3,0)*0.475*44/12</f>
        <v>28.750932656390745</v>
      </c>
      <c r="AW61" s="21">
        <f>EXP(-LN(2)/2)*AW60+(1-EXP(-LN(2)/2))/(LN(2)/2)*AQ61*AT61*VLOOKUP('Données projet'!$B$10,Paramètres!$A$1:$I$89,3,0)*0.475*44/12</f>
        <v>4.7196654646996219</v>
      </c>
      <c r="AX61" s="21">
        <f t="shared" si="6"/>
        <v>53.790966230315611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257.25180000000029</v>
      </c>
      <c r="BF61" s="13">
        <f t="shared" si="37"/>
        <v>62.136210975836612</v>
      </c>
      <c r="BG61" s="20">
        <f t="shared" si="7"/>
        <v>556.26745244958261</v>
      </c>
      <c r="BH61" s="59">
        <f t="shared" si="8"/>
        <v>849.60078578291586</v>
      </c>
      <c r="BI61" s="59">
        <f ca="1">AVERAGE(OFFSET($BH$3,0,0,'Données projet'!$E$11+1,1))-AVERAGE(OFFSET($H$3,0,0,'Données projet'!$E$11+1,1))</f>
        <v>706.69239849991595</v>
      </c>
      <c r="BJ61" s="59">
        <f t="shared" si="38"/>
        <v>310.59887275116529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40.876435665412025</v>
      </c>
      <c r="BR61" s="21">
        <f>EXP(-LN(2)/2)*BR60+(1-EXP(-LN(2)/2))/(LN(2)/2)*BL61*BO61*VLOOKUP('Données projet'!$B$11,Paramètres!$A$1:$I$89,3,0)*0.475*44/12</f>
        <v>9.6267029876728749</v>
      </c>
      <c r="BS61" s="22">
        <f t="shared" si="9"/>
        <v>50.503138653084903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9.8828571428571443</v>
      </c>
      <c r="BY61" s="12">
        <f>IF('Données projet'!$A$114&gt;35,BY60+BX61-CG60,IF(A61&lt;'Données projet'!$A$114,$BV$205^A61,IF(A61='Données projet'!$A$114,'Données projet'!$B$114,BY60+BX61-CG60)))</f>
        <v>192.96714285714285</v>
      </c>
      <c r="BZ61" s="13">
        <f>BY61*VLOOKUP('Données projet'!$B$12,Paramètres!$A$1:$I$89,3,0)*VLOOKUP('Données projet'!$B$12,Paramètres!$A$1:$I$89,5,0)</f>
        <v>183.62753314285715</v>
      </c>
      <c r="CA61" s="13">
        <f t="shared" si="39"/>
        <v>46.128305880116194</v>
      </c>
      <c r="CB61" s="20">
        <f t="shared" si="10"/>
        <v>400.15808629834527</v>
      </c>
      <c r="CC61" s="59">
        <f t="shared" si="11"/>
        <v>693.49141963167858</v>
      </c>
      <c r="CD61" s="59">
        <f ca="1">AVERAGE(OFFSET($CC$3,0,0,'Données projet'!$E$12+1,1))-AVERAGE(OFFSET($H$3,0,0,'Données projet'!$E$12+1,1))</f>
        <v>449.28947235329758</v>
      </c>
      <c r="CE61" s="59">
        <f t="shared" si="40"/>
        <v>289.36994109443964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6.2418865621539394</v>
      </c>
      <c r="CL61" s="21">
        <f>EXP(-LN(2)/25)*CL60+(1-EXP(-LN(2)/25))/(LN(2)/25)*Calculateur!CG61*Calculateur!CI61*VLOOKUP('Données projet'!$B$12,Paramètres!$A$1:$I$89,3,0)*0.475*44/12</f>
        <v>28.684166996647001</v>
      </c>
      <c r="CM61" s="21">
        <f>EXP(-LN(2)/2)*CM60+(1-EXP(-LN(2)/2))/(LN(2)/2)*CG61*CJ61*VLOOKUP('Données projet'!$B$12,Paramètres!$A$1:$I$89,3,0)*0.475*44/12</f>
        <v>0.59357652725826004</v>
      </c>
      <c r="CN61" s="22">
        <f t="shared" si="12"/>
        <v>35.519630086059195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162.48960000000002</v>
      </c>
      <c r="CV61" s="13">
        <f t="shared" si="41"/>
        <v>41.403546033820696</v>
      </c>
      <c r="CW61" s="20">
        <f t="shared" si="13"/>
        <v>355.11389600890442</v>
      </c>
      <c r="CX61" s="59">
        <f t="shared" si="14"/>
        <v>648.44722934223773</v>
      </c>
      <c r="CY61" s="59">
        <f ca="1">AVERAGE(OFFSET($CX$3,0,0,'Données projet'!$E$13+1,1))-AVERAGE(OFFSET($H$3,0,0,'Données projet'!$E$13+1,1))</f>
        <v>261.93797831021766</v>
      </c>
      <c r="CZ61" s="59">
        <f t="shared" si="42"/>
        <v>256.90876395053073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2.7461239304479879</v>
      </c>
      <c r="DG61" s="21">
        <f>EXP(-LN(2)/25)*DG60+(1-EXP(-LN(2)/25))/(LN(2)/25)*Calculateur!DB61*Calculateur!DD61*VLOOKUP('Données projet'!$B$13,Paramètres!$A$1:$I$89,3,0)*0.475*44/12</f>
        <v>10.49375624000602</v>
      </c>
      <c r="DH61" s="21">
        <f>EXP(-LN(2)/2)*DH60+(1-EXP(-LN(2)/2))/(LN(2)/2)*DB61*DE61*VLOOKUP('Données projet'!$B$13,Paramètres!$A$1:$I$89,3,0)*0.475*44/12</f>
        <v>1.020084886107653</v>
      </c>
      <c r="DI61" s="22">
        <f t="shared" si="15"/>
        <v>14.259965056561661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13.520000000000003</v>
      </c>
      <c r="N62" s="13">
        <f>IF('Données projet'!$A$36&gt;35,N61+M62-V61,IF(A62&lt;'Données projet'!$A$36,$K$205^A62,IF(A62='Données projet'!$A$36,'Données projet'!$B$36,N61+M62-V61)))</f>
        <v>294.28000000000014</v>
      </c>
      <c r="O62" s="13">
        <f>N62*VLOOKUP('Données projet'!$B$9,Paramètres!$A$1:$I$89,3,0)*VLOOKUP('Données projet'!$B$9,Paramètres!$A$1:$I$89,5,0)</f>
        <v>266.26454400000011</v>
      </c>
      <c r="P62" s="13">
        <f t="shared" si="33"/>
        <v>64.055869609957142</v>
      </c>
      <c r="Q62" s="20">
        <f t="shared" si="53"/>
        <v>575.30805370400878</v>
      </c>
      <c r="R62" s="59">
        <f t="shared" si="0"/>
        <v>868.64138703734216</v>
      </c>
      <c r="S62" s="59">
        <f ca="1">AVERAGE(OFFSET($R$3,0,0,'Données projet'!$E$9+1,1))-AVERAGE(OFFSET($H$3,0,0,'Données projet'!$E$9+1,1))</f>
        <v>695.0879239758051</v>
      </c>
      <c r="T62" s="59">
        <f t="shared" si="34"/>
        <v>226.22150997227476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9.7138909384945578</v>
      </c>
      <c r="AA62" s="21">
        <f>EXP(-LN(2)/25)*AA61+(1-EXP(-LN(2)/25))/(LN(2)/25)*Calculateur!V62*Calculateur!X62*VLOOKUP('Données projet'!$B$9,Paramètres!$A$1:$I$89,3,0)*0.475*44/12</f>
        <v>43.087065290367583</v>
      </c>
      <c r="AB62" s="21">
        <f>EXP(-LN(2)/2)*AB61+(1-EXP(-LN(2)/2))/(LN(2)/2)*V62*Y62*VLOOKUP('Données projet'!$B$9,Paramètres!$A$1:$I$89,3,0)*0.475*44/12</f>
        <v>4.5354773382300175</v>
      </c>
      <c r="AC62" s="22">
        <f t="shared" si="3"/>
        <v>57.336433567092158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13.839999999999995</v>
      </c>
      <c r="AI62" s="13">
        <f>IF('Données projet'!$A$62&gt;35,AI61+AH62-AQ61,IF(A62&lt;'Données projet'!$A$62,$AF$205^A62,IF(A62='Données projet'!$A$62,'Données projet'!$B$62,AI61+AH62-AQ61)))</f>
        <v>264.99</v>
      </c>
      <c r="AJ62" s="13">
        <f>AI62*VLOOKUP('Données projet'!$B$10,Paramètres!$A$1:$I$89,3,0)*VLOOKUP('Données projet'!$B$10,Paramètres!$A$1:$I$89,5,0)</f>
        <v>223.22757600000003</v>
      </c>
      <c r="AK62" s="13">
        <f t="shared" si="35"/>
        <v>54.815787695087607</v>
      </c>
      <c r="AL62" s="20">
        <f t="shared" si="4"/>
        <v>484.25885843561099</v>
      </c>
      <c r="AM62" s="59">
        <f t="shared" si="5"/>
        <v>777.5921917689443</v>
      </c>
      <c r="AN62" s="59">
        <f ca="1">AVERAGE(OFFSET($AM$3,0,0,'Données projet'!$E$10+1,1))-AVERAGE(OFFSET($H$3,0,0,'Données projet'!$E$10+1,1))</f>
        <v>424.81155998881928</v>
      </c>
      <c r="AO62" s="59">
        <f t="shared" si="36"/>
        <v>277.34430416544575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19.921898084804059</v>
      </c>
      <c r="AV62" s="21">
        <f>EXP(-LN(2)/25)*AV61+(1-EXP(-LN(2)/25))/(LN(2)/25)*Calculateur!AQ62*Calculateur!AS62*VLOOKUP('Données projet'!$B$10,Paramètres!$A$1:$I$89,3,0)*0.475*44/12</f>
        <v>27.964736890955901</v>
      </c>
      <c r="AW62" s="21">
        <f>EXP(-LN(2)/2)*AW61+(1-EXP(-LN(2)/2))/(LN(2)/2)*AQ62*AT62*VLOOKUP('Données projet'!$B$10,Paramètres!$A$1:$I$89,3,0)*0.475*44/12</f>
        <v>3.3373074550210609</v>
      </c>
      <c r="AX62" s="21">
        <f t="shared" si="6"/>
        <v>51.223942430781022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219.0417450000003</v>
      </c>
      <c r="BF62" s="13">
        <f t="shared" si="37"/>
        <v>53.906560847753887</v>
      </c>
      <c r="BG62" s="20">
        <f t="shared" si="7"/>
        <v>475.38496601817178</v>
      </c>
      <c r="BH62" s="59">
        <f t="shared" si="8"/>
        <v>768.71829935150504</v>
      </c>
      <c r="BI62" s="59">
        <f ca="1">AVERAGE(OFFSET($BH$3,0,0,'Données projet'!$E$11+1,1))-AVERAGE(OFFSET($H$3,0,0,'Données projet'!$E$11+1,1))</f>
        <v>706.69239849991595</v>
      </c>
      <c r="BJ62" s="59">
        <f t="shared" si="38"/>
        <v>310.59887275116529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39.758667382543003</v>
      </c>
      <c r="BR62" s="21">
        <f>EXP(-LN(2)/2)*BR61+(1-EXP(-LN(2)/2))/(LN(2)/2)*BL62*BO62*VLOOKUP('Données projet'!$B$11,Paramètres!$A$1:$I$89,3,0)*0.475*44/12</f>
        <v>6.8071069630522869</v>
      </c>
      <c r="BS62" s="22">
        <f t="shared" si="9"/>
        <v>46.565774345595287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202.85</v>
      </c>
      <c r="BW62" s="12">
        <f>VLOOKUP(A62,'Données projet'!$A$113:$I$133,9,0)</f>
        <v>9.8828571428571443</v>
      </c>
      <c r="BX62" s="12">
        <f t="array" ref="BX62">INDEX(BW:BW,MIN(IF(ISNUMBER(BW62:BW258),ROW(BW62:BW258),"")))</f>
        <v>9.8828571428571443</v>
      </c>
      <c r="BY62" s="12">
        <f>IF('Données projet'!$A$114&gt;35,BY61+BX62-CG61,IF(A62&lt;'Données projet'!$A$114,$BV$205^A62,IF(A62='Données projet'!$A$114,'Données projet'!$B$114,BY61+BX62-CG61)))</f>
        <v>202.85</v>
      </c>
      <c r="BZ62" s="13">
        <f>BY62*VLOOKUP('Données projet'!$B$12,Paramètres!$A$1:$I$89,3,0)*VLOOKUP('Données projet'!$B$12,Paramètres!$A$1:$I$89,5,0)</f>
        <v>193.03206</v>
      </c>
      <c r="CA62" s="13">
        <f t="shared" si="39"/>
        <v>48.20967933854056</v>
      </c>
      <c r="CB62" s="20">
        <f t="shared" si="10"/>
        <v>420.16269601462477</v>
      </c>
      <c r="CC62" s="59">
        <f t="shared" si="11"/>
        <v>713.49602934795803</v>
      </c>
      <c r="CD62" s="59">
        <f ca="1">AVERAGE(OFFSET($CC$3,0,0,'Données projet'!$E$12+1,1))-AVERAGE(OFFSET($H$3,0,0,'Données projet'!$E$12+1,1))</f>
        <v>449.28947235329758</v>
      </c>
      <c r="CE62" s="59">
        <f t="shared" si="40"/>
        <v>289.36994109443964</v>
      </c>
      <c r="CF62" s="15">
        <f>IF(ISNA(VLOOKUP(A62,'Données projet'!$A$113:$I$133,3,0)),0,VLOOKUP(A62,'Données projet'!$A$113:$I$133,3,0))</f>
        <v>4</v>
      </c>
      <c r="CG62" s="15">
        <f>IF(ISNA(VLOOKUP(A62,'Données projet'!$A$113:$I$133,4,0)),0,VLOOKUP(A62,'Données projet'!$A$113:$I$133,4,0))</f>
        <v>41.81</v>
      </c>
      <c r="CH62" s="16">
        <f>IF(ISNA(VLOOKUP(A62,'Données projet'!$A$113:$I$133,5,0)),0%,VLOOKUP(A62,'Données projet'!$A$113:$I$133,5,0)*VLOOKUP('Données projet'!$B$12,Paramètres!$A$1:$I$89,7,0))</f>
        <v>0.15049999999999999</v>
      </c>
      <c r="CI62" s="16">
        <f>IF(ISNA(VLOOKUP(A62,'Données projet'!$A$113:$I$133,6,0)),0%,VLOOKUP(A62,'Données projet'!$A$113:$I$133,6,0)*VLOOKUP('Données projet'!$B$12,Paramètres!$A$1:$I$89,7,0))</f>
        <v>8.6000000000000007E-2</v>
      </c>
      <c r="CJ62" s="16">
        <f>IF(ISNA(VLOOKUP(A62,'Données projet'!$A$113:$I$133,7,0)),0%,VLOOKUP(A62,'Données projet'!$A$113:$I$133,7,0))</f>
        <v>0.1</v>
      </c>
      <c r="CK62" s="21">
        <f>EXP(-LN(2)/35)*CK61+(1-EXP(-LN(2)/35))/(LN(2)/35)*CG62*CH62*VLOOKUP('Données projet'!$B$12,Paramètres!$A$1:$I$89,3,0)*0.475*44/12</f>
        <v>12.738880657943398</v>
      </c>
      <c r="CL62" s="21">
        <f>EXP(-LN(2)/25)*CL61+(1-EXP(-LN(2)/25))/(LN(2)/25)*Calculateur!CG62*Calculateur!CI62*VLOOKUP('Données projet'!$B$12,Paramètres!$A$1:$I$89,3,0)*0.475*44/12</f>
        <v>31.667414432533132</v>
      </c>
      <c r="CM62" s="21">
        <f>EXP(-LN(2)/2)*CM61+(1-EXP(-LN(2)/2))/(LN(2)/2)*CG62*CJ62*VLOOKUP('Données projet'!$B$12,Paramètres!$A$1:$I$89,3,0)*0.475*44/12</f>
        <v>4.1736755336922924</v>
      </c>
      <c r="CN62" s="22">
        <f t="shared" si="12"/>
        <v>48.579970624168823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165.98400000000001</v>
      </c>
      <c r="CV62" s="13">
        <f t="shared" si="41"/>
        <v>42.189325525922243</v>
      </c>
      <c r="CW62" s="20">
        <f t="shared" si="13"/>
        <v>362.56854195764794</v>
      </c>
      <c r="CX62" s="59">
        <f t="shared" si="14"/>
        <v>655.90187529098125</v>
      </c>
      <c r="CY62" s="59">
        <f ca="1">AVERAGE(OFFSET($CX$3,0,0,'Données projet'!$E$13+1,1))-AVERAGE(OFFSET($H$3,0,0,'Données projet'!$E$13+1,1))</f>
        <v>261.93797831021766</v>
      </c>
      <c r="CZ62" s="59">
        <f t="shared" si="42"/>
        <v>256.90876395053073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2.6922741151421108</v>
      </c>
      <c r="DG62" s="21">
        <f>EXP(-LN(2)/25)*DG61+(1-EXP(-LN(2)/25))/(LN(2)/25)*Calculateur!DB62*Calculateur!DD62*VLOOKUP('Données projet'!$B$13,Paramètres!$A$1:$I$89,3,0)*0.475*44/12</f>
        <v>10.206803923780399</v>
      </c>
      <c r="DH62" s="21">
        <f>EXP(-LN(2)/2)*DH61+(1-EXP(-LN(2)/2))/(LN(2)/2)*DB62*DE62*VLOOKUP('Données projet'!$B$13,Paramètres!$A$1:$I$89,3,0)*0.475*44/12</f>
        <v>0.72130894035262849</v>
      </c>
      <c r="DI62" s="22">
        <f t="shared" si="15"/>
        <v>13.620386979275137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13.520000000000003</v>
      </c>
      <c r="N63" s="13">
        <f>IF('Données projet'!$A$36&gt;35,N62+M63-V62,IF(A63&lt;'Données projet'!$A$36,$K$205^A63,IF(A63='Données projet'!$A$36,'Données projet'!$B$36,N62+M63-V62)))</f>
        <v>307.80000000000013</v>
      </c>
      <c r="O63" s="13">
        <f>N63*VLOOKUP('Données projet'!$B$9,Paramètres!$A$1:$I$89,3,0)*VLOOKUP('Données projet'!$B$9,Paramètres!$A$1:$I$89,5,0)</f>
        <v>278.4974400000001</v>
      </c>
      <c r="P63" s="13">
        <f t="shared" si="33"/>
        <v>66.649375389445709</v>
      </c>
      <c r="Q63" s="20">
        <f t="shared" si="53"/>
        <v>601.13070346995141</v>
      </c>
      <c r="R63" s="59">
        <f t="shared" si="0"/>
        <v>894.46403680328467</v>
      </c>
      <c r="S63" s="59">
        <f ca="1">AVERAGE(OFFSET($R$3,0,0,'Données projet'!$E$9+1,1))-AVERAGE(OFFSET($H$3,0,0,'Données projet'!$E$9+1,1))</f>
        <v>695.0879239758051</v>
      </c>
      <c r="T63" s="59">
        <f t="shared" si="34"/>
        <v>226.22150997227476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9.5234074620791187</v>
      </c>
      <c r="AA63" s="21">
        <f>EXP(-LN(2)/25)*AA62+(1-EXP(-LN(2)/25))/(LN(2)/25)*Calculateur!V63*Calculateur!X63*VLOOKUP('Données projet'!$B$9,Paramètres!$A$1:$I$89,3,0)*0.475*44/12</f>
        <v>41.908847224152197</v>
      </c>
      <c r="AB63" s="21">
        <f>EXP(-LN(2)/2)*AB62+(1-EXP(-LN(2)/2))/(LN(2)/2)*V63*Y63*VLOOKUP('Données projet'!$B$9,Paramètres!$A$1:$I$89,3,0)*0.475*44/12</f>
        <v>3.2070667817803584</v>
      </c>
      <c r="AC63" s="22">
        <f t="shared" si="3"/>
        <v>54.639321468011673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13.839999999999995</v>
      </c>
      <c r="AI63" s="13">
        <f>IF('Données projet'!$A$62&gt;35,AI62+AH63-AQ62,IF(A63&lt;'Données projet'!$A$62,$AF$205^A63,IF(A63='Données projet'!$A$62,'Données projet'!$B$62,AI62+AH63-AQ62)))</f>
        <v>278.83</v>
      </c>
      <c r="AJ63" s="13">
        <f>AI63*VLOOKUP('Données projet'!$B$10,Paramètres!$A$1:$I$89,3,0)*VLOOKUP('Données projet'!$B$10,Paramètres!$A$1:$I$89,5,0)</f>
        <v>234.886392</v>
      </c>
      <c r="AK63" s="13">
        <f t="shared" si="35"/>
        <v>57.337937544532004</v>
      </c>
      <c r="AL63" s="20">
        <f t="shared" si="4"/>
        <v>508.95737395672654</v>
      </c>
      <c r="AM63" s="59">
        <f t="shared" si="5"/>
        <v>802.2907072900598</v>
      </c>
      <c r="AN63" s="59">
        <f ca="1">AVERAGE(OFFSET($AM$3,0,0,'Données projet'!$E$10+1,1))-AVERAGE(OFFSET($H$3,0,0,'Données projet'!$E$10+1,1))</f>
        <v>424.81155998881928</v>
      </c>
      <c r="AO63" s="59">
        <f t="shared" si="36"/>
        <v>277.34430416544575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19.531241814519056</v>
      </c>
      <c r="AV63" s="21">
        <f>EXP(-LN(2)/25)*AV62+(1-EXP(-LN(2)/25))/(LN(2)/25)*Calculateur!AQ63*Calculateur!AS63*VLOOKUP('Données projet'!$B$10,Paramètres!$A$1:$I$89,3,0)*0.475*44/12</f>
        <v>27.200039690071112</v>
      </c>
      <c r="AW63" s="21">
        <f>EXP(-LN(2)/2)*AW62+(1-EXP(-LN(2)/2))/(LN(2)/2)*AQ63*AT63*VLOOKUP('Données projet'!$B$10,Paramètres!$A$1:$I$89,3,0)*0.475*44/12</f>
        <v>2.3598327323498114</v>
      </c>
      <c r="AX63" s="21">
        <f t="shared" si="6"/>
        <v>49.09111423693998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229.29075000000029</v>
      </c>
      <c r="BF63" s="13">
        <f t="shared" si="37"/>
        <v>56.129297544192028</v>
      </c>
      <c r="BG63" s="20">
        <f t="shared" si="7"/>
        <v>497.1065828061349</v>
      </c>
      <c r="BH63" s="59">
        <f t="shared" si="8"/>
        <v>790.43991613946821</v>
      </c>
      <c r="BI63" s="59">
        <f ca="1">AVERAGE(OFFSET($BH$3,0,0,'Données projet'!$E$11+1,1))-AVERAGE(OFFSET($H$3,0,0,'Données projet'!$E$11+1,1))</f>
        <v>706.69239849991595</v>
      </c>
      <c r="BJ63" s="59">
        <f t="shared" si="38"/>
        <v>310.59887275116529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38.671464532149919</v>
      </c>
      <c r="BR63" s="21">
        <f>EXP(-LN(2)/2)*BR62+(1-EXP(-LN(2)/2))/(LN(2)/2)*BL63*BO63*VLOOKUP('Données projet'!$B$11,Paramètres!$A$1:$I$89,3,0)*0.475*44/12</f>
        <v>4.8133514938364375</v>
      </c>
      <c r="BS63" s="22">
        <f t="shared" si="9"/>
        <v>43.484816025986355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9.7525000000000013</v>
      </c>
      <c r="BY63" s="12">
        <f>IF('Données projet'!$A$114&gt;35,BY62+BX63-CG62,IF(A63&lt;'Données projet'!$A$114,$BV$205^A63,IF(A63='Données projet'!$A$114,'Données projet'!$B$114,BY62+BX63-CG62)))</f>
        <v>170.79249999999999</v>
      </c>
      <c r="BZ63" s="13">
        <f>BY63*VLOOKUP('Données projet'!$B$12,Paramètres!$A$1:$I$89,3,0)*VLOOKUP('Données projet'!$B$12,Paramètres!$A$1:$I$89,5,0)</f>
        <v>162.52614299999999</v>
      </c>
      <c r="CA63" s="13">
        <f t="shared" si="39"/>
        <v>41.411773501591178</v>
      </c>
      <c r="CB63" s="20">
        <f t="shared" si="10"/>
        <v>355.19187124027127</v>
      </c>
      <c r="CC63" s="59">
        <f t="shared" si="11"/>
        <v>648.52520457360458</v>
      </c>
      <c r="CD63" s="59">
        <f ca="1">AVERAGE(OFFSET($CC$3,0,0,'Données projet'!$E$12+1,1))-AVERAGE(OFFSET($H$3,0,0,'Données projet'!$E$12+1,1))</f>
        <v>449.28947235329758</v>
      </c>
      <c r="CE63" s="59">
        <f t="shared" si="40"/>
        <v>289.36994109443964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12.48907897819111</v>
      </c>
      <c r="CL63" s="21">
        <f>EXP(-LN(2)/25)*CL62+(1-EXP(-LN(2)/25))/(LN(2)/25)*Calculateur!CG63*Calculateur!CI63*VLOOKUP('Données projet'!$B$12,Paramètres!$A$1:$I$89,3,0)*0.475*44/12</f>
        <v>30.801467319558565</v>
      </c>
      <c r="CM63" s="21">
        <f>EXP(-LN(2)/2)*CM62+(1-EXP(-LN(2)/2))/(LN(2)/2)*CG63*CJ63*VLOOKUP('Données projet'!$B$12,Paramètres!$A$1:$I$89,3,0)*0.475*44/12</f>
        <v>2.9512342723462028</v>
      </c>
      <c r="CN63" s="22">
        <f t="shared" si="12"/>
        <v>46.241780570095877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169.47840000000002</v>
      </c>
      <c r="CV63" s="13">
        <f t="shared" si="41"/>
        <v>42.973181651930332</v>
      </c>
      <c r="CW63" s="20">
        <f t="shared" si="13"/>
        <v>370.01983804377869</v>
      </c>
      <c r="CX63" s="59">
        <f t="shared" si="14"/>
        <v>663.35317137711195</v>
      </c>
      <c r="CY63" s="59">
        <f ca="1">AVERAGE(OFFSET($CX$3,0,0,'Données projet'!$E$13+1,1))-AVERAGE(OFFSET($H$3,0,0,'Données projet'!$E$13+1,1))</f>
        <v>261.93797831021766</v>
      </c>
      <c r="CZ63" s="59">
        <f t="shared" si="42"/>
        <v>256.90876395053073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3.7911239282145202</v>
      </c>
      <c r="DG63" s="21">
        <f>EXP(-LN(2)/25)*DG62+(1-EXP(-LN(2)/25))/(LN(2)/25)*Calculateur!DB63*Calculateur!DD63*VLOOKUP('Données projet'!$B$13,Paramètres!$A$1:$I$89,3,0)*0.475*44/12</f>
        <v>11.074807540152376</v>
      </c>
      <c r="DH63" s="21">
        <f>EXP(-LN(2)/2)*DH62+(1-EXP(-LN(2)/2))/(LN(2)/2)*DB63*DE63*VLOOKUP('Données projet'!$B$13,Paramètres!$A$1:$I$89,3,0)*0.475*44/12</f>
        <v>2.3646389464021778</v>
      </c>
      <c r="DI63" s="22">
        <f t="shared" si="15"/>
        <v>17.230570414769073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13.520000000000003</v>
      </c>
      <c r="N64" s="13">
        <f>IF('Données projet'!$A$36&gt;35,N63+M64-V63,IF(A64&lt;'Données projet'!$A$36,$K$205^A64,IF(A64='Données projet'!$A$36,'Données projet'!$B$36,N63+M64-V63)))</f>
        <v>321.32000000000011</v>
      </c>
      <c r="O64" s="13">
        <f>N64*VLOOKUP('Données projet'!$B$9,Paramètres!$A$1:$I$89,3,0)*VLOOKUP('Données projet'!$B$9,Paramètres!$A$1:$I$89,5,0)</f>
        <v>290.73033600000008</v>
      </c>
      <c r="P64" s="13">
        <f t="shared" si="33"/>
        <v>69.229650371802393</v>
      </c>
      <c r="Q64" s="20">
        <f t="shared" si="53"/>
        <v>626.93030959755595</v>
      </c>
      <c r="R64" s="59">
        <f t="shared" si="0"/>
        <v>920.26364293088932</v>
      </c>
      <c r="S64" s="59">
        <f ca="1">AVERAGE(OFFSET($R$3,0,0,'Données projet'!$E$9+1,1))-AVERAGE(OFFSET($H$3,0,0,'Données projet'!$E$9+1,1))</f>
        <v>695.0879239758051</v>
      </c>
      <c r="T64" s="59">
        <f t="shared" si="34"/>
        <v>226.22150997227476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9.3366592504527368</v>
      </c>
      <c r="AA64" s="21">
        <f>EXP(-LN(2)/25)*AA63+(1-EXP(-LN(2)/25))/(LN(2)/25)*Calculateur!V64*Calculateur!X64*VLOOKUP('Données projet'!$B$9,Paramètres!$A$1:$I$89,3,0)*0.475*44/12</f>
        <v>40.762847592917261</v>
      </c>
      <c r="AB64" s="21">
        <f>EXP(-LN(2)/2)*AB63+(1-EXP(-LN(2)/2))/(LN(2)/2)*V64*Y64*VLOOKUP('Données projet'!$B$9,Paramètres!$A$1:$I$89,3,0)*0.475*44/12</f>
        <v>2.2677386691150092</v>
      </c>
      <c r="AC64" s="22">
        <f t="shared" si="3"/>
        <v>52.367245512485006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13.839999999999995</v>
      </c>
      <c r="AI64" s="13">
        <f>IF('Données projet'!$A$62&gt;35,AI63+AH64-AQ63,IF(A64&lt;'Données projet'!$A$62,$AF$205^A64,IF(A64='Données projet'!$A$62,'Données projet'!$B$62,AI63+AH64-AQ63)))</f>
        <v>292.66999999999996</v>
      </c>
      <c r="AJ64" s="13">
        <f>AI64*VLOOKUP('Données projet'!$B$10,Paramètres!$A$1:$I$89,3,0)*VLOOKUP('Données projet'!$B$10,Paramètres!$A$1:$I$89,5,0)</f>
        <v>246.545208</v>
      </c>
      <c r="AK64" s="13">
        <f t="shared" si="35"/>
        <v>59.845551063630701</v>
      </c>
      <c r="AL64" s="20">
        <f t="shared" si="4"/>
        <v>533.63057203582343</v>
      </c>
      <c r="AM64" s="59">
        <f t="shared" si="5"/>
        <v>826.96390536915669</v>
      </c>
      <c r="AN64" s="59">
        <f ca="1">AVERAGE(OFFSET($AM$3,0,0,'Données projet'!$E$10+1,1))-AVERAGE(OFFSET($H$3,0,0,'Données projet'!$E$10+1,1))</f>
        <v>424.81155998881928</v>
      </c>
      <c r="AO64" s="59">
        <f t="shared" si="36"/>
        <v>277.34430416544575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19.148246075417546</v>
      </c>
      <c r="AV64" s="21">
        <f>EXP(-LN(2)/25)*AV63+(1-EXP(-LN(2)/25))/(LN(2)/25)*Calculateur!AQ64*Calculateur!AS64*VLOOKUP('Données projet'!$B$10,Paramètres!$A$1:$I$89,3,0)*0.475*44/12</f>
        <v>26.456253174358196</v>
      </c>
      <c r="AW64" s="21">
        <f>EXP(-LN(2)/2)*AW63+(1-EXP(-LN(2)/2))/(LN(2)/2)*AQ64*AT64*VLOOKUP('Données projet'!$B$10,Paramètres!$A$1:$I$89,3,0)*0.475*44/12</f>
        <v>1.6686537275105309</v>
      </c>
      <c r="AX64" s="21">
        <f t="shared" si="6"/>
        <v>47.273152977286273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239.5397550000003</v>
      </c>
      <c r="BF64" s="13">
        <f t="shared" si="37"/>
        <v>58.340495468530364</v>
      </c>
      <c r="BG64" s="20">
        <f t="shared" si="7"/>
        <v>518.80810289935755</v>
      </c>
      <c r="BH64" s="59">
        <f t="shared" si="8"/>
        <v>812.14143623269092</v>
      </c>
      <c r="BI64" s="59">
        <f ca="1">AVERAGE(OFFSET($BH$3,0,0,'Données projet'!$E$11+1,1))-AVERAGE(OFFSET($H$3,0,0,'Données projet'!$E$11+1,1))</f>
        <v>706.69239849991595</v>
      </c>
      <c r="BJ64" s="59">
        <f t="shared" si="38"/>
        <v>310.59887275116529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37.613991300874346</v>
      </c>
      <c r="BR64" s="21">
        <f>EXP(-LN(2)/2)*BR63+(1-EXP(-LN(2)/2))/(LN(2)/2)*BL64*BO64*VLOOKUP('Données projet'!$B$11,Paramètres!$A$1:$I$89,3,0)*0.475*44/12</f>
        <v>3.4035534815261435</v>
      </c>
      <c r="BS64" s="22">
        <f t="shared" si="9"/>
        <v>41.017544782400492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9.7525000000000013</v>
      </c>
      <c r="BY64" s="12">
        <f>IF('Données projet'!$A$114&gt;35,BY63+BX64-CG63,IF(A64&lt;'Données projet'!$A$114,$BV$205^A64,IF(A64='Données projet'!$A$114,'Données projet'!$B$114,BY63+BX64-CG63)))</f>
        <v>180.54499999999999</v>
      </c>
      <c r="BZ64" s="13">
        <f>BY64*VLOOKUP('Données projet'!$B$12,Paramètres!$A$1:$I$89,3,0)*VLOOKUP('Données projet'!$B$12,Paramètres!$A$1:$I$89,5,0)</f>
        <v>171.806622</v>
      </c>
      <c r="CA64" s="13">
        <f t="shared" si="39"/>
        <v>43.494397538625861</v>
      </c>
      <c r="CB64" s="20">
        <f t="shared" si="10"/>
        <v>374.98260902977336</v>
      </c>
      <c r="CC64" s="59">
        <f t="shared" si="11"/>
        <v>668.31594236310661</v>
      </c>
      <c r="CD64" s="59">
        <f ca="1">AVERAGE(OFFSET($CC$3,0,0,'Données projet'!$E$12+1,1))-AVERAGE(OFFSET($H$3,0,0,'Données projet'!$E$12+1,1))</f>
        <v>449.28947235329758</v>
      </c>
      <c r="CE64" s="59">
        <f t="shared" si="40"/>
        <v>289.36994109443964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12.244175757014785</v>
      </c>
      <c r="CL64" s="21">
        <f>EXP(-LN(2)/25)*CL63+(1-EXP(-LN(2)/25))/(LN(2)/25)*Calculateur!CG64*Calculateur!CI64*VLOOKUP('Données projet'!$B$12,Paramètres!$A$1:$I$89,3,0)*0.475*44/12</f>
        <v>29.959199575926469</v>
      </c>
      <c r="CM64" s="21">
        <f>EXP(-LN(2)/2)*CM63+(1-EXP(-LN(2)/2))/(LN(2)/2)*CG64*CJ64*VLOOKUP('Données projet'!$B$12,Paramètres!$A$1:$I$89,3,0)*0.475*44/12</f>
        <v>2.0868377668461462</v>
      </c>
      <c r="CN64" s="22">
        <f t="shared" si="12"/>
        <v>44.290213099787401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164.58624000000003</v>
      </c>
      <c r="CV64" s="13">
        <f t="shared" si="41"/>
        <v>41.875247075991886</v>
      </c>
      <c r="CW64" s="20">
        <f t="shared" si="13"/>
        <v>359.58708999068591</v>
      </c>
      <c r="CX64" s="59">
        <f t="shared" si="14"/>
        <v>652.92042332401923</v>
      </c>
      <c r="CY64" s="59">
        <f ca="1">AVERAGE(OFFSET($CX$3,0,0,'Données projet'!$E$13+1,1))-AVERAGE(OFFSET($H$3,0,0,'Données projet'!$E$13+1,1))</f>
        <v>261.93797831021766</v>
      </c>
      <c r="CZ64" s="59">
        <f t="shared" si="42"/>
        <v>256.90876395053073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3.7167823003395033</v>
      </c>
      <c r="DG64" s="21">
        <f>EXP(-LN(2)/25)*DG63+(1-EXP(-LN(2)/25))/(LN(2)/25)*Calculateur!DB64*Calculateur!DD64*VLOOKUP('Données projet'!$B$13,Paramètres!$A$1:$I$89,3,0)*0.475*44/12</f>
        <v>10.771966345568092</v>
      </c>
      <c r="DH64" s="21">
        <f>EXP(-LN(2)/2)*DH63+(1-EXP(-LN(2)/2))/(LN(2)/2)*DB64*DE64*VLOOKUP('Données projet'!$B$13,Paramètres!$A$1:$I$89,3,0)*0.475*44/12</f>
        <v>1.6720522340587931</v>
      </c>
      <c r="DI64" s="22">
        <f t="shared" si="15"/>
        <v>16.160800879966388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13.520000000000003</v>
      </c>
      <c r="N65" s="13">
        <f>IF('Données projet'!$A$36&gt;35,N64+M65-V64,IF(A65&lt;'Données projet'!$A$36,$K$205^A65,IF(A65='Données projet'!$A$36,'Données projet'!$B$36,N64+M65-V64)))</f>
        <v>334.84000000000009</v>
      </c>
      <c r="O65" s="13">
        <f>N65*VLOOKUP('Données projet'!$B$9,Paramètres!$A$1:$I$89,3,0)*VLOOKUP('Données projet'!$B$9,Paramètres!$A$1:$I$89,5,0)</f>
        <v>302.96323200000006</v>
      </c>
      <c r="P65" s="13">
        <f t="shared" si="33"/>
        <v>71.797314916159678</v>
      </c>
      <c r="Q65" s="20">
        <f t="shared" si="53"/>
        <v>652.70795254564484</v>
      </c>
      <c r="R65" s="59">
        <f t="shared" si="0"/>
        <v>946.04128587897821</v>
      </c>
      <c r="S65" s="59">
        <f ca="1">AVERAGE(OFFSET($R$3,0,0,'Données projet'!$E$9+1,1))-AVERAGE(OFFSET($H$3,0,0,'Données projet'!$E$9+1,1))</f>
        <v>695.0879239758051</v>
      </c>
      <c r="T65" s="59">
        <f t="shared" si="34"/>
        <v>226.22150997227476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9.1535730573511866</v>
      </c>
      <c r="AA65" s="21">
        <f>EXP(-LN(2)/25)*AA64+(1-EXP(-LN(2)/25))/(LN(2)/25)*Calculateur!V65*Calculateur!X65*VLOOKUP('Données projet'!$B$9,Paramètres!$A$1:$I$89,3,0)*0.475*44/12</f>
        <v>39.648185381863946</v>
      </c>
      <c r="AB65" s="21">
        <f>EXP(-LN(2)/2)*AB64+(1-EXP(-LN(2)/2))/(LN(2)/2)*V65*Y65*VLOOKUP('Données projet'!$B$9,Paramètres!$A$1:$I$89,3,0)*0.475*44/12</f>
        <v>1.6035333908901794</v>
      </c>
      <c r="AC65" s="22">
        <f t="shared" si="3"/>
        <v>50.405291830105313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13.839999999999995</v>
      </c>
      <c r="AI65" s="13">
        <f>IF('Données projet'!$A$62&gt;35,AI64+AH65-AQ64,IF(A65&lt;'Données projet'!$A$62,$AF$205^A65,IF(A65='Données projet'!$A$62,'Données projet'!$B$62,AI64+AH65-AQ64)))</f>
        <v>306.50999999999993</v>
      </c>
      <c r="AJ65" s="13">
        <f>AI65*VLOOKUP('Données projet'!$B$10,Paramètres!$A$1:$I$89,3,0)*VLOOKUP('Données projet'!$B$10,Paramètres!$A$1:$I$89,5,0)</f>
        <v>258.20402399999995</v>
      </c>
      <c r="AK65" s="13">
        <f t="shared" si="35"/>
        <v>62.339394146915183</v>
      </c>
      <c r="AL65" s="20">
        <f t="shared" si="4"/>
        <v>558.27978660587723</v>
      </c>
      <c r="AM65" s="59">
        <f t="shared" si="5"/>
        <v>851.61311993921049</v>
      </c>
      <c r="AN65" s="59">
        <f ca="1">AVERAGE(OFFSET($AM$3,0,0,'Données projet'!$E$10+1,1))-AVERAGE(OFFSET($H$3,0,0,'Données projet'!$E$10+1,1))</f>
        <v>424.81155998881928</v>
      </c>
      <c r="AO65" s="59">
        <f t="shared" si="36"/>
        <v>277.34430416544575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18.772760649155483</v>
      </c>
      <c r="AV65" s="21">
        <f>EXP(-LN(2)/25)*AV64+(1-EXP(-LN(2)/25))/(LN(2)/25)*Calculateur!AQ65*Calculateur!AS65*VLOOKUP('Données projet'!$B$10,Paramètres!$A$1:$I$89,3,0)*0.475*44/12</f>
        <v>25.732805540031482</v>
      </c>
      <c r="AW65" s="21">
        <f>EXP(-LN(2)/2)*AW64+(1-EXP(-LN(2)/2))/(LN(2)/2)*AQ65*AT65*VLOOKUP('Données projet'!$B$10,Paramètres!$A$1:$I$89,3,0)*0.475*44/12</f>
        <v>1.1799163661749059</v>
      </c>
      <c r="AX65" s="21">
        <f t="shared" si="6"/>
        <v>45.685482555361872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249.78876000000028</v>
      </c>
      <c r="BF65" s="13">
        <f t="shared" si="37"/>
        <v>60.540704760493632</v>
      </c>
      <c r="BG65" s="20">
        <f t="shared" si="7"/>
        <v>540.49048445786013</v>
      </c>
      <c r="BH65" s="59">
        <f t="shared" si="8"/>
        <v>833.82381779119351</v>
      </c>
      <c r="BI65" s="59">
        <f ca="1">AVERAGE(OFFSET($BH$3,0,0,'Données projet'!$E$11+1,1))-AVERAGE(OFFSET($H$3,0,0,'Données projet'!$E$11+1,1))</f>
        <v>706.69239849991595</v>
      </c>
      <c r="BJ65" s="59">
        <f t="shared" si="38"/>
        <v>310.59887275116529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36.585434730718106</v>
      </c>
      <c r="BR65" s="21">
        <f>EXP(-LN(2)/2)*BR64+(1-EXP(-LN(2)/2))/(LN(2)/2)*BL65*BO65*VLOOKUP('Données projet'!$B$11,Paramètres!$A$1:$I$89,3,0)*0.475*44/12</f>
        <v>2.4066757469182187</v>
      </c>
      <c r="BS65" s="22">
        <f t="shared" si="9"/>
        <v>38.992110477636324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9.7525000000000013</v>
      </c>
      <c r="BY65" s="12">
        <f>IF('Données projet'!$A$114&gt;35,BY64+BX65-CG64,IF(A65&lt;'Données projet'!$A$114,$BV$205^A65,IF(A65='Données projet'!$A$114,'Données projet'!$B$114,BY64+BX65-CG64)))</f>
        <v>190.29749999999999</v>
      </c>
      <c r="BZ65" s="13">
        <f>BY65*VLOOKUP('Données projet'!$B$12,Paramètres!$A$1:$I$89,3,0)*VLOOKUP('Données projet'!$B$12,Paramètres!$A$1:$I$89,5,0)</f>
        <v>181.08710099999999</v>
      </c>
      <c r="CA65" s="13">
        <f t="shared" si="39"/>
        <v>45.563961288072498</v>
      </c>
      <c r="CB65" s="20">
        <f t="shared" si="10"/>
        <v>394.7506001517263</v>
      </c>
      <c r="CC65" s="59">
        <f t="shared" si="11"/>
        <v>688.08393348505956</v>
      </c>
      <c r="CD65" s="59">
        <f ca="1">AVERAGE(OFFSET($CC$3,0,0,'Données projet'!$E$12+1,1))-AVERAGE(OFFSET($H$3,0,0,'Données projet'!$E$12+1,1))</f>
        <v>449.28947235329758</v>
      </c>
      <c r="CE65" s="59">
        <f t="shared" si="40"/>
        <v>289.36994109443964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12.004074938629513</v>
      </c>
      <c r="CL65" s="21">
        <f>EXP(-LN(2)/25)*CL64+(1-EXP(-LN(2)/25))/(LN(2)/25)*Calculateur!CG65*Calculateur!CI65*VLOOKUP('Données projet'!$B$12,Paramètres!$A$1:$I$89,3,0)*0.475*44/12</f>
        <v>29.139963688036925</v>
      </c>
      <c r="CM65" s="21">
        <f>EXP(-LN(2)/2)*CM64+(1-EXP(-LN(2)/2))/(LN(2)/2)*CG65*CJ65*VLOOKUP('Données projet'!$B$12,Paramètres!$A$1:$I$89,3,0)*0.475*44/12</f>
        <v>1.4756171361731014</v>
      </c>
      <c r="CN65" s="22">
        <f t="shared" si="12"/>
        <v>42.619655762839535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167.55648000000002</v>
      </c>
      <c r="CV65" s="13">
        <f t="shared" si="41"/>
        <v>42.542296108660942</v>
      </c>
      <c r="CW65" s="20">
        <f t="shared" si="13"/>
        <v>365.92203505591783</v>
      </c>
      <c r="CX65" s="59">
        <f t="shared" si="14"/>
        <v>659.25536838925109</v>
      </c>
      <c r="CY65" s="59">
        <f ca="1">AVERAGE(OFFSET($CX$3,0,0,'Données projet'!$E$13+1,1))-AVERAGE(OFFSET($H$3,0,0,'Données projet'!$E$13+1,1))</f>
        <v>261.93797831021766</v>
      </c>
      <c r="CZ65" s="59">
        <f t="shared" si="42"/>
        <v>256.90876395053073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3.6438984664431997</v>
      </c>
      <c r="DG65" s="21">
        <f>EXP(-LN(2)/25)*DG64+(1-EXP(-LN(2)/25))/(LN(2)/25)*Calculateur!DB65*Calculateur!DD65*VLOOKUP('Données projet'!$B$13,Paramètres!$A$1:$I$89,3,0)*0.475*44/12</f>
        <v>10.477406359375442</v>
      </c>
      <c r="DH65" s="21">
        <f>EXP(-LN(2)/2)*DH64+(1-EXP(-LN(2)/2))/(LN(2)/2)*DB65*DE65*VLOOKUP('Données projet'!$B$13,Paramètres!$A$1:$I$89,3,0)*0.475*44/12</f>
        <v>1.1823194732010891</v>
      </c>
      <c r="DI65" s="22">
        <f t="shared" si="15"/>
        <v>15.303624299019729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13.520000000000003</v>
      </c>
      <c r="N66" s="13">
        <f>IF('Données projet'!$A$36&gt;35,N65+M66-V65,IF(A66&lt;'Données projet'!$A$36,$K$205^A66,IF(A66='Données projet'!$A$36,'Données projet'!$B$36,N65+M66-V65)))</f>
        <v>348.36000000000007</v>
      </c>
      <c r="O66" s="13">
        <f>N66*VLOOKUP('Données projet'!$B$9,Paramètres!$A$1:$I$89,3,0)*VLOOKUP('Données projet'!$B$9,Paramètres!$A$1:$I$89,5,0)</f>
        <v>315.19612800000004</v>
      </c>
      <c r="P66" s="13">
        <f t="shared" si="33"/>
        <v>74.352936449224345</v>
      </c>
      <c r="Q66" s="20">
        <f t="shared" si="53"/>
        <v>678.46462058239911</v>
      </c>
      <c r="R66" s="59">
        <f t="shared" si="0"/>
        <v>971.79795391573248</v>
      </c>
      <c r="S66" s="59">
        <f ca="1">AVERAGE(OFFSET($R$3,0,0,'Données projet'!$E$9+1,1))-AVERAGE(OFFSET($H$3,0,0,'Données projet'!$E$9+1,1))</f>
        <v>695.0879239758051</v>
      </c>
      <c r="T66" s="59">
        <f t="shared" si="34"/>
        <v>226.22150997227476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8.9740770728248069</v>
      </c>
      <c r="AA66" s="21">
        <f>EXP(-LN(2)/25)*AA65+(1-EXP(-LN(2)/25))/(LN(2)/25)*Calculateur!V66*Calculateur!X66*VLOOKUP('Données projet'!$B$9,Paramètres!$A$1:$I$89,3,0)*0.475*44/12</f>
        <v>38.564003667589425</v>
      </c>
      <c r="AB66" s="21">
        <f>EXP(-LN(2)/2)*AB65+(1-EXP(-LN(2)/2))/(LN(2)/2)*V66*Y66*VLOOKUP('Données projet'!$B$9,Paramètres!$A$1:$I$89,3,0)*0.475*44/12</f>
        <v>1.1338693345575048</v>
      </c>
      <c r="AC66" s="22">
        <f t="shared" si="3"/>
        <v>48.671950074971733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13.839999999999995</v>
      </c>
      <c r="AI66" s="13">
        <f>IF('Données projet'!$A$62&gt;35,AI65+AH66-AQ65,IF(A66&lt;'Données projet'!$A$62,$AF$205^A66,IF(A66='Données projet'!$A$62,'Données projet'!$B$62,AI65+AH66-AQ65)))</f>
        <v>320.34999999999991</v>
      </c>
      <c r="AJ66" s="13">
        <f>AI66*VLOOKUP('Données projet'!$B$10,Paramètres!$A$1:$I$89,3,0)*VLOOKUP('Données projet'!$B$10,Paramètres!$A$1:$I$89,5,0)</f>
        <v>269.86283999999995</v>
      </c>
      <c r="AK66" s="13">
        <f t="shared" si="35"/>
        <v>64.820159613370294</v>
      </c>
      <c r="AL66" s="20">
        <f t="shared" si="4"/>
        <v>582.90622432661985</v>
      </c>
      <c r="AM66" s="59">
        <f t="shared" si="5"/>
        <v>876.23955765995311</v>
      </c>
      <c r="AN66" s="59">
        <f ca="1">AVERAGE(OFFSET($AM$3,0,0,'Données projet'!$E$10+1,1))-AVERAGE(OFFSET($H$3,0,0,'Données projet'!$E$10+1,1))</f>
        <v>424.81155998881928</v>
      </c>
      <c r="AO66" s="59">
        <f t="shared" si="36"/>
        <v>277.34430416544575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18.404638263078922</v>
      </c>
      <c r="AV66" s="21">
        <f>EXP(-LN(2)/25)*AV65+(1-EXP(-LN(2)/25))/(LN(2)/25)*Calculateur!AQ66*Calculateur!AS66*VLOOKUP('Données projet'!$B$10,Paramètres!$A$1:$I$89,3,0)*0.475*44/12</f>
        <v>25.029140619309892</v>
      </c>
      <c r="AW66" s="21">
        <f>EXP(-LN(2)/2)*AW65+(1-EXP(-LN(2)/2))/(LN(2)/2)*AQ66*AT66*VLOOKUP('Données projet'!$B$10,Paramètres!$A$1:$I$89,3,0)*0.475*44/12</f>
        <v>0.83432686375526555</v>
      </c>
      <c r="AX66" s="21">
        <f t="shared" si="6"/>
        <v>44.26810574614408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260.03776500000026</v>
      </c>
      <c r="BF66" s="13">
        <f t="shared" si="37"/>
        <v>62.730427859997341</v>
      </c>
      <c r="BG66" s="20">
        <f t="shared" si="7"/>
        <v>562.1546025644958</v>
      </c>
      <c r="BH66" s="59">
        <f t="shared" si="8"/>
        <v>855.48793589782917</v>
      </c>
      <c r="BI66" s="59">
        <f ca="1">AVERAGE(OFFSET($BH$3,0,0,'Données projet'!$E$11+1,1))-AVERAGE(OFFSET($H$3,0,0,'Données projet'!$E$11+1,1))</f>
        <v>706.69239849991595</v>
      </c>
      <c r="BJ66" s="59">
        <f t="shared" si="38"/>
        <v>310.59887275116529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35.585004094062221</v>
      </c>
      <c r="BR66" s="21">
        <f>EXP(-LN(2)/2)*BR65+(1-EXP(-LN(2)/2))/(LN(2)/2)*BL66*BO66*VLOOKUP('Données projet'!$B$11,Paramètres!$A$1:$I$89,3,0)*0.475*44/12</f>
        <v>1.7017767407630717</v>
      </c>
      <c r="BS66" s="22">
        <f t="shared" si="9"/>
        <v>37.286780834825294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9.7525000000000013</v>
      </c>
      <c r="BY66" s="12">
        <f>IF('Données projet'!$A$114&gt;35,BY65+BX66-CG65,IF(A66&lt;'Données projet'!$A$114,$BV$205^A66,IF(A66='Données projet'!$A$114,'Données projet'!$B$114,BY65+BX66-CG65)))</f>
        <v>200.04999999999998</v>
      </c>
      <c r="BZ66" s="13">
        <f>BY66*VLOOKUP('Données projet'!$B$12,Paramètres!$A$1:$I$89,3,0)*VLOOKUP('Données projet'!$B$12,Paramètres!$A$1:$I$89,5,0)</f>
        <v>190.36758</v>
      </c>
      <c r="CA66" s="13">
        <f t="shared" si="39"/>
        <v>47.621210426557901</v>
      </c>
      <c r="CB66" s="20">
        <f t="shared" si="10"/>
        <v>414.49714332625496</v>
      </c>
      <c r="CC66" s="59">
        <f t="shared" si="11"/>
        <v>707.83047665958827</v>
      </c>
      <c r="CD66" s="59">
        <f ca="1">AVERAGE(OFFSET($CC$3,0,0,'Données projet'!$E$12+1,1))-AVERAGE(OFFSET($H$3,0,0,'Données projet'!$E$12+1,1))</f>
        <v>449.28947235329758</v>
      </c>
      <c r="CE66" s="59">
        <f t="shared" si="40"/>
        <v>289.36994109443964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11.768682350845737</v>
      </c>
      <c r="CL66" s="21">
        <f>EXP(-LN(2)/25)*CL65+(1-EXP(-LN(2)/25))/(LN(2)/25)*Calculateur!CG66*Calculateur!CI66*VLOOKUP('Données projet'!$B$12,Paramètres!$A$1:$I$89,3,0)*0.475*44/12</f>
        <v>28.343129848583466</v>
      </c>
      <c r="CM66" s="21">
        <f>EXP(-LN(2)/2)*CM65+(1-EXP(-LN(2)/2))/(LN(2)/2)*CG66*CJ66*VLOOKUP('Données projet'!$B$12,Paramètres!$A$1:$I$89,3,0)*0.475*44/12</f>
        <v>1.0434188834230731</v>
      </c>
      <c r="CN66" s="22">
        <f t="shared" si="12"/>
        <v>41.155231082852275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170.52672000000004</v>
      </c>
      <c r="CV66" s="13">
        <f t="shared" si="41"/>
        <v>43.207970095682747</v>
      </c>
      <c r="CW66" s="20">
        <f t="shared" si="13"/>
        <v>372.25458524998089</v>
      </c>
      <c r="CX66" s="59">
        <f t="shared" si="14"/>
        <v>665.58791858331415</v>
      </c>
      <c r="CY66" s="59">
        <f ca="1">AVERAGE(OFFSET($CX$3,0,0,'Données projet'!$E$13+1,1))-AVERAGE(OFFSET($H$3,0,0,'Données projet'!$E$13+1,1))</f>
        <v>261.93797831021766</v>
      </c>
      <c r="CZ66" s="59">
        <f t="shared" si="42"/>
        <v>256.90876395053073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3.5724438400748535</v>
      </c>
      <c r="DG66" s="21">
        <f>EXP(-LN(2)/25)*DG65+(1-EXP(-LN(2)/25))/(LN(2)/25)*Calculateur!DB66*Calculateur!DD66*VLOOKUP('Données projet'!$B$13,Paramètres!$A$1:$I$89,3,0)*0.475*44/12</f>
        <v>10.190901131495465</v>
      </c>
      <c r="DH66" s="21">
        <f>EXP(-LN(2)/2)*DH65+(1-EXP(-LN(2)/2))/(LN(2)/2)*DB66*DE66*VLOOKUP('Données projet'!$B$13,Paramètres!$A$1:$I$89,3,0)*0.475*44/12</f>
        <v>0.83602611702939666</v>
      </c>
      <c r="DI66" s="22">
        <f t="shared" si="15"/>
        <v>14.599371088599716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13.520000000000003</v>
      </c>
      <c r="N67" s="13">
        <f>IF('Données projet'!$A$36&gt;35,N66+M67-V66,IF(A67&lt;'Données projet'!$A$36,$K$205^A67,IF(A67='Données projet'!$A$36,'Données projet'!$B$36,N66+M67-V66)))</f>
        <v>361.88000000000005</v>
      </c>
      <c r="O67" s="13">
        <f>N67*VLOOKUP('Données projet'!$B$9,Paramètres!$A$1:$I$89,3,0)*VLOOKUP('Données projet'!$B$9,Paramètres!$A$1:$I$89,5,0)</f>
        <v>327.42902400000003</v>
      </c>
      <c r="P67" s="13">
        <f t="shared" si="33"/>
        <v>76.897035859574302</v>
      </c>
      <c r="Q67" s="20">
        <f t="shared" ref="Q67:Q98" si="54">(O67+P67)*0.475*44/12</f>
        <v>704.20122092209192</v>
      </c>
      <c r="R67" s="59">
        <f t="shared" ref="R67:R130" si="55">Q67+(I67+J67)*44/12</f>
        <v>997.53455425542529</v>
      </c>
      <c r="S67" s="59">
        <f ca="1">AVERAGE(OFFSET($R$3,0,0,'Données projet'!$E$9+1,1))-AVERAGE(OFFSET($H$3,0,0,'Données projet'!$E$9+1,1))</f>
        <v>695.0879239758051</v>
      </c>
      <c r="T67" s="59">
        <f t="shared" si="34"/>
        <v>226.22150997227476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8.7981008950732491</v>
      </c>
      <c r="AA67" s="21">
        <f>EXP(-LN(2)/25)*AA66+(1-EXP(-LN(2)/25))/(LN(2)/25)*Calculateur!V67*Calculateur!X67*VLOOKUP('Données projet'!$B$9,Paramètres!$A$1:$I$89,3,0)*0.475*44/12</f>
        <v>37.509468959306382</v>
      </c>
      <c r="AB67" s="21">
        <f>EXP(-LN(2)/2)*AB66+(1-EXP(-LN(2)/2))/(LN(2)/2)*V67*Y67*VLOOKUP('Données projet'!$B$9,Paramètres!$A$1:$I$89,3,0)*0.475*44/12</f>
        <v>0.80176669544508983</v>
      </c>
      <c r="AC67" s="22">
        <f t="shared" si="3"/>
        <v>47.109336549824718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13.839999999999995</v>
      </c>
      <c r="AI67" s="13">
        <f>IF('Données projet'!$A$62&gt;35,AI66+AH67-AQ66,IF(A67&lt;'Données projet'!$A$62,$AF$205^A67,IF(A67='Données projet'!$A$62,'Données projet'!$B$62,AI66+AH67-AQ66)))</f>
        <v>334.18999999999988</v>
      </c>
      <c r="AJ67" s="13">
        <f>AI67*VLOOKUP('Données projet'!$B$10,Paramètres!$A$1:$I$89,3,0)*VLOOKUP('Données projet'!$B$10,Paramètres!$A$1:$I$89,5,0)</f>
        <v>281.52165599999995</v>
      </c>
      <c r="AK67" s="13">
        <f t="shared" si="35"/>
        <v>67.288477033117942</v>
      </c>
      <c r="AL67" s="20">
        <f t="shared" si="4"/>
        <v>607.51098169934687</v>
      </c>
      <c r="AM67" s="59">
        <f t="shared" si="5"/>
        <v>900.84431503268024</v>
      </c>
      <c r="AN67" s="59">
        <f ca="1">AVERAGE(OFFSET($AM$3,0,0,'Données projet'!$E$10+1,1))-AVERAGE(OFFSET($H$3,0,0,'Données projet'!$E$10+1,1))</f>
        <v>424.81155998881928</v>
      </c>
      <c r="AO67" s="59">
        <f t="shared" si="36"/>
        <v>277.34430416544575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18.043734532460839</v>
      </c>
      <c r="AV67" s="21">
        <f>EXP(-LN(2)/25)*AV66+(1-EXP(-LN(2)/25))/(LN(2)/25)*Calculateur!AQ67*Calculateur!AS67*VLOOKUP('Données projet'!$B$10,Paramètres!$A$1:$I$89,3,0)*0.475*44/12</f>
        <v>24.344717452849562</v>
      </c>
      <c r="AW67" s="21">
        <f>EXP(-LN(2)/2)*AW66+(1-EXP(-LN(2)/2))/(LN(2)/2)*AQ67*AT67*VLOOKUP('Données projet'!$B$10,Paramètres!$A$1:$I$89,3,0)*0.475*44/12</f>
        <v>0.58995818308745307</v>
      </c>
      <c r="AX67" s="21">
        <f t="shared" si="6"/>
        <v>42.978410168397851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270.28677000000033</v>
      </c>
      <c r="BF67" s="13">
        <f t="shared" si="37"/>
        <v>64.910125358871667</v>
      </c>
      <c r="BG67" s="20">
        <f t="shared" si="7"/>
        <v>583.80125941670201</v>
      </c>
      <c r="BH67" s="59">
        <f t="shared" si="8"/>
        <v>877.13459275003538</v>
      </c>
      <c r="BI67" s="59">
        <f ca="1">AVERAGE(OFFSET($BH$3,0,0,'Données projet'!$E$11+1,1))-AVERAGE(OFFSET($H$3,0,0,'Données projet'!$E$11+1,1))</f>
        <v>706.69239849991595</v>
      </c>
      <c r="BJ67" s="59">
        <f t="shared" si="38"/>
        <v>310.59887275116529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34.611930285776054</v>
      </c>
      <c r="BR67" s="21">
        <f>EXP(-LN(2)/2)*BR66+(1-EXP(-LN(2)/2))/(LN(2)/2)*BL67*BO67*VLOOKUP('Données projet'!$B$11,Paramètres!$A$1:$I$89,3,0)*0.475*44/12</f>
        <v>1.2033378734591094</v>
      </c>
      <c r="BS67" s="22">
        <f t="shared" si="9"/>
        <v>35.815268159235167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9.7525000000000013</v>
      </c>
      <c r="BY67" s="12">
        <f>IF('Données projet'!$A$114&gt;35,BY66+BX67-CG66,IF(A67&lt;'Données projet'!$A$114,$BV$205^A67,IF(A67='Données projet'!$A$114,'Données projet'!$B$114,BY66+BX67-CG66)))</f>
        <v>209.80249999999998</v>
      </c>
      <c r="BZ67" s="13">
        <f>BY67*VLOOKUP('Données projet'!$B$12,Paramètres!$A$1:$I$89,3,0)*VLOOKUP('Données projet'!$B$12,Paramètres!$A$1:$I$89,5,0)</f>
        <v>199.64805899999999</v>
      </c>
      <c r="CA67" s="13">
        <f t="shared" si="39"/>
        <v>49.666813819210098</v>
      </c>
      <c r="CB67" s="20">
        <f t="shared" si="10"/>
        <v>434.22340349345751</v>
      </c>
      <c r="CC67" s="59">
        <f t="shared" si="11"/>
        <v>727.55673682679083</v>
      </c>
      <c r="CD67" s="59">
        <f ca="1">AVERAGE(OFFSET($CC$3,0,0,'Données projet'!$E$12+1,1))-AVERAGE(OFFSET($H$3,0,0,'Données projet'!$E$12+1,1))</f>
        <v>449.28947235329758</v>
      </c>
      <c r="CE67" s="59">
        <f t="shared" si="40"/>
        <v>289.36994109443964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11.537905668133099</v>
      </c>
      <c r="CL67" s="21">
        <f>EXP(-LN(2)/25)*CL66+(1-EXP(-LN(2)/25))/(LN(2)/25)*Calculateur!CG67*Calculateur!CI67*VLOOKUP('Données projet'!$B$12,Paramètres!$A$1:$I$89,3,0)*0.475*44/12</f>
        <v>27.568085472373532</v>
      </c>
      <c r="CM67" s="21">
        <f>EXP(-LN(2)/2)*CM66+(1-EXP(-LN(2)/2))/(LN(2)/2)*CG67*CJ67*VLOOKUP('Données projet'!$B$12,Paramètres!$A$1:$I$89,3,0)*0.475*44/12</f>
        <v>0.73780856808655071</v>
      </c>
      <c r="CN67" s="22">
        <f t="shared" si="12"/>
        <v>39.843799708593181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173.49696000000003</v>
      </c>
      <c r="CV67" s="13">
        <f t="shared" si="41"/>
        <v>43.872295751131787</v>
      </c>
      <c r="CW67" s="20">
        <f t="shared" si="13"/>
        <v>378.58478709988793</v>
      </c>
      <c r="CX67" s="59">
        <f t="shared" si="14"/>
        <v>671.91812043322125</v>
      </c>
      <c r="CY67" s="59">
        <f ca="1">AVERAGE(OFFSET($CX$3,0,0,'Données projet'!$E$13+1,1))-AVERAGE(OFFSET($H$3,0,0,'Données projet'!$E$13+1,1))</f>
        <v>261.93797831021766</v>
      </c>
      <c r="CZ67" s="59">
        <f t="shared" si="42"/>
        <v>256.90876395053073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3.502390395346572</v>
      </c>
      <c r="DG67" s="21">
        <f>EXP(-LN(2)/25)*DG66+(1-EXP(-LN(2)/25))/(LN(2)/25)*Calculateur!DB67*Calculateur!DD67*VLOOKUP('Données projet'!$B$13,Paramètres!$A$1:$I$89,3,0)*0.475*44/12</f>
        <v>9.9122304041385227</v>
      </c>
      <c r="DH67" s="21">
        <f>EXP(-LN(2)/2)*DH66+(1-EXP(-LN(2)/2))/(LN(2)/2)*DB67*DE67*VLOOKUP('Données projet'!$B$13,Paramètres!$A$1:$I$89,3,0)*0.475*44/12</f>
        <v>0.59115973660054455</v>
      </c>
      <c r="DI67" s="22">
        <f t="shared" si="15"/>
        <v>14.00578053608564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13.520000000000003</v>
      </c>
      <c r="N68" s="13">
        <f>IF('Données projet'!$A$36&gt;35,N67+M68-V67,IF(A68&lt;'Données projet'!$A$36,$K$205^A68,IF(A68='Données projet'!$A$36,'Données projet'!$B$36,N67+M68-V67)))</f>
        <v>375.40000000000003</v>
      </c>
      <c r="O68" s="13">
        <f>N68*VLOOKUP('Données projet'!$B$9,Paramètres!$A$1:$I$89,3,0)*VLOOKUP('Données projet'!$B$9,Paramètres!$A$1:$I$89,5,0)</f>
        <v>339.66192000000001</v>
      </c>
      <c r="P68" s="13">
        <f t="shared" si="33"/>
        <v>79.430092909514357</v>
      </c>
      <c r="Q68" s="20">
        <f t="shared" si="54"/>
        <v>729.91858915073738</v>
      </c>
      <c r="R68" s="59">
        <f t="shared" si="55"/>
        <v>1023.2519224840707</v>
      </c>
      <c r="S68" s="59">
        <f ca="1">AVERAGE(OFFSET($R$3,0,0,'Données projet'!$E$9+1,1))-AVERAGE(OFFSET($H$3,0,0,'Données projet'!$E$9+1,1))</f>
        <v>695.0879239758051</v>
      </c>
      <c r="T68" s="59">
        <f t="shared" si="34"/>
        <v>226.22150997227476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8.6255755028325289</v>
      </c>
      <c r="AA68" s="21">
        <f>EXP(-LN(2)/25)*AA67+(1-EXP(-LN(2)/25))/(LN(2)/25)*Calculateur!V68*Calculateur!X68*VLOOKUP('Données projet'!$B$9,Paramètres!$A$1:$I$89,3,0)*0.475*44/12</f>
        <v>36.483770558076905</v>
      </c>
      <c r="AB68" s="21">
        <f>EXP(-LN(2)/2)*AB67+(1-EXP(-LN(2)/2))/(LN(2)/2)*V68*Y68*VLOOKUP('Données projet'!$B$9,Paramètres!$A$1:$I$89,3,0)*0.475*44/12</f>
        <v>0.56693466727875241</v>
      </c>
      <c r="AC68" s="22">
        <f t="shared" ref="AC68:AC131" si="57">SUM(Z68:AB68)</f>
        <v>45.676280728188182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348.03</v>
      </c>
      <c r="AG68" s="12">
        <f>VLOOKUP(A68,'Données projet'!$A$61:$I$81,9,0)</f>
        <v>13.839999999999995</v>
      </c>
      <c r="AH68" s="12">
        <f t="array" ref="AH68">INDEX(AG:AG,MIN(IF(ISNUMBER(AG68:AG264),ROW(AG68:AG264),"")))</f>
        <v>13.839999999999995</v>
      </c>
      <c r="AI68" s="13">
        <f>IF('Données projet'!$A$62&gt;35,AI67+AH68-AQ67,IF(A68&lt;'Données projet'!$A$62,$AF$205^A68,IF(A68='Données projet'!$A$62,'Données projet'!$B$62,AI67+AH68-AQ67)))</f>
        <v>348.02999999999986</v>
      </c>
      <c r="AJ68" s="13">
        <f>AI68*VLOOKUP('Données projet'!$B$10,Paramètres!$A$1:$I$89,3,0)*VLOOKUP('Données projet'!$B$10,Paramètres!$A$1:$I$89,5,0)</f>
        <v>293.1804719999999</v>
      </c>
      <c r="AK68" s="13">
        <f t="shared" si="35"/>
        <v>69.744920880406227</v>
      </c>
      <c r="AL68" s="20">
        <f t="shared" ref="AL68:AL131" si="58">(AJ68+AK68)*0.475*44/12</f>
        <v>632.09505926670727</v>
      </c>
      <c r="AM68" s="59">
        <f t="shared" ref="AM68:AM131" si="59">AL68+(AD68+AE68)*44/12</f>
        <v>925.42839260004052</v>
      </c>
      <c r="AN68" s="59">
        <f ca="1">AVERAGE(OFFSET($AM$3,0,0,'Données projet'!$E$10+1,1))-AVERAGE(OFFSET($H$3,0,0,'Données projet'!$E$10+1,1))</f>
        <v>424.81155998881928</v>
      </c>
      <c r="AO68" s="59">
        <f t="shared" si="36"/>
        <v>277.34430416544575</v>
      </c>
      <c r="AP68" s="15">
        <f>IF(ISNA(VLOOKUP(A68,'Données projet'!$A$61:$I$81,3,0)),0,VLOOKUP(A68,'Données projet'!$A$61:$I$81,3,0))</f>
        <v>6</v>
      </c>
      <c r="AQ68" s="15">
        <f>IF(ISNA(VLOOKUP(A68,'Données projet'!$A$61:$I$81,4,0)),0,VLOOKUP(A68,'Données projet'!$A$61:$I$81,4,0))</f>
        <v>56.629999999999995</v>
      </c>
      <c r="AR68" s="16">
        <f>IF(ISNA(VLOOKUP(A68,'Données projet'!$A$61:$I$81,5,0)),0%,VLOOKUP(A68,'Données projet'!$A$61:$I$81,5,0)*VLOOKUP('Données projet'!$B$10,Paramètres!$A$1:$I$89,7,0))</f>
        <v>0.15049999999999999</v>
      </c>
      <c r="AS68" s="16">
        <f>IF(ISNA(VLOOKUP(A68,'Données projet'!$A$61:$I$81,6,0)),0%,VLOOKUP(A68,'Données projet'!$A$61:$I$81,6,0)*VLOOKUP('Données projet'!$B$10,Paramètres!$A$1:$I$89,7,0))</f>
        <v>8.6000000000000007E-2</v>
      </c>
      <c r="AT68" s="16">
        <f>IF(ISNA(VLOOKUP(A68,'Données projet'!$A$61:$I$81,7,0)),0%,VLOOKUP(A68,'Données projet'!$A$61:$I$81,7,0))</f>
        <v>0.1</v>
      </c>
      <c r="AU68" s="21">
        <f>EXP(-LN(2)/35)*AU67+(1-EXP(-LN(2)/35))/(LN(2)/35)*AQ68*AR68*VLOOKUP('Données projet'!$B$10,Paramètres!$A$1:$I$89,3,0)*0.475*44/12</f>
        <v>25.626764438250071</v>
      </c>
      <c r="AV68" s="21">
        <f>EXP(-LN(2)/25)*AV67+(1-EXP(-LN(2)/25))/(LN(2)/25)*Calculateur!AQ68*Calculateur!AS68*VLOOKUP('Données projet'!$B$10,Paramètres!$A$1:$I$89,3,0)*0.475*44/12</f>
        <v>28.196499077310712</v>
      </c>
      <c r="AW68" s="21">
        <f>EXP(-LN(2)/2)*AW67+(1-EXP(-LN(2)/2))/(LN(2)/2)*AQ68*AT68*VLOOKUP('Données projet'!$B$10,Paramètres!$A$1:$I$89,3,0)*0.475*44/12</f>
        <v>4.9182691455040812</v>
      </c>
      <c r="AX68" s="21">
        <f t="shared" ref="AX68:AX131" si="60">SUM(AU68:AW68)</f>
        <v>58.741532661064866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280.53577500000034</v>
      </c>
      <c r="BF68" s="13">
        <f t="shared" si="37"/>
        <v>67.080220940060286</v>
      </c>
      <c r="BG68" s="20">
        <f t="shared" ref="BG68:BG131" si="61">(BE68+BF68)*0.475*44/12</f>
        <v>605.43119292893903</v>
      </c>
      <c r="BH68" s="59">
        <f t="shared" ref="BH68:BH131" si="62">BG68+(AY68+AZ68)*44/12</f>
        <v>898.76452626227228</v>
      </c>
      <c r="BI68" s="59">
        <f ca="1">AVERAGE(OFFSET($BH$3,0,0,'Données projet'!$E$11+1,1))-AVERAGE(OFFSET($H$3,0,0,'Données projet'!$E$11+1,1))</f>
        <v>706.69239849991595</v>
      </c>
      <c r="BJ68" s="59">
        <f t="shared" si="38"/>
        <v>310.59887275116529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33.665465231949199</v>
      </c>
      <c r="BR68" s="21">
        <f>EXP(-LN(2)/2)*BR67+(1-EXP(-LN(2)/2))/(LN(2)/2)*BL68*BO68*VLOOKUP('Données projet'!$B$11,Paramètres!$A$1:$I$89,3,0)*0.475*44/12</f>
        <v>0.85088837038153586</v>
      </c>
      <c r="BS68" s="22">
        <f t="shared" ref="BS68:BS131" si="63">SUM(BP68:BR68)</f>
        <v>34.516353602330732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9.7525000000000013</v>
      </c>
      <c r="BY68" s="12">
        <f>IF('Données projet'!$A$114&gt;35,BY67+BX68-CG67,IF(A68&lt;'Données projet'!$A$114,$BV$205^A68,IF(A68='Données projet'!$A$114,'Données projet'!$B$114,BY67+BX68-CG67)))</f>
        <v>219.55499999999998</v>
      </c>
      <c r="BZ68" s="13">
        <f>BY68*VLOOKUP('Données projet'!$B$12,Paramètres!$A$1:$I$89,3,0)*VLOOKUP('Données projet'!$B$12,Paramètres!$A$1:$I$89,5,0)</f>
        <v>208.92853799999997</v>
      </c>
      <c r="CA68" s="13">
        <f t="shared" si="39"/>
        <v>51.701374633508699</v>
      </c>
      <c r="CB68" s="20">
        <f t="shared" ref="CB68:CB131" si="64">(BZ68+CA68)*0.475*44/12</f>
        <v>453.93043117002759</v>
      </c>
      <c r="CC68" s="59">
        <f t="shared" ref="CC68:CC131" si="65">CB68+(BT68+BU68)*44/12</f>
        <v>747.2637645033609</v>
      </c>
      <c r="CD68" s="59">
        <f ca="1">AVERAGE(OFFSET($CC$3,0,0,'Données projet'!$E$12+1,1))-AVERAGE(OFFSET($H$3,0,0,'Données projet'!$E$12+1,1))</f>
        <v>449.28947235329758</v>
      </c>
      <c r="CE68" s="59">
        <f t="shared" si="40"/>
        <v>289.36994109443964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11.311654375408578</v>
      </c>
      <c r="CL68" s="21">
        <f>EXP(-LN(2)/25)*CL67+(1-EXP(-LN(2)/25))/(LN(2)/25)*Calculateur!CG68*Calculateur!CI68*VLOOKUP('Données projet'!$B$12,Paramètres!$A$1:$I$89,3,0)*0.475*44/12</f>
        <v>26.814234725388872</v>
      </c>
      <c r="CM68" s="21">
        <f>EXP(-LN(2)/2)*CM67+(1-EXP(-LN(2)/2))/(LN(2)/2)*CG68*CJ68*VLOOKUP('Données projet'!$B$12,Paramètres!$A$1:$I$89,3,0)*0.475*44/12</f>
        <v>0.52170944171153655</v>
      </c>
      <c r="CN68" s="22">
        <f t="shared" ref="CN68:CN131" si="66">SUM(CK68:CM68)</f>
        <v>38.647598542508987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176.46720000000005</v>
      </c>
      <c r="CV68" s="13">
        <f t="shared" si="41"/>
        <v>44.535298821989393</v>
      </c>
      <c r="CW68" s="20">
        <f t="shared" ref="CW68:CW131" si="67">(CU68+CV68)*0.475*44/12</f>
        <v>384.91268544829819</v>
      </c>
      <c r="CX68" s="59">
        <f t="shared" ref="CX68:CX131" si="68">CW68+(CO68+CP68)*44/12</f>
        <v>678.24601878163151</v>
      </c>
      <c r="CY68" s="59">
        <f ca="1">AVERAGE(OFFSET($CX$3,0,0,'Données projet'!$E$13+1,1))-AVERAGE(OFFSET($H$3,0,0,'Données projet'!$E$13+1,1))</f>
        <v>261.93797831021766</v>
      </c>
      <c r="CZ68" s="59">
        <f t="shared" si="42"/>
        <v>256.90876395053073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4.457393914914614</v>
      </c>
      <c r="DG68" s="21">
        <f>EXP(-LN(2)/25)*DG67+(1-EXP(-LN(2)/25))/(LN(2)/25)*Calculateur!DB68*Calculateur!DD68*VLOOKUP('Données projet'!$B$13,Paramètres!$A$1:$I$89,3,0)*0.475*44/12</f>
        <v>10.660832570404917</v>
      </c>
      <c r="DH68" s="21">
        <f>EXP(-LN(2)/2)*DH67+(1-EXP(-LN(2)/2))/(LN(2)/2)*DB68*DE68*VLOOKUP('Données projet'!$B$13,Paramètres!$A$1:$I$89,3,0)*0.475*44/12</f>
        <v>2.0665432837132327</v>
      </c>
      <c r="DI68" s="22">
        <f t="shared" ref="DI68:DI131" si="69">SUM(DF68:DH68)</f>
        <v>17.184769769032766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13.520000000000003</v>
      </c>
      <c r="M69" s="12">
        <f t="array" ref="M69">INDEX(L:L,MIN(IF(ISNUMBER(L69:L265),ROW(L69:L265),"")))</f>
        <v>13.520000000000003</v>
      </c>
      <c r="N69" s="13">
        <f>IF('Données projet'!$A$36&gt;35,N68+M69-V68,IF(A69&lt;'Données projet'!$A$36,$K$205^A69,IF(A69='Données projet'!$A$36,'Données projet'!$B$36,N68+M69-V68)))</f>
        <v>388.92</v>
      </c>
      <c r="O69" s="13">
        <f>N69*VLOOKUP('Données projet'!$B$9,Paramètres!$A$1:$I$89,3,0)*VLOOKUP('Données projet'!$B$9,Paramètres!$A$1:$I$89,5,0)</f>
        <v>351.89481599999999</v>
      </c>
      <c r="P69" s="13">
        <f t="shared" ref="P69:P132" si="87">EXP(-1.0587+0.8836*LN(O69)+0.284)</f>
        <v>81.952550845391471</v>
      </c>
      <c r="Q69" s="20">
        <f t="shared" si="54"/>
        <v>755.61749725572326</v>
      </c>
      <c r="R69" s="59">
        <f t="shared" si="55"/>
        <v>1048.9508305890565</v>
      </c>
      <c r="S69" s="59">
        <f ca="1">AVERAGE(OFFSET($R$3,0,0,'Données projet'!$E$9+1,1))-AVERAGE(OFFSET($H$3,0,0,'Données projet'!$E$9+1,1))</f>
        <v>695.0879239758051</v>
      </c>
      <c r="T69" s="59">
        <f t="shared" ref="T69:T132" si="88">$T$3</f>
        <v>226.22150997227476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76.480000000000018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19.969315972517677</v>
      </c>
      <c r="AA69" s="21">
        <f>EXP(-LN(2)/25)*AA68+(1-EXP(-LN(2)/25))/(LN(2)/25)*Calculateur!V69*Calculateur!X69*VLOOKUP('Données projet'!$B$9,Paramètres!$A$1:$I$89,3,0)*0.475*44/12</f>
        <v>42.039006869624131</v>
      </c>
      <c r="AB69" s="21">
        <f>EXP(-LN(2)/2)*AB68+(1-EXP(-LN(2)/2))/(LN(2)/2)*V69*Y69*VLOOKUP('Données projet'!$B$9,Paramètres!$A$1:$I$89,3,0)*0.475*44/12</f>
        <v>6.9300050567802831</v>
      </c>
      <c r="AC69" s="22">
        <f t="shared" si="57"/>
        <v>68.938327898922097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13.374285714285715</v>
      </c>
      <c r="AI69" s="13">
        <f>IF('Données projet'!$A$62&gt;35,AI68+AH69-AQ68,IF(A69&lt;'Données projet'!$A$62,$AF$205^A69,IF(A69='Données projet'!$A$62,'Données projet'!$B$62,AI68+AH69-AQ68)))</f>
        <v>304.77428571428555</v>
      </c>
      <c r="AJ69" s="13">
        <f>AI69*VLOOKUP('Données projet'!$B$10,Paramètres!$A$1:$I$89,3,0)*VLOOKUP('Données projet'!$B$10,Paramètres!$A$1:$I$89,5,0)</f>
        <v>256.74185828571416</v>
      </c>
      <c r="AK69" s="13">
        <f t="shared" ref="AK69:AK132" si="89">EXP(-1.0587+0.8836*LN(AJ69)+0.284)</f>
        <v>62.027364911831434</v>
      </c>
      <c r="AL69" s="20">
        <f t="shared" si="58"/>
        <v>555.18973040239189</v>
      </c>
      <c r="AM69" s="59">
        <f t="shared" si="59"/>
        <v>848.52306373572515</v>
      </c>
      <c r="AN69" s="59">
        <f ca="1">AVERAGE(OFFSET($AM$3,0,0,'Données projet'!$E$10+1,1))-AVERAGE(OFFSET($H$3,0,0,'Données projet'!$E$10+1,1))</f>
        <v>424.81155998881928</v>
      </c>
      <c r="AO69" s="59">
        <f t="shared" ref="AO69:AO132" si="90">$AO$3</f>
        <v>277.34430416544575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25.124239218398884</v>
      </c>
      <c r="AV69" s="21">
        <f>EXP(-LN(2)/25)*AV68+(1-EXP(-LN(2)/25))/(LN(2)/25)*Calculateur!AQ69*Calculateur!AS69*VLOOKUP('Données projet'!$B$10,Paramètres!$A$1:$I$89,3,0)*0.475*44/12</f>
        <v>27.425464327252207</v>
      </c>
      <c r="AW69" s="21">
        <f>EXP(-LN(2)/2)*AW68+(1-EXP(-LN(2)/2))/(LN(2)/2)*AQ69*AT69*VLOOKUP('Données projet'!$B$10,Paramètres!$A$1:$I$89,3,0)*0.475*44/12</f>
        <v>3.4777414644865026</v>
      </c>
      <c r="AX69" s="21">
        <f t="shared" si="60"/>
        <v>56.027445010137598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290.78478000000035</v>
      </c>
      <c r="BF69" s="13">
        <f t="shared" ref="BF69:BF132" si="91">EXP(-1.0587+0.8836*LN(BE69)+0.284)</f>
        <v>69.241105574743742</v>
      </c>
      <c r="BG69" s="20">
        <f t="shared" si="61"/>
        <v>627.04508404267926</v>
      </c>
      <c r="BH69" s="59">
        <f t="shared" si="62"/>
        <v>920.37841737601252</v>
      </c>
      <c r="BI69" s="59">
        <f ca="1">AVERAGE(OFFSET($BH$3,0,0,'Données projet'!$E$11+1,1))-AVERAGE(OFFSET($H$3,0,0,'Données projet'!$E$11+1,1))</f>
        <v>706.69239849991595</v>
      </c>
      <c r="BJ69" s="59">
        <f t="shared" ref="BJ69:BJ132" si="92">$BJ$3</f>
        <v>310.59887275116529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9.0559511774797787</v>
      </c>
      <c r="BQ69" s="21">
        <f>EXP(-LN(2)/25)*BQ68+(1-EXP(-LN(2)/25))/(LN(2)/25)*Calculateur!BL69*Calculateur!BN69*VLOOKUP('Données projet'!$B$11,Paramètres!$A$1:$I$89,3,0)*0.475*44/12</f>
        <v>37.899335284566604</v>
      </c>
      <c r="BR69" s="21">
        <f>EXP(-LN(2)/2)*BR68+(1-EXP(-LN(2)/2))/(LN(2)/2)*BL69*BO69*VLOOKUP('Données projet'!$B$11,Paramètres!$A$1:$I$89,3,0)*0.475*44/12</f>
        <v>5.7374293490177015</v>
      </c>
      <c r="BS69" s="22">
        <f t="shared" si="63"/>
        <v>52.692715811064083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9.7525000000000013</v>
      </c>
      <c r="BY69" s="12">
        <f>IF('Données projet'!$A$114&gt;35,BY68+BX69-CG68,IF(A69&lt;'Données projet'!$A$114,$BV$205^A69,IF(A69='Données projet'!$A$114,'Données projet'!$B$114,BY68+BX69-CG68)))</f>
        <v>229.30749999999998</v>
      </c>
      <c r="BZ69" s="13">
        <f>BY69*VLOOKUP('Données projet'!$B$12,Paramètres!$A$1:$I$89,3,0)*VLOOKUP('Données projet'!$B$12,Paramètres!$A$1:$I$89,5,0)</f>
        <v>218.20901699999999</v>
      </c>
      <c r="CA69" s="13">
        <f t="shared" ref="CA69:CA132" si="93">EXP(-1.0587+0.8836*LN(BZ69)+0.284)</f>
        <v>53.725439422688339</v>
      </c>
      <c r="CB69" s="20">
        <f t="shared" si="64"/>
        <v>473.61917826951543</v>
      </c>
      <c r="CC69" s="59">
        <f t="shared" si="65"/>
        <v>766.95251160284874</v>
      </c>
      <c r="CD69" s="59">
        <f ca="1">AVERAGE(OFFSET($CC$3,0,0,'Données projet'!$E$12+1,1))-AVERAGE(OFFSET($H$3,0,0,'Données projet'!$E$12+1,1))</f>
        <v>449.28947235329758</v>
      </c>
      <c r="CE69" s="59">
        <f t="shared" ref="CE69:CE132" si="94">$CE$3</f>
        <v>289.36994109443964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11.089839732534722</v>
      </c>
      <c r="CL69" s="21">
        <f>EXP(-LN(2)/25)*CL68+(1-EXP(-LN(2)/25))/(LN(2)/25)*Calculateur!CG69*Calculateur!CI69*VLOOKUP('Données projet'!$B$12,Paramètres!$A$1:$I$89,3,0)*0.475*44/12</f>
        <v>26.080998066723794</v>
      </c>
      <c r="CM69" s="21">
        <f>EXP(-LN(2)/2)*CM68+(1-EXP(-LN(2)/2))/(LN(2)/2)*CG69*CJ69*VLOOKUP('Données projet'!$B$12,Paramètres!$A$1:$I$89,3,0)*0.475*44/12</f>
        <v>0.36890428404327535</v>
      </c>
      <c r="CN69" s="22">
        <f t="shared" si="66"/>
        <v>37.539742083301789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</v>
      </c>
      <c r="CT69" s="12">
        <f>IF('Données projet'!$A$140&gt;35,CT68+CS69-DB68,IF(A69&lt;'Données projet'!$A$140,$CQ$205^A69,IF(A69='Données projet'!$A$140,'Données projet'!$B$140,CT68+CS69-DB68)))</f>
        <v>197.00000000000003</v>
      </c>
      <c r="CU69" s="17">
        <f>CT69*VLOOKUP('Données projet'!$B$13,Paramètres!$A$1:$I$89,3,0)*VLOOKUP('Données projet'!$B$13,Paramètres!$A$1:$I$89,5,0)</f>
        <v>172.09920000000005</v>
      </c>
      <c r="CV69" s="13">
        <f t="shared" ref="CV69:CV132" si="95">EXP(-1.0587+0.8836*LN(CU69)+0.284)</f>
        <v>43.559838214506989</v>
      </c>
      <c r="CW69" s="20">
        <f t="shared" si="67"/>
        <v>375.60615822359978</v>
      </c>
      <c r="CX69" s="59">
        <f t="shared" si="68"/>
        <v>668.93949155693304</v>
      </c>
      <c r="CY69" s="59">
        <f ca="1">AVERAGE(OFFSET($CX$3,0,0,'Données projet'!$E$13+1,1))-AVERAGE(OFFSET($H$3,0,0,'Données projet'!$E$13+1,1))</f>
        <v>261.93797831021766</v>
      </c>
      <c r="CZ69" s="59">
        <f t="shared" ref="CZ69:CZ132" si="96">$CZ$3</f>
        <v>256.90876395053073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4.3699871389849729</v>
      </c>
      <c r="DG69" s="21">
        <f>EXP(-LN(2)/25)*DG68+(1-EXP(-LN(2)/25))/(LN(2)/25)*Calculateur!DB69*Calculateur!DD69*VLOOKUP('Données projet'!$B$13,Paramètres!$A$1:$I$89,3,0)*0.475*44/12</f>
        <v>10.369311543138375</v>
      </c>
      <c r="DH69" s="21">
        <f>EXP(-LN(2)/2)*DH68+(1-EXP(-LN(2)/2))/(LN(2)/2)*DB69*DE69*VLOOKUP('Données projet'!$B$13,Paramètres!$A$1:$I$89,3,0)*0.475*44/12</f>
        <v>1.4612667695291424</v>
      </c>
      <c r="DI69" s="22">
        <f t="shared" si="69"/>
        <v>16.200565451652491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12.795000000000002</v>
      </c>
      <c r="N70" s="13">
        <f>IF('Données projet'!$A$36&gt;35,N69+M70-V69,IF(A70&lt;'Données projet'!$A$36,$K$205^A70,IF(A70='Données projet'!$A$36,'Données projet'!$B$36,N69+M70-V69)))</f>
        <v>325.23500000000001</v>
      </c>
      <c r="O70" s="13">
        <f>N70*VLOOKUP('Données projet'!$B$9,Paramètres!$A$1:$I$89,3,0)*VLOOKUP('Données projet'!$B$9,Paramètres!$A$1:$I$89,5,0)</f>
        <v>294.272628</v>
      </c>
      <c r="P70" s="13">
        <f t="shared" si="87"/>
        <v>69.974442654220198</v>
      </c>
      <c r="Q70" s="20">
        <f t="shared" si="54"/>
        <v>634.39698138943356</v>
      </c>
      <c r="R70" s="59">
        <f t="shared" si="55"/>
        <v>927.73031472276693</v>
      </c>
      <c r="S70" s="59">
        <f ca="1">AVERAGE(OFFSET($R$3,0,0,'Données projet'!$E$9+1,1))-AVERAGE(OFFSET($H$3,0,0,'Données projet'!$E$9+1,1))</f>
        <v>695.0879239758051</v>
      </c>
      <c r="T70" s="59">
        <f t="shared" si="88"/>
        <v>226.22150997227476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19.577729866376664</v>
      </c>
      <c r="AA70" s="21">
        <f>EXP(-LN(2)/25)*AA69+(1-EXP(-LN(2)/25))/(LN(2)/25)*Calculateur!V70*Calculateur!X70*VLOOKUP('Données projet'!$B$9,Paramètres!$A$1:$I$89,3,0)*0.475*44/12</f>
        <v>40.889448016038969</v>
      </c>
      <c r="AB70" s="21">
        <f>EXP(-LN(2)/2)*AB69+(1-EXP(-LN(2)/2))/(LN(2)/2)*V70*Y70*VLOOKUP('Données projet'!$B$9,Paramètres!$A$1:$I$89,3,0)*0.475*44/12</f>
        <v>4.900253569306404</v>
      </c>
      <c r="AC70" s="22">
        <f t="shared" si="57"/>
        <v>65.367431451722041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13.374285714285715</v>
      </c>
      <c r="AI70" s="13">
        <f>IF('Données projet'!$A$62&gt;35,AI69+AH70-AQ69,IF(A70&lt;'Données projet'!$A$62,$AF$205^A70,IF(A70='Données projet'!$A$62,'Données projet'!$B$62,AI69+AH70-AQ69)))</f>
        <v>318.14857142857124</v>
      </c>
      <c r="AJ70" s="13">
        <f>AI70*VLOOKUP('Données projet'!$B$10,Paramètres!$A$1:$I$89,3,0)*VLOOKUP('Données projet'!$B$10,Paramètres!$A$1:$I$89,5,0)</f>
        <v>268.00835657142841</v>
      </c>
      <c r="AK70" s="13">
        <f t="shared" si="89"/>
        <v>64.426410327143714</v>
      </c>
      <c r="AL70" s="20">
        <f t="shared" si="58"/>
        <v>578.99055234834634</v>
      </c>
      <c r="AM70" s="59">
        <f t="shared" si="59"/>
        <v>872.32388568167971</v>
      </c>
      <c r="AN70" s="59">
        <f ca="1">AVERAGE(OFFSET($AM$3,0,0,'Données projet'!$E$10+1,1))-AVERAGE(OFFSET($H$3,0,0,'Données projet'!$E$10+1,1))</f>
        <v>424.81155998881928</v>
      </c>
      <c r="AO70" s="59">
        <f t="shared" si="90"/>
        <v>277.34430416544575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24.631568211598857</v>
      </c>
      <c r="AV70" s="21">
        <f>EXP(-LN(2)/25)*AV69+(1-EXP(-LN(2)/25))/(LN(2)/25)*Calculateur!AQ70*Calculateur!AS70*VLOOKUP('Données projet'!$B$10,Paramètres!$A$1:$I$89,3,0)*0.475*44/12</f>
        <v>26.67551356298101</v>
      </c>
      <c r="AW70" s="21">
        <f>EXP(-LN(2)/2)*AW69+(1-EXP(-LN(2)/2))/(LN(2)/2)*AQ70*AT70*VLOOKUP('Données projet'!$B$10,Paramètres!$A$1:$I$89,3,0)*0.475*44/12</f>
        <v>2.4591345727520411</v>
      </c>
      <c r="AX70" s="21">
        <f t="shared" si="60"/>
        <v>53.766216347331913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246.22328250000032</v>
      </c>
      <c r="BF70" s="13">
        <f t="shared" si="91"/>
        <v>59.776498563165894</v>
      </c>
      <c r="BG70" s="20">
        <f t="shared" si="61"/>
        <v>532.94961868501457</v>
      </c>
      <c r="BH70" s="59">
        <f t="shared" si="62"/>
        <v>826.28295201834794</v>
      </c>
      <c r="BI70" s="59">
        <f ca="1">AVERAGE(OFFSET($BH$3,0,0,'Données projet'!$E$11+1,1))-AVERAGE(OFFSET($H$3,0,0,'Données projet'!$E$11+1,1))</f>
        <v>706.69239849991595</v>
      </c>
      <c r="BJ70" s="59">
        <f t="shared" si="92"/>
        <v>310.59887275116529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8.8783694984742105</v>
      </c>
      <c r="BQ70" s="21">
        <f>EXP(-LN(2)/25)*BQ69+(1-EXP(-LN(2)/25))/(LN(2)/25)*Calculateur!BL70*Calculateur!BN70*VLOOKUP('Données projet'!$B$11,Paramètres!$A$1:$I$89,3,0)*0.475*44/12</f>
        <v>36.862975968170709</v>
      </c>
      <c r="BR70" s="21">
        <f>EXP(-LN(2)/2)*BR69+(1-EXP(-LN(2)/2))/(LN(2)/2)*BL70*BO70*VLOOKUP('Données projet'!$B$11,Paramètres!$A$1:$I$89,3,0)*0.475*44/12</f>
        <v>4.0569751992691359</v>
      </c>
      <c r="BS70" s="22">
        <f t="shared" si="63"/>
        <v>49.798320665914048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239.06</v>
      </c>
      <c r="BW70" s="12">
        <f>VLOOKUP(A70,'Données projet'!$A$113:$I$133,9,0)</f>
        <v>9.7525000000000013</v>
      </c>
      <c r="BX70" s="12">
        <f t="array" ref="BX70">INDEX(BW:BW,MIN(IF(ISNUMBER(BW70:BW266),ROW(BW70:BW266),"")))</f>
        <v>9.7525000000000013</v>
      </c>
      <c r="BY70" s="12">
        <f>IF('Données projet'!$A$114&gt;35,BY69+BX70-CG69,IF(A70&lt;'Données projet'!$A$114,$BV$205^A70,IF(A70='Données projet'!$A$114,'Données projet'!$B$114,BY69+BX70-CG69)))</f>
        <v>239.05999999999997</v>
      </c>
      <c r="BZ70" s="13">
        <f>BY70*VLOOKUP('Données projet'!$B$12,Paramètres!$A$1:$I$89,3,0)*VLOOKUP('Données projet'!$B$12,Paramètres!$A$1:$I$89,5,0)</f>
        <v>227.48949599999997</v>
      </c>
      <c r="CA70" s="13">
        <f t="shared" si="93"/>
        <v>55.739505620294999</v>
      </c>
      <c r="CB70" s="20">
        <f t="shared" si="64"/>
        <v>493.29051115534702</v>
      </c>
      <c r="CC70" s="59">
        <f t="shared" si="65"/>
        <v>786.62384448868033</v>
      </c>
      <c r="CD70" s="59">
        <f ca="1">AVERAGE(OFFSET($CC$3,0,0,'Données projet'!$E$12+1,1))-AVERAGE(OFFSET($H$3,0,0,'Données projet'!$E$12+1,1))</f>
        <v>449.28947235329758</v>
      </c>
      <c r="CE70" s="59">
        <f t="shared" si="94"/>
        <v>289.36994109443964</v>
      </c>
      <c r="CF70" s="15">
        <f>IF(ISNA(VLOOKUP(A70,'Données projet'!$A$113:$I$133,3,0)),0,VLOOKUP(A70,'Données projet'!$A$113:$I$133,3,0))</f>
        <v>5</v>
      </c>
      <c r="CG70" s="15">
        <f>IF(ISNA(VLOOKUP(A70,'Données projet'!$A$113:$I$133,4,0)),0,VLOOKUP(A70,'Données projet'!$A$113:$I$133,4,0))</f>
        <v>42.550000000000011</v>
      </c>
      <c r="CH70" s="16">
        <f>IF(ISNA(VLOOKUP(A70,'Données projet'!$A$113:$I$133,5,0)),0%,VLOOKUP(A70,'Données projet'!$A$113:$I$133,5,0)*VLOOKUP('Données projet'!$B$12,Paramètres!$A$1:$I$89,7,0))</f>
        <v>0.15049999999999999</v>
      </c>
      <c r="CI70" s="16">
        <f>IF(ISNA(VLOOKUP(A70,'Données projet'!$A$113:$I$133,6,0)),0%,VLOOKUP(A70,'Données projet'!$A$113:$I$133,6,0)*VLOOKUP('Données projet'!$B$12,Paramètres!$A$1:$I$89,7,0))</f>
        <v>8.6000000000000007E-2</v>
      </c>
      <c r="CJ70" s="16">
        <f>IF(ISNA(VLOOKUP(A70,'Données projet'!$A$113:$I$133,7,0)),0%,VLOOKUP(A70,'Données projet'!$A$113:$I$133,7,0))</f>
        <v>0.1</v>
      </c>
      <c r="CK70" s="21">
        <f>EXP(-LN(2)/35)*CK69+(1-EXP(-LN(2)/35))/(LN(2)/35)*CG70*CH70*VLOOKUP('Données projet'!$B$12,Paramètres!$A$1:$I$89,3,0)*0.475*44/12</f>
        <v>17.608925833950501</v>
      </c>
      <c r="CL70" s="21">
        <f>EXP(-LN(2)/25)*CL69+(1-EXP(-LN(2)/25))/(LN(2)/25)*Calculateur!CG70*Calculateur!CI70*VLOOKUP('Données projet'!$B$12,Paramètres!$A$1:$I$89,3,0)*0.475*44/12</f>
        <v>29.202112789306554</v>
      </c>
      <c r="CM70" s="21">
        <f>EXP(-LN(2)/2)*CM69+(1-EXP(-LN(2)/2))/(LN(2)/2)*CG70*CJ70*VLOOKUP('Données projet'!$B$12,Paramètres!$A$1:$I$89,3,0)*0.475*44/12</f>
        <v>4.0812499226540329</v>
      </c>
      <c r="CN70" s="22">
        <f t="shared" si="66"/>
        <v>50.892288545911086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</v>
      </c>
      <c r="CT70" s="12">
        <f>IF('Données projet'!$A$140&gt;35,CT69+CS70-DB69,IF(A70&lt;'Données projet'!$A$140,$CQ$205^A70,IF(A70='Données projet'!$A$140,'Données projet'!$B$140,CT69+CS70-DB69)))</f>
        <v>200.00000000000003</v>
      </c>
      <c r="CU70" s="17">
        <f>CT70*VLOOKUP('Données projet'!$B$13,Paramètres!$A$1:$I$89,3,0)*VLOOKUP('Données projet'!$B$13,Paramètres!$A$1:$I$89,5,0)</f>
        <v>174.72000000000006</v>
      </c>
      <c r="CV70" s="13">
        <f t="shared" si="95"/>
        <v>44.145455754865246</v>
      </c>
      <c r="CW70" s="20">
        <f t="shared" si="67"/>
        <v>381.19066877305704</v>
      </c>
      <c r="CX70" s="59">
        <f t="shared" si="68"/>
        <v>674.5240021063903</v>
      </c>
      <c r="CY70" s="59">
        <f ca="1">AVERAGE(OFFSET($CX$3,0,0,'Données projet'!$E$13+1,1))-AVERAGE(OFFSET($H$3,0,0,'Données projet'!$E$13+1,1))</f>
        <v>261.93797831021766</v>
      </c>
      <c r="CZ70" s="59">
        <f t="shared" si="96"/>
        <v>256.90876395053073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4.2842943566184433</v>
      </c>
      <c r="DG70" s="21">
        <f>EXP(-LN(2)/25)*DG69+(1-EXP(-LN(2)/25))/(LN(2)/25)*Calculateur!DB70*Calculateur!DD70*VLOOKUP('Données projet'!$B$13,Paramètres!$A$1:$I$89,3,0)*0.475*44/12</f>
        <v>10.085762173692862</v>
      </c>
      <c r="DH70" s="21">
        <f>EXP(-LN(2)/2)*DH69+(1-EXP(-LN(2)/2))/(LN(2)/2)*DB70*DE70*VLOOKUP('Données projet'!$B$13,Paramètres!$A$1:$I$89,3,0)*0.475*44/12</f>
        <v>1.0332716418566166</v>
      </c>
      <c r="DI70" s="22">
        <f t="shared" si="69"/>
        <v>15.403328172167923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12.795000000000002</v>
      </c>
      <c r="N71" s="13">
        <f>IF('Données projet'!$A$36&gt;35,N70+M71-V70,IF(A71&lt;'Données projet'!$A$36,$K$205^A71,IF(A71='Données projet'!$A$36,'Données projet'!$B$36,N70+M71-V70)))</f>
        <v>338.03000000000003</v>
      </c>
      <c r="O71" s="13">
        <f>N71*VLOOKUP('Données projet'!$B$9,Paramètres!$A$1:$I$89,3,0)*VLOOKUP('Données projet'!$B$9,Paramètres!$A$1:$I$89,5,0)</f>
        <v>305.84954400000004</v>
      </c>
      <c r="P71" s="13">
        <f t="shared" si="87"/>
        <v>72.401370969152978</v>
      </c>
      <c r="Q71" s="20">
        <f t="shared" si="54"/>
        <v>658.78701023794144</v>
      </c>
      <c r="R71" s="59">
        <f t="shared" si="55"/>
        <v>952.12034357127482</v>
      </c>
      <c r="S71" s="59">
        <f ca="1">AVERAGE(OFFSET($R$3,0,0,'Données projet'!$E$9+1,1))-AVERAGE(OFFSET($H$3,0,0,'Données projet'!$E$9+1,1))</f>
        <v>695.0879239758051</v>
      </c>
      <c r="T71" s="59">
        <f t="shared" si="88"/>
        <v>226.22150997227476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19.193822524933136</v>
      </c>
      <c r="AA71" s="21">
        <f>EXP(-LN(2)/25)*AA70+(1-EXP(-LN(2)/25))/(LN(2)/25)*Calculateur!V71*Calculateur!X71*VLOOKUP('Données projet'!$B$9,Paramètres!$A$1:$I$89,3,0)*0.475*44/12</f>
        <v>39.771323909757768</v>
      </c>
      <c r="AB71" s="21">
        <f>EXP(-LN(2)/2)*AB70+(1-EXP(-LN(2)/2))/(LN(2)/2)*V71*Y71*VLOOKUP('Données projet'!$B$9,Paramètres!$A$1:$I$89,3,0)*0.475*44/12</f>
        <v>3.465002528390142</v>
      </c>
      <c r="AC71" s="22">
        <f t="shared" si="57"/>
        <v>62.430148963081052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13.374285714285715</v>
      </c>
      <c r="AI71" s="13">
        <f>IF('Données projet'!$A$62&gt;35,AI70+AH71-AQ70,IF(A71&lt;'Données projet'!$A$62,$AF$205^A71,IF(A71='Données projet'!$A$62,'Données projet'!$B$62,AI70+AH71-AQ70)))</f>
        <v>331.52285714285694</v>
      </c>
      <c r="AJ71" s="13">
        <f>AI71*VLOOKUP('Données projet'!$B$10,Paramètres!$A$1:$I$89,3,0)*VLOOKUP('Données projet'!$B$10,Paramètres!$A$1:$I$89,5,0)</f>
        <v>279.27485485714271</v>
      </c>
      <c r="AK71" s="13">
        <f t="shared" si="89"/>
        <v>66.813741746726478</v>
      </c>
      <c r="AL71" s="20">
        <f t="shared" si="58"/>
        <v>602.77097241840545</v>
      </c>
      <c r="AM71" s="59">
        <f t="shared" si="59"/>
        <v>896.10430575173882</v>
      </c>
      <c r="AN71" s="59">
        <f ca="1">AVERAGE(OFFSET($AM$3,0,0,'Données projet'!$E$10+1,1))-AVERAGE(OFFSET($H$3,0,0,'Données projet'!$E$10+1,1))</f>
        <v>424.81155998881928</v>
      </c>
      <c r="AO71" s="59">
        <f t="shared" si="90"/>
        <v>277.34430416544575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24.148558182742537</v>
      </c>
      <c r="AV71" s="21">
        <f>EXP(-LN(2)/25)*AV70+(1-EXP(-LN(2)/25))/(LN(2)/25)*Calculateur!AQ71*Calculateur!AS71*VLOOKUP('Données projet'!$B$10,Paramètres!$A$1:$I$89,3,0)*0.475*44/12</f>
        <v>25.946070241797003</v>
      </c>
      <c r="AW71" s="21">
        <f>EXP(-LN(2)/2)*AW70+(1-EXP(-LN(2)/2))/(LN(2)/2)*AQ71*AT71*VLOOKUP('Données projet'!$B$10,Paramètres!$A$1:$I$89,3,0)*0.475*44/12</f>
        <v>1.7388707322432517</v>
      </c>
      <c r="AX71" s="21">
        <f t="shared" si="60"/>
        <v>51.833499156782786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256.09330500000038</v>
      </c>
      <c r="BF71" s="13">
        <f t="shared" si="91"/>
        <v>61.888896112284726</v>
      </c>
      <c r="BG71" s="20">
        <f t="shared" si="61"/>
        <v>553.81900027056327</v>
      </c>
      <c r="BH71" s="59">
        <f t="shared" si="62"/>
        <v>847.15233360389652</v>
      </c>
      <c r="BI71" s="59">
        <f ca="1">AVERAGE(OFFSET($BH$3,0,0,'Données projet'!$E$11+1,1))-AVERAGE(OFFSET($H$3,0,0,'Données projet'!$E$11+1,1))</f>
        <v>706.69239849991595</v>
      </c>
      <c r="BJ71" s="59">
        <f t="shared" si="92"/>
        <v>310.59887275116529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8.7042700878798112</v>
      </c>
      <c r="BQ71" s="21">
        <f>EXP(-LN(2)/25)*BQ70+(1-EXP(-LN(2)/25))/(LN(2)/25)*Calculateur!BL71*Calculateur!BN71*VLOOKUP('Données projet'!$B$11,Paramètres!$A$1:$I$89,3,0)*0.475*44/12</f>
        <v>35.854955951781427</v>
      </c>
      <c r="BR71" s="21">
        <f>EXP(-LN(2)/2)*BR70+(1-EXP(-LN(2)/2))/(LN(2)/2)*BL71*BO71*VLOOKUP('Données projet'!$B$11,Paramètres!$A$1:$I$89,3,0)*0.475*44/12</f>
        <v>2.8687146745088512</v>
      </c>
      <c r="BS71" s="22">
        <f t="shared" si="63"/>
        <v>47.427940714170091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9.65625</v>
      </c>
      <c r="BY71" s="12">
        <f>IF('Données projet'!$A$114&gt;35,BY70+BX71-CG70,IF(A71&lt;'Données projet'!$A$114,$BV$205^A71,IF(A71='Données projet'!$A$114,'Données projet'!$B$114,BY70+BX71-CG70)))</f>
        <v>206.16624999999996</v>
      </c>
      <c r="BZ71" s="13">
        <f>BY71*VLOOKUP('Données projet'!$B$12,Paramètres!$A$1:$I$89,3,0)*VLOOKUP('Données projet'!$B$12,Paramètres!$A$1:$I$89,5,0)</f>
        <v>196.18780349999997</v>
      </c>
      <c r="CA71" s="13">
        <f t="shared" si="93"/>
        <v>48.905426239785484</v>
      </c>
      <c r="CB71" s="20">
        <f t="shared" si="64"/>
        <v>426.87070846345961</v>
      </c>
      <c r="CC71" s="59">
        <f t="shared" si="65"/>
        <v>720.20404179679292</v>
      </c>
      <c r="CD71" s="59">
        <f ca="1">AVERAGE(OFFSET($CC$3,0,0,'Données projet'!$E$12+1,1))-AVERAGE(OFFSET($H$3,0,0,'Données projet'!$E$12+1,1))</f>
        <v>449.28947235329758</v>
      </c>
      <c r="CE71" s="59">
        <f t="shared" si="94"/>
        <v>289.36994109443964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17.263625538730967</v>
      </c>
      <c r="CL71" s="21">
        <f>EXP(-LN(2)/25)*CL70+(1-EXP(-LN(2)/25))/(LN(2)/25)*Calculateur!CG71*Calculateur!CI71*VLOOKUP('Données projet'!$B$12,Paramètres!$A$1:$I$89,3,0)*0.475*44/12</f>
        <v>28.403579479410595</v>
      </c>
      <c r="CM71" s="21">
        <f>EXP(-LN(2)/2)*CM70+(1-EXP(-LN(2)/2))/(LN(2)/2)*CG71*CJ71*VLOOKUP('Données projet'!$B$12,Paramètres!$A$1:$I$89,3,0)*0.475*44/12</f>
        <v>2.8858794960257392</v>
      </c>
      <c r="CN71" s="22">
        <f t="shared" si="66"/>
        <v>48.553084514167296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</v>
      </c>
      <c r="CT71" s="12">
        <f>IF('Données projet'!$A$140&gt;35,CT70+CS71-DB70,IF(A71&lt;'Données projet'!$A$140,$CQ$205^A71,IF(A71='Données projet'!$A$140,'Données projet'!$B$140,CT70+CS71-DB70)))</f>
        <v>203.00000000000003</v>
      </c>
      <c r="CU71" s="17">
        <f>CT71*VLOOKUP('Données projet'!$B$13,Paramètres!$A$1:$I$89,3,0)*VLOOKUP('Données projet'!$B$13,Paramètres!$A$1:$I$89,5,0)</f>
        <v>177.34080000000003</v>
      </c>
      <c r="CV71" s="13">
        <f t="shared" si="95"/>
        <v>44.730051658603102</v>
      </c>
      <c r="CW71" s="20">
        <f t="shared" si="67"/>
        <v>386.77339997206712</v>
      </c>
      <c r="CX71" s="59">
        <f t="shared" si="68"/>
        <v>680.10673330540044</v>
      </c>
      <c r="CY71" s="59">
        <f ca="1">AVERAGE(OFFSET($CX$3,0,0,'Données projet'!$E$13+1,1))-AVERAGE(OFFSET($H$3,0,0,'Données projet'!$E$13+1,1))</f>
        <v>261.93797831021766</v>
      </c>
      <c r="CZ71" s="59">
        <f t="shared" si="96"/>
        <v>256.90876395053073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4.200281957446685</v>
      </c>
      <c r="DG71" s="21">
        <f>EXP(-LN(2)/25)*DG70+(1-EXP(-LN(2)/25))/(LN(2)/25)*Calculateur!DB71*Calculateur!DD71*VLOOKUP('Données projet'!$B$13,Paramètres!$A$1:$I$89,3,0)*0.475*44/12</f>
        <v>9.8099664766660499</v>
      </c>
      <c r="DH71" s="21">
        <f>EXP(-LN(2)/2)*DH70+(1-EXP(-LN(2)/2))/(LN(2)/2)*DB71*DE71*VLOOKUP('Données projet'!$B$13,Paramètres!$A$1:$I$89,3,0)*0.475*44/12</f>
        <v>0.73063338476457129</v>
      </c>
      <c r="DI71" s="22">
        <f t="shared" si="69"/>
        <v>14.740881818877307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12.795000000000002</v>
      </c>
      <c r="N72" s="13">
        <f>IF('Données projet'!$A$36&gt;35,N71+M72-V71,IF(A72&lt;'Données projet'!$A$36,$K$205^A72,IF(A72='Données projet'!$A$36,'Données projet'!$B$36,N71+M72-V71)))</f>
        <v>350.82500000000005</v>
      </c>
      <c r="O72" s="13">
        <f>N72*VLOOKUP('Données projet'!$B$9,Paramètres!$A$1:$I$89,3,0)*VLOOKUP('Données projet'!$B$9,Paramètres!$A$1:$I$89,5,0)</f>
        <v>317.42646000000008</v>
      </c>
      <c r="P72" s="13">
        <f t="shared" si="87"/>
        <v>74.817627226984229</v>
      </c>
      <c r="Q72" s="20">
        <f t="shared" si="54"/>
        <v>683.158451920331</v>
      </c>
      <c r="R72" s="59">
        <f t="shared" si="55"/>
        <v>976.49178525366437</v>
      </c>
      <c r="S72" s="59">
        <f ca="1">AVERAGE(OFFSET($R$3,0,0,'Données projet'!$E$9+1,1))-AVERAGE(OFFSET($H$3,0,0,'Données projet'!$E$9+1,1))</f>
        <v>695.0879239758051</v>
      </c>
      <c r="T72" s="59">
        <f t="shared" si="88"/>
        <v>226.22150997227476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18.81744337229496</v>
      </c>
      <c r="AA72" s="21">
        <f>EXP(-LN(2)/25)*AA71+(1-EXP(-LN(2)/25))/(LN(2)/25)*Calculateur!V72*Calculateur!X72*VLOOKUP('Données projet'!$B$9,Paramètres!$A$1:$I$89,3,0)*0.475*44/12</f>
        <v>38.683774965962414</v>
      </c>
      <c r="AB72" s="21">
        <f>EXP(-LN(2)/2)*AB71+(1-EXP(-LN(2)/2))/(LN(2)/2)*V72*Y72*VLOOKUP('Données projet'!$B$9,Paramètres!$A$1:$I$89,3,0)*0.475*44/12</f>
        <v>2.4501267846532024</v>
      </c>
      <c r="AC72" s="22">
        <f t="shared" si="57"/>
        <v>59.951345122910574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13.374285714285715</v>
      </c>
      <c r="AI72" s="13">
        <f>IF('Données projet'!$A$62&gt;35,AI71+AH72-AQ71,IF(A72&lt;'Données projet'!$A$62,$AF$205^A72,IF(A72='Données projet'!$A$62,'Données projet'!$B$62,AI71+AH72-AQ71)))</f>
        <v>344.89714285714263</v>
      </c>
      <c r="AJ72" s="13">
        <f>AI72*VLOOKUP('Données projet'!$B$10,Paramètres!$A$1:$I$89,3,0)*VLOOKUP('Données projet'!$B$10,Paramètres!$A$1:$I$89,5,0)</f>
        <v>290.54135314285702</v>
      </c>
      <c r="AK72" s="13">
        <f t="shared" si="89"/>
        <v>69.1898857973042</v>
      </c>
      <c r="AL72" s="20">
        <f t="shared" si="58"/>
        <v>626.53190782078082</v>
      </c>
      <c r="AM72" s="59">
        <f t="shared" si="59"/>
        <v>919.86524115411407</v>
      </c>
      <c r="AN72" s="59">
        <f ca="1">AVERAGE(OFFSET($AM$3,0,0,'Données projet'!$E$10+1,1))-AVERAGE(OFFSET($H$3,0,0,'Données projet'!$E$10+1,1))</f>
        <v>424.81155998881928</v>
      </c>
      <c r="AO72" s="59">
        <f t="shared" si="90"/>
        <v>277.34430416544575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23.675019685945063</v>
      </c>
      <c r="AV72" s="21">
        <f>EXP(-LN(2)/25)*AV71+(1-EXP(-LN(2)/25))/(LN(2)/25)*Calculateur!AQ72*Calculateur!AS72*VLOOKUP('Données projet'!$B$10,Paramètres!$A$1:$I$89,3,0)*0.475*44/12</f>
        <v>25.236573586590531</v>
      </c>
      <c r="AW72" s="21">
        <f>EXP(-LN(2)/2)*AW71+(1-EXP(-LN(2)/2))/(LN(2)/2)*AQ72*AT72*VLOOKUP('Données projet'!$B$10,Paramètres!$A$1:$I$89,3,0)*0.475*44/12</f>
        <v>1.2295672863760208</v>
      </c>
      <c r="AX72" s="21">
        <f t="shared" si="60"/>
        <v>50.141160558911615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265.96332750000033</v>
      </c>
      <c r="BF72" s="13">
        <f t="shared" si="91"/>
        <v>63.991835900335317</v>
      </c>
      <c r="BG72" s="20">
        <f t="shared" si="61"/>
        <v>574.67190958891786</v>
      </c>
      <c r="BH72" s="59">
        <f t="shared" si="62"/>
        <v>868.00524292225123</v>
      </c>
      <c r="BI72" s="59">
        <f ca="1">AVERAGE(OFFSET($BH$3,0,0,'Données projet'!$E$11+1,1))-AVERAGE(OFFSET($H$3,0,0,'Données projet'!$E$11+1,1))</f>
        <v>706.69239849991595</v>
      </c>
      <c r="BJ72" s="59">
        <f t="shared" si="92"/>
        <v>310.59887275116529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8.5335846605370129</v>
      </c>
      <c r="BQ72" s="21">
        <f>EXP(-LN(2)/25)*BQ71+(1-EXP(-LN(2)/25))/(LN(2)/25)*Calculateur!BL72*Calculateur!BN72*VLOOKUP('Données projet'!$B$11,Paramètres!$A$1:$I$89,3,0)*0.475*44/12</f>
        <v>34.874500295749776</v>
      </c>
      <c r="BR72" s="21">
        <f>EXP(-LN(2)/2)*BR71+(1-EXP(-LN(2)/2))/(LN(2)/2)*BL72*BO72*VLOOKUP('Données projet'!$B$11,Paramètres!$A$1:$I$89,3,0)*0.475*44/12</f>
        <v>2.0284875996345684</v>
      </c>
      <c r="BS72" s="22">
        <f t="shared" si="63"/>
        <v>45.436572555921352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9.65625</v>
      </c>
      <c r="BY72" s="12">
        <f>IF('Données projet'!$A$114&gt;35,BY71+BX72-CG71,IF(A72&lt;'Données projet'!$A$114,$BV$205^A72,IF(A72='Données projet'!$A$114,'Données projet'!$B$114,BY71+BX72-CG71)))</f>
        <v>215.82249999999996</v>
      </c>
      <c r="BZ72" s="13">
        <f>BY72*VLOOKUP('Données projet'!$B$12,Paramètres!$A$1:$I$89,3,0)*VLOOKUP('Données projet'!$B$12,Paramètres!$A$1:$I$89,5,0)</f>
        <v>205.37669099999997</v>
      </c>
      <c r="CA72" s="13">
        <f t="shared" si="93"/>
        <v>50.923971103388858</v>
      </c>
      <c r="CB72" s="20">
        <f t="shared" si="64"/>
        <v>446.3903198300689</v>
      </c>
      <c r="CC72" s="59">
        <f t="shared" si="65"/>
        <v>739.72365316340222</v>
      </c>
      <c r="CD72" s="59">
        <f ca="1">AVERAGE(OFFSET($CC$3,0,0,'Données projet'!$E$12+1,1))-AVERAGE(OFFSET($H$3,0,0,'Données projet'!$E$12+1,1))</f>
        <v>449.28947235329758</v>
      </c>
      <c r="CE72" s="59">
        <f t="shared" si="94"/>
        <v>289.36994109443964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16.925096371688301</v>
      </c>
      <c r="CL72" s="21">
        <f>EXP(-LN(2)/25)*CL71+(1-EXP(-LN(2)/25))/(LN(2)/25)*Calculateur!CG72*Calculateur!CI72*VLOOKUP('Données projet'!$B$12,Paramètres!$A$1:$I$89,3,0)*0.475*44/12</f>
        <v>27.626882104866784</v>
      </c>
      <c r="CM72" s="21">
        <f>EXP(-LN(2)/2)*CM71+(1-EXP(-LN(2)/2))/(LN(2)/2)*CG72*CJ72*VLOOKUP('Données projet'!$B$12,Paramètres!$A$1:$I$89,3,0)*0.475*44/12</f>
        <v>2.0406249613270164</v>
      </c>
      <c r="CN72" s="22">
        <f t="shared" si="66"/>
        <v>46.592603437882104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</v>
      </c>
      <c r="CT72" s="12">
        <f>IF('Données projet'!$A$140&gt;35,CT71+CS72-DB71,IF(A72&lt;'Données projet'!$A$140,$CQ$205^A72,IF(A72='Données projet'!$A$140,'Données projet'!$B$140,CT71+CS72-DB71)))</f>
        <v>206.00000000000003</v>
      </c>
      <c r="CU72" s="17">
        <f>CT72*VLOOKUP('Données projet'!$B$13,Paramètres!$A$1:$I$89,3,0)*VLOOKUP('Données projet'!$B$13,Paramètres!$A$1:$I$89,5,0)</f>
        <v>179.96160000000006</v>
      </c>
      <c r="CV72" s="13">
        <f t="shared" si="95"/>
        <v>45.313642767960104</v>
      </c>
      <c r="CW72" s="20">
        <f t="shared" si="67"/>
        <v>392.3543811541972</v>
      </c>
      <c r="CX72" s="59">
        <f t="shared" si="68"/>
        <v>685.68771448753046</v>
      </c>
      <c r="CY72" s="59">
        <f ca="1">AVERAGE(OFFSET($CX$3,0,0,'Données projet'!$E$13+1,1))-AVERAGE(OFFSET($H$3,0,0,'Données projet'!$E$13+1,1))</f>
        <v>261.93797831021766</v>
      </c>
      <c r="CZ72" s="59">
        <f t="shared" si="96"/>
        <v>256.90876395053073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4.1179169901801806</v>
      </c>
      <c r="DG72" s="21">
        <f>EXP(-LN(2)/25)*DG71+(1-EXP(-LN(2)/25))/(LN(2)/25)*Calculateur!DB72*Calculateur!DD72*VLOOKUP('Données projet'!$B$13,Paramètres!$A$1:$I$89,3,0)*0.475*44/12</f>
        <v>9.5417124274779006</v>
      </c>
      <c r="DH72" s="21">
        <f>EXP(-LN(2)/2)*DH71+(1-EXP(-LN(2)/2))/(LN(2)/2)*DB72*DE72*VLOOKUP('Données projet'!$B$13,Paramètres!$A$1:$I$89,3,0)*0.475*44/12</f>
        <v>0.51663582092830829</v>
      </c>
      <c r="DI72" s="22">
        <f t="shared" si="69"/>
        <v>14.176265238586389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12.795000000000002</v>
      </c>
      <c r="N73" s="13">
        <f>IF('Données projet'!$A$36&gt;35,N72+M73-V72,IF(A73&lt;'Données projet'!$A$36,$K$205^A73,IF(A73='Données projet'!$A$36,'Données projet'!$B$36,N72+M73-V72)))</f>
        <v>363.62000000000006</v>
      </c>
      <c r="O73" s="13">
        <f>N73*VLOOKUP('Données projet'!$B$9,Paramètres!$A$1:$I$89,3,0)*VLOOKUP('Données projet'!$B$9,Paramètres!$A$1:$I$89,5,0)</f>
        <v>329.00337600000006</v>
      </c>
      <c r="P73" s="13">
        <f t="shared" si="87"/>
        <v>77.2236452302744</v>
      </c>
      <c r="Q73" s="20">
        <f t="shared" si="54"/>
        <v>707.51206197606132</v>
      </c>
      <c r="R73" s="59">
        <f t="shared" si="55"/>
        <v>1000.8453953093947</v>
      </c>
      <c r="S73" s="59">
        <f ca="1">AVERAGE(OFFSET($R$3,0,0,'Données projet'!$E$9+1,1))-AVERAGE(OFFSET($H$3,0,0,'Données projet'!$E$9+1,1))</f>
        <v>695.0879239758051</v>
      </c>
      <c r="T73" s="59">
        <f t="shared" si="88"/>
        <v>226.22150997227476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18.448444785271402</v>
      </c>
      <c r="AA73" s="21">
        <f>EXP(-LN(2)/25)*AA72+(1-EXP(-LN(2)/25))/(LN(2)/25)*Calculateur!V73*Calculateur!X73*VLOOKUP('Données projet'!$B$9,Paramètres!$A$1:$I$89,3,0)*0.475*44/12</f>
        <v>37.625965105226861</v>
      </c>
      <c r="AB73" s="21">
        <f>EXP(-LN(2)/2)*AB72+(1-EXP(-LN(2)/2))/(LN(2)/2)*V73*Y73*VLOOKUP('Données projet'!$B$9,Paramètres!$A$1:$I$89,3,0)*0.475*44/12</f>
        <v>1.7325012641950714</v>
      </c>
      <c r="AC73" s="22">
        <f t="shared" si="57"/>
        <v>57.806911154693331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13.374285714285715</v>
      </c>
      <c r="AI73" s="13">
        <f>IF('Données projet'!$A$62&gt;35,AI72+AH73-AQ72,IF(A73&lt;'Données projet'!$A$62,$AF$205^A73,IF(A73='Données projet'!$A$62,'Données projet'!$B$62,AI72+AH73-AQ72)))</f>
        <v>358.27142857142832</v>
      </c>
      <c r="AJ73" s="13">
        <f>AI73*VLOOKUP('Données projet'!$B$10,Paramètres!$A$1:$I$89,3,0)*VLOOKUP('Données projet'!$B$10,Paramètres!$A$1:$I$89,5,0)</f>
        <v>301.80785142857127</v>
      </c>
      <c r="AK73" s="13">
        <f t="shared" si="89"/>
        <v>71.555325950227484</v>
      </c>
      <c r="AL73" s="20">
        <f t="shared" si="58"/>
        <v>650.27420060140787</v>
      </c>
      <c r="AM73" s="59">
        <f t="shared" si="59"/>
        <v>943.60753393474124</v>
      </c>
      <c r="AN73" s="59">
        <f ca="1">AVERAGE(OFFSET($AM$3,0,0,'Données projet'!$E$10+1,1))-AVERAGE(OFFSET($H$3,0,0,'Données projet'!$E$10+1,1))</f>
        <v>424.81155998881928</v>
      </c>
      <c r="AO73" s="59">
        <f t="shared" si="90"/>
        <v>277.34430416544575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23.210766990239826</v>
      </c>
      <c r="AV73" s="21">
        <f>EXP(-LN(2)/25)*AV72+(1-EXP(-LN(2)/25))/(LN(2)/25)*Calculateur!AQ73*Calculateur!AS73*VLOOKUP('Données projet'!$B$10,Paramètres!$A$1:$I$89,3,0)*0.475*44/12</f>
        <v>24.546478154731485</v>
      </c>
      <c r="AW73" s="21">
        <f>EXP(-LN(2)/2)*AW72+(1-EXP(-LN(2)/2))/(LN(2)/2)*AQ73*AT73*VLOOKUP('Données projet'!$B$10,Paramètres!$A$1:$I$89,3,0)*0.475*44/12</f>
        <v>0.86943536612162597</v>
      </c>
      <c r="AX73" s="21">
        <f t="shared" si="60"/>
        <v>48.626680511092935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275.83335000000034</v>
      </c>
      <c r="BF73" s="13">
        <f t="shared" si="91"/>
        <v>66.085709101140665</v>
      </c>
      <c r="BG73" s="20">
        <f t="shared" si="61"/>
        <v>595.50902793448722</v>
      </c>
      <c r="BH73" s="59">
        <f t="shared" si="62"/>
        <v>888.84236126782048</v>
      </c>
      <c r="BI73" s="59">
        <f ca="1">AVERAGE(OFFSET($BH$3,0,0,'Données projet'!$E$11+1,1))-AVERAGE(OFFSET($H$3,0,0,'Données projet'!$E$11+1,1))</f>
        <v>706.69239849991595</v>
      </c>
      <c r="BJ73" s="59">
        <f t="shared" si="92"/>
        <v>310.59887275116529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8.3662462703165765</v>
      </c>
      <c r="BQ73" s="21">
        <f>EXP(-LN(2)/25)*BQ72+(1-EXP(-LN(2)/25))/(LN(2)/25)*Calculateur!BL73*Calculateur!BN73*VLOOKUP('Données projet'!$B$11,Paramètres!$A$1:$I$89,3,0)*0.475*44/12</f>
        <v>33.920855251192236</v>
      </c>
      <c r="BR73" s="21">
        <f>EXP(-LN(2)/2)*BR72+(1-EXP(-LN(2)/2))/(LN(2)/2)*BL73*BO73*VLOOKUP('Données projet'!$B$11,Paramètres!$A$1:$I$89,3,0)*0.475*44/12</f>
        <v>1.4343573372544258</v>
      </c>
      <c r="BS73" s="22">
        <f t="shared" si="63"/>
        <v>43.721458858763242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9.65625</v>
      </c>
      <c r="BY73" s="12">
        <f>IF('Données projet'!$A$114&gt;35,BY72+BX73-CG72,IF(A73&lt;'Données projet'!$A$114,$BV$205^A73,IF(A73='Données projet'!$A$114,'Données projet'!$B$114,BY72+BX73-CG72)))</f>
        <v>225.47874999999996</v>
      </c>
      <c r="BZ73" s="13">
        <f>BY73*VLOOKUP('Données projet'!$B$12,Paramètres!$A$1:$I$89,3,0)*VLOOKUP('Données projet'!$B$12,Paramètres!$A$1:$I$89,5,0)</f>
        <v>214.56557849999996</v>
      </c>
      <c r="CA73" s="13">
        <f t="shared" si="93"/>
        <v>52.932027166993123</v>
      </c>
      <c r="CB73" s="20">
        <f t="shared" si="64"/>
        <v>465.8916632033463</v>
      </c>
      <c r="CC73" s="59">
        <f t="shared" si="65"/>
        <v>759.22499653667955</v>
      </c>
      <c r="CD73" s="59">
        <f ca="1">AVERAGE(OFFSET($CC$3,0,0,'Données projet'!$E$12+1,1))-AVERAGE(OFFSET($H$3,0,0,'Données projet'!$E$12+1,1))</f>
        <v>449.28947235329758</v>
      </c>
      <c r="CE73" s="59">
        <f t="shared" si="94"/>
        <v>289.36994109443964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16.593205555128939</v>
      </c>
      <c r="CL73" s="21">
        <f>EXP(-LN(2)/25)*CL72+(1-EXP(-LN(2)/25))/(LN(2)/25)*Calculateur!CG73*Calculateur!CI73*VLOOKUP('Données projet'!$B$12,Paramètres!$A$1:$I$89,3,0)*0.475*44/12</f>
        <v>26.871423560874614</v>
      </c>
      <c r="CM73" s="21">
        <f>EXP(-LN(2)/2)*CM72+(1-EXP(-LN(2)/2))/(LN(2)/2)*CG73*CJ73*VLOOKUP('Données projet'!$B$12,Paramètres!$A$1:$I$89,3,0)*0.475*44/12</f>
        <v>1.4429397480128696</v>
      </c>
      <c r="CN73" s="22">
        <f t="shared" si="66"/>
        <v>44.907568864016419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209</v>
      </c>
      <c r="CR73" s="12">
        <f>VLOOKUP(A73,'Données projet'!$A$139:$I$159,9,0)</f>
        <v>3</v>
      </c>
      <c r="CS73" s="12">
        <f t="array" ref="CS73">INDEX(CR:CR,MIN(IF(ISNUMBER(CR73:CR269),ROW(CR73:CR269),"")))</f>
        <v>3</v>
      </c>
      <c r="CT73" s="12">
        <f>IF('Données projet'!$A$140&gt;35,CT72+CS73-DB72,IF(A73&lt;'Données projet'!$A$140,$CQ$205^A73,IF(A73='Données projet'!$A$140,'Données projet'!$B$140,CT72+CS73-DB72)))</f>
        <v>209.00000000000003</v>
      </c>
      <c r="CU73" s="17">
        <f>CT73*VLOOKUP('Données projet'!$B$13,Paramètres!$A$1:$I$89,3,0)*VLOOKUP('Données projet'!$B$13,Paramètres!$A$1:$I$89,5,0)</f>
        <v>182.58240000000004</v>
      </c>
      <c r="CV73" s="13">
        <f t="shared" si="95"/>
        <v>45.896245406460288</v>
      </c>
      <c r="CW73" s="20">
        <f t="shared" si="67"/>
        <v>397.93364074958504</v>
      </c>
      <c r="CX73" s="59">
        <f t="shared" si="68"/>
        <v>691.2669740829183</v>
      </c>
      <c r="CY73" s="59">
        <f ca="1">AVERAGE(OFFSET($CX$3,0,0,'Données projet'!$E$13+1,1))-AVERAGE(OFFSET($H$3,0,0,'Données projet'!$E$13+1,1))</f>
        <v>261.93797831021766</v>
      </c>
      <c r="CZ73" s="59">
        <f t="shared" si="96"/>
        <v>256.90876395053073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8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5.0608504086576875</v>
      </c>
      <c r="DG73" s="21">
        <f>EXP(-LN(2)/25)*DG72+(1-EXP(-LN(2)/25))/(LN(2)/25)*Calculateur!DB73*Calculateur!DD73*VLOOKUP('Données projet'!$B$13,Paramètres!$A$1:$I$89,3,0)*0.475*44/12</f>
        <v>10.300446427300773</v>
      </c>
      <c r="DH73" s="21">
        <f>EXP(-LN(2)/2)*DH72+(1-EXP(-LN(2)/2))/(LN(2)/2)*DB73*DE73*VLOOKUP('Données projet'!$B$13,Paramètres!$A$1:$I$89,3,0)*0.475*44/12</f>
        <v>2.0138469175808202</v>
      </c>
      <c r="DI73" s="22">
        <f t="shared" si="69"/>
        <v>17.37514375353928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12.795000000000002</v>
      </c>
      <c r="N74" s="13">
        <f>IF('Données projet'!$A$36&gt;35,N73+M74-V73,IF(A74&lt;'Données projet'!$A$36,$K$205^A74,IF(A74='Données projet'!$A$36,'Données projet'!$B$36,N73+M74-V73)))</f>
        <v>376.41500000000008</v>
      </c>
      <c r="O74" s="13">
        <f>N74*VLOOKUP('Données projet'!$B$9,Paramètres!$A$1:$I$89,3,0)*VLOOKUP('Données projet'!$B$9,Paramètres!$A$1:$I$89,5,0)</f>
        <v>340.58029200000004</v>
      </c>
      <c r="P74" s="13">
        <f t="shared" si="87"/>
        <v>79.619826521430525</v>
      </c>
      <c r="Q74" s="20">
        <f t="shared" si="54"/>
        <v>731.84853975815815</v>
      </c>
      <c r="R74" s="59">
        <f t="shared" si="55"/>
        <v>1025.1818730914915</v>
      </c>
      <c r="S74" s="59">
        <f ca="1">AVERAGE(OFFSET($R$3,0,0,'Données projet'!$E$9+1,1))-AVERAGE(OFFSET($H$3,0,0,'Données projet'!$E$9+1,1))</f>
        <v>695.0879239758051</v>
      </c>
      <c r="T74" s="59">
        <f t="shared" si="88"/>
        <v>226.22150997227476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18.086682035472464</v>
      </c>
      <c r="AA74" s="21">
        <f>EXP(-LN(2)/25)*AA73+(1-EXP(-LN(2)/25))/(LN(2)/25)*Calculateur!V74*Calculateur!X74*VLOOKUP('Données projet'!$B$9,Paramètres!$A$1:$I$89,3,0)*0.475*44/12</f>
        <v>36.597081110760925</v>
      </c>
      <c r="AB74" s="21">
        <f>EXP(-LN(2)/2)*AB73+(1-EXP(-LN(2)/2))/(LN(2)/2)*V74*Y74*VLOOKUP('Données projet'!$B$9,Paramètres!$A$1:$I$89,3,0)*0.475*44/12</f>
        <v>1.2250633923266014</v>
      </c>
      <c r="AC74" s="22">
        <f t="shared" si="57"/>
        <v>55.908826538559993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13.374285714285715</v>
      </c>
      <c r="AI74" s="13">
        <f>IF('Données projet'!$A$62&gt;35,AI73+AH74-AQ73,IF(A74&lt;'Données projet'!$A$62,$AF$205^A74,IF(A74='Données projet'!$A$62,'Données projet'!$B$62,AI73+AH74-AQ73)))</f>
        <v>371.64571428571401</v>
      </c>
      <c r="AJ74" s="13">
        <f>AI74*VLOOKUP('Données projet'!$B$10,Paramètres!$A$1:$I$89,3,0)*VLOOKUP('Données projet'!$B$10,Paramètres!$A$1:$I$89,5,0)</f>
        <v>313.07434971428552</v>
      </c>
      <c r="AK74" s="13">
        <f t="shared" si="89"/>
        <v>73.910507535868305</v>
      </c>
      <c r="AL74" s="20">
        <f t="shared" si="58"/>
        <v>673.99862637735123</v>
      </c>
      <c r="AM74" s="59">
        <f t="shared" si="59"/>
        <v>967.33195971068449</v>
      </c>
      <c r="AN74" s="59">
        <f ca="1">AVERAGE(OFFSET($AM$3,0,0,'Données projet'!$E$10+1,1))-AVERAGE(OFFSET($H$3,0,0,'Données projet'!$E$10+1,1))</f>
        <v>424.81155998881928</v>
      </c>
      <c r="AO74" s="59">
        <f t="shared" si="90"/>
        <v>277.34430416544575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22.755618006731183</v>
      </c>
      <c r="AV74" s="21">
        <f>EXP(-LN(2)/25)*AV73+(1-EXP(-LN(2)/25))/(LN(2)/25)*Calculateur!AQ74*Calculateur!AS74*VLOOKUP('Données projet'!$B$10,Paramètres!$A$1:$I$89,3,0)*0.475*44/12</f>
        <v>23.875253418747167</v>
      </c>
      <c r="AW74" s="21">
        <f>EXP(-LN(2)/2)*AW73+(1-EXP(-LN(2)/2))/(LN(2)/2)*AQ74*AT74*VLOOKUP('Données projet'!$B$10,Paramètres!$A$1:$I$89,3,0)*0.475*44/12</f>
        <v>0.61478364318801049</v>
      </c>
      <c r="AX74" s="21">
        <f t="shared" si="60"/>
        <v>47.245655068666359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285.70337250000034</v>
      </c>
      <c r="BF74" s="13">
        <f t="shared" si="91"/>
        <v>68.170877307212365</v>
      </c>
      <c r="BG74" s="20">
        <f t="shared" si="61"/>
        <v>616.3309850808954</v>
      </c>
      <c r="BH74" s="59">
        <f t="shared" si="62"/>
        <v>909.66431841422877</v>
      </c>
      <c r="BI74" s="59">
        <f ca="1">AVERAGE(OFFSET($BH$3,0,0,'Données projet'!$E$11+1,1))-AVERAGE(OFFSET($H$3,0,0,'Données projet'!$E$11+1,1))</f>
        <v>706.69239849991595</v>
      </c>
      <c r="BJ74" s="59">
        <f t="shared" si="92"/>
        <v>310.59887275116529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8.2021892838620225</v>
      </c>
      <c r="BQ74" s="21">
        <f>EXP(-LN(2)/25)*BQ73+(1-EXP(-LN(2)/25))/(LN(2)/25)*Calculateur!BL74*Calculateur!BN74*VLOOKUP('Données projet'!$B$11,Paramètres!$A$1:$I$89,3,0)*0.475*44/12</f>
        <v>32.993287680528134</v>
      </c>
      <c r="BR74" s="21">
        <f>EXP(-LN(2)/2)*BR73+(1-EXP(-LN(2)/2))/(LN(2)/2)*BL74*BO74*VLOOKUP('Données projet'!$B$11,Paramètres!$A$1:$I$89,3,0)*0.475*44/12</f>
        <v>1.0142437998172844</v>
      </c>
      <c r="BS74" s="22">
        <f t="shared" si="63"/>
        <v>42.209720764207439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9.65625</v>
      </c>
      <c r="BY74" s="12">
        <f>IF('Données projet'!$A$114&gt;35,BY73+BX74-CG73,IF(A74&lt;'Données projet'!$A$114,$BV$205^A74,IF(A74='Données projet'!$A$114,'Données projet'!$B$114,BY73+BX74-CG73)))</f>
        <v>235.13499999999996</v>
      </c>
      <c r="BZ74" s="13">
        <f>BY74*VLOOKUP('Données projet'!$B$12,Paramètres!$A$1:$I$89,3,0)*VLOOKUP('Données projet'!$B$12,Paramètres!$A$1:$I$89,5,0)</f>
        <v>223.75446599999998</v>
      </c>
      <c r="CA74" s="13">
        <f t="shared" si="93"/>
        <v>54.930094969115991</v>
      </c>
      <c r="CB74" s="20">
        <f t="shared" si="64"/>
        <v>485.37561035454365</v>
      </c>
      <c r="CC74" s="59">
        <f t="shared" si="65"/>
        <v>778.70894368787697</v>
      </c>
      <c r="CD74" s="59">
        <f ca="1">AVERAGE(OFFSET($CC$3,0,0,'Données projet'!$E$12+1,1))-AVERAGE(OFFSET($H$3,0,0,'Données projet'!$E$12+1,1))</f>
        <v>449.28947235329758</v>
      </c>
      <c r="CE74" s="59">
        <f t="shared" si="94"/>
        <v>289.36994109443964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16.2678229150489</v>
      </c>
      <c r="CL74" s="21">
        <f>EXP(-LN(2)/25)*CL73+(1-EXP(-LN(2)/25))/(LN(2)/25)*Calculateur!CG74*Calculateur!CI74*VLOOKUP('Données projet'!$B$12,Paramètres!$A$1:$I$89,3,0)*0.475*44/12</f>
        <v>26.136623070495748</v>
      </c>
      <c r="CM74" s="21">
        <f>EXP(-LN(2)/2)*CM73+(1-EXP(-LN(2)/2))/(LN(2)/2)*CG74*CJ74*VLOOKUP('Données projet'!$B$12,Paramètres!$A$1:$I$89,3,0)*0.475*44/12</f>
        <v>1.0203124806635082</v>
      </c>
      <c r="CN74" s="22">
        <f t="shared" si="66"/>
        <v>43.424758466208154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203.60000000000002</v>
      </c>
      <c r="CU74" s="17">
        <f>CT74*VLOOKUP('Données projet'!$B$13,Paramètres!$A$1:$I$89,3,0)*VLOOKUP('Données projet'!$B$13,Paramètres!$A$1:$I$89,5,0)</f>
        <v>177.86496000000002</v>
      </c>
      <c r="CV74" s="13">
        <f t="shared" si="95"/>
        <v>44.846849734353761</v>
      </c>
      <c r="CW74" s="20">
        <f t="shared" si="67"/>
        <v>387.88973528733283</v>
      </c>
      <c r="CX74" s="59">
        <f t="shared" si="68"/>
        <v>681.22306862066614</v>
      </c>
      <c r="CY74" s="59">
        <f ca="1">AVERAGE(OFFSET($CX$3,0,0,'Données projet'!$E$13+1,1))-AVERAGE(OFFSET($H$3,0,0,'Données projet'!$E$13+1,1))</f>
        <v>261.93797831021766</v>
      </c>
      <c r="CZ74" s="59">
        <f t="shared" si="96"/>
        <v>256.90876395053073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4.9616102189578619</v>
      </c>
      <c r="DG74" s="21">
        <f>EXP(-LN(2)/25)*DG73+(1-EXP(-LN(2)/25))/(LN(2)/25)*Calculateur!DB74*Calculateur!DD74*VLOOKUP('Données projet'!$B$13,Paramètres!$A$1:$I$89,3,0)*0.475*44/12</f>
        <v>10.018780178069298</v>
      </c>
      <c r="DH74" s="21">
        <f>EXP(-LN(2)/2)*DH73+(1-EXP(-LN(2)/2))/(LN(2)/2)*DB74*DE74*VLOOKUP('Données projet'!$B$13,Paramètres!$A$1:$I$89,3,0)*0.475*44/12</f>
        <v>1.4240048116930244</v>
      </c>
      <c r="DI74" s="22">
        <f t="shared" si="69"/>
        <v>16.404395208720185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12.795000000000002</v>
      </c>
      <c r="N75" s="13">
        <f>IF('Données projet'!$A$36&gt;35,N74+M75-V74,IF(A75&lt;'Données projet'!$A$36,$K$205^A75,IF(A75='Données projet'!$A$36,'Données projet'!$B$36,N74+M75-V74)))</f>
        <v>389.21000000000009</v>
      </c>
      <c r="O75" s="13">
        <f>N75*VLOOKUP('Données projet'!$B$9,Paramètres!$A$1:$I$89,3,0)*VLOOKUP('Données projet'!$B$9,Paramètres!$A$1:$I$89,5,0)</f>
        <v>352.15720800000008</v>
      </c>
      <c r="P75" s="13">
        <f t="shared" si="87"/>
        <v>82.006543796021603</v>
      </c>
      <c r="Q75" s="20">
        <f t="shared" si="54"/>
        <v>756.16853437807106</v>
      </c>
      <c r="R75" s="59">
        <f t="shared" si="55"/>
        <v>1049.5018677114044</v>
      </c>
      <c r="S75" s="59">
        <f ca="1">AVERAGE(OFFSET($R$3,0,0,'Données projet'!$E$9+1,1))-AVERAGE(OFFSET($H$3,0,0,'Données projet'!$E$9+1,1))</f>
        <v>695.0879239758051</v>
      </c>
      <c r="T75" s="59">
        <f t="shared" si="88"/>
        <v>226.22150997227476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17.732013232543594</v>
      </c>
      <c r="AA75" s="21">
        <f>EXP(-LN(2)/25)*AA74+(1-EXP(-LN(2)/25))/(LN(2)/25)*Calculateur!V75*Calculateur!X75*VLOOKUP('Données projet'!$B$9,Paramètres!$A$1:$I$89,3,0)*0.475*44/12</f>
        <v>35.596332003230316</v>
      </c>
      <c r="AB75" s="21">
        <f>EXP(-LN(2)/2)*AB74+(1-EXP(-LN(2)/2))/(LN(2)/2)*V75*Y75*VLOOKUP('Données projet'!$B$9,Paramètres!$A$1:$I$89,3,0)*0.475*44/12</f>
        <v>0.86625063209753583</v>
      </c>
      <c r="AC75" s="22">
        <f t="shared" si="57"/>
        <v>54.194595867871442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385.02</v>
      </c>
      <c r="AG75" s="12">
        <f>VLOOKUP(A75,'Données projet'!$A$61:$I$81,9,0)</f>
        <v>13.374285714285715</v>
      </c>
      <c r="AH75" s="12">
        <f t="array" ref="AH75">INDEX(AG:AG,MIN(IF(ISNUMBER(AG75:AG271),ROW(AG75:AG271),"")))</f>
        <v>13.374285714285715</v>
      </c>
      <c r="AI75" s="13">
        <f>IF('Données projet'!$A$62&gt;35,AI74+AH75-AQ74,IF(A75&lt;'Données projet'!$A$62,$AF$205^A75,IF(A75='Données projet'!$A$62,'Données projet'!$B$62,AI74+AH75-AQ74)))</f>
        <v>385.0199999999997</v>
      </c>
      <c r="AJ75" s="13">
        <f>AI75*VLOOKUP('Données projet'!$B$10,Paramètres!$A$1:$I$89,3,0)*VLOOKUP('Données projet'!$B$10,Paramètres!$A$1:$I$89,5,0)</f>
        <v>324.34084799999977</v>
      </c>
      <c r="AK75" s="13">
        <f t="shared" si="89"/>
        <v>76.255842015925083</v>
      </c>
      <c r="AL75" s="20">
        <f t="shared" si="58"/>
        <v>697.7059017777359</v>
      </c>
      <c r="AM75" s="59">
        <f t="shared" si="59"/>
        <v>991.03923511106927</v>
      </c>
      <c r="AN75" s="59">
        <f ca="1">AVERAGE(OFFSET($AM$3,0,0,'Données projet'!$E$10+1,1))-AVERAGE(OFFSET($H$3,0,0,'Données projet'!$E$10+1,1))</f>
        <v>424.81155998881928</v>
      </c>
      <c r="AO75" s="59">
        <f t="shared" si="90"/>
        <v>277.34430416544575</v>
      </c>
      <c r="AP75" s="15">
        <f>IF(ISNA(VLOOKUP(A75,'Données projet'!$A$61:$I$81,3,0)),0,VLOOKUP(A75,'Données projet'!$A$61:$I$81,3,0))</f>
        <v>7</v>
      </c>
      <c r="AQ75" s="15">
        <f>IF(ISNA(VLOOKUP(A75,'Données projet'!$A$61:$I$81,4,0)),0,VLOOKUP(A75,'Données projet'!$A$61:$I$81,4,0))</f>
        <v>66.109999999999957</v>
      </c>
      <c r="AR75" s="16">
        <f>IF(ISNA(VLOOKUP(A75,'Données projet'!$A$61:$I$81,5,0)),0%,VLOOKUP(A75,'Données projet'!$A$61:$I$81,5,0)*VLOOKUP('Données projet'!$B$10,Paramètres!$A$1:$I$89,7,0))</f>
        <v>0.15049999999999999</v>
      </c>
      <c r="AS75" s="16">
        <f>IF(ISNA(VLOOKUP(A75,'Données projet'!$A$61:$I$81,6,0)),0%,VLOOKUP(A75,'Données projet'!$A$61:$I$81,6,0)*VLOOKUP('Données projet'!$B$10,Paramètres!$A$1:$I$89,7,0))</f>
        <v>8.6000000000000007E-2</v>
      </c>
      <c r="AT75" s="16">
        <f>IF(ISNA(VLOOKUP(A75,'Données projet'!$A$61:$I$81,7,0)),0%,VLOOKUP(A75,'Données projet'!$A$61:$I$81,7,0))</f>
        <v>0.1</v>
      </c>
      <c r="AU75" s="21">
        <f>EXP(-LN(2)/35)*AU74+(1-EXP(-LN(2)/35))/(LN(2)/35)*AQ75*AR75*VLOOKUP('Données projet'!$B$10,Paramètres!$A$1:$I$89,3,0)*0.475*44/12</f>
        <v>31.574899876505079</v>
      </c>
      <c r="AV75" s="21">
        <f>EXP(-LN(2)/25)*AV74+(1-EXP(-LN(2)/25))/(LN(2)/25)*Calculateur!AQ75*Calculateur!AS75*VLOOKUP('Données projet'!$B$10,Paramètres!$A$1:$I$89,3,0)*0.475*44/12</f>
        <v>28.496111263103195</v>
      </c>
      <c r="AW75" s="21">
        <f>EXP(-LN(2)/2)*AW74+(1-EXP(-LN(2)/2))/(LN(2)/2)*AQ75*AT75*VLOOKUP('Données projet'!$B$10,Paramètres!$A$1:$I$89,3,0)*0.475*44/12</f>
        <v>5.689319461761932</v>
      </c>
      <c r="AX75" s="21">
        <f t="shared" si="60"/>
        <v>65.7603306013702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295.57339500000029</v>
      </c>
      <c r="BF75" s="13">
        <f t="shared" si="91"/>
        <v>70.247675710683964</v>
      </c>
      <c r="BG75" s="20">
        <f t="shared" si="61"/>
        <v>637.13836482110844</v>
      </c>
      <c r="BH75" s="59">
        <f t="shared" si="62"/>
        <v>930.47169815444181</v>
      </c>
      <c r="BI75" s="59">
        <f ca="1">AVERAGE(OFFSET($BH$3,0,0,'Données projet'!$E$11+1,1))-AVERAGE(OFFSET($H$3,0,0,'Données projet'!$E$11+1,1))</f>
        <v>706.69239849991595</v>
      </c>
      <c r="BJ75" s="59">
        <f t="shared" si="92"/>
        <v>310.59887275116529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8.041349354846961</v>
      </c>
      <c r="BQ75" s="21">
        <f>EXP(-LN(2)/25)*BQ74+(1-EXP(-LN(2)/25))/(LN(2)/25)*Calculateur!BL75*Calculateur!BN75*VLOOKUP('Données projet'!$B$11,Paramètres!$A$1:$I$89,3,0)*0.475*44/12</f>
        <v>32.091084493862503</v>
      </c>
      <c r="BR75" s="21">
        <f>EXP(-LN(2)/2)*BR74+(1-EXP(-LN(2)/2))/(LN(2)/2)*BL75*BO75*VLOOKUP('Données projet'!$B$11,Paramètres!$A$1:$I$89,3,0)*0.475*44/12</f>
        <v>0.71717866862721313</v>
      </c>
      <c r="BS75" s="22">
        <f t="shared" si="63"/>
        <v>40.849612517336681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9.65625</v>
      </c>
      <c r="BY75" s="12">
        <f>IF('Données projet'!$A$114&gt;35,BY74+BX75-CG74,IF(A75&lt;'Données projet'!$A$114,$BV$205^A75,IF(A75='Données projet'!$A$114,'Données projet'!$B$114,BY74+BX75-CG74)))</f>
        <v>244.79124999999996</v>
      </c>
      <c r="BZ75" s="13">
        <f>BY75*VLOOKUP('Données projet'!$B$12,Paramètres!$A$1:$I$89,3,0)*VLOOKUP('Données projet'!$B$12,Paramètres!$A$1:$I$89,5,0)</f>
        <v>232.94335349999997</v>
      </c>
      <c r="CA75" s="13">
        <f t="shared" si="93"/>
        <v>56.918631610926248</v>
      </c>
      <c r="CB75" s="20">
        <f t="shared" si="64"/>
        <v>504.84295740152987</v>
      </c>
      <c r="CC75" s="59">
        <f t="shared" si="65"/>
        <v>798.17629073486319</v>
      </c>
      <c r="CD75" s="59">
        <f ca="1">AVERAGE(OFFSET($CC$3,0,0,'Données projet'!$E$12+1,1))-AVERAGE(OFFSET($H$3,0,0,'Données projet'!$E$12+1,1))</f>
        <v>449.28947235329758</v>
      </c>
      <c r="CE75" s="59">
        <f t="shared" si="94"/>
        <v>289.36994109443964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15.948820830077015</v>
      </c>
      <c r="CL75" s="21">
        <f>EXP(-LN(2)/25)*CL74+(1-EXP(-LN(2)/25))/(LN(2)/25)*Calculateur!CG75*Calculateur!CI75*VLOOKUP('Données projet'!$B$12,Paramètres!$A$1:$I$89,3,0)*0.475*44/12</f>
        <v>25.421915738167769</v>
      </c>
      <c r="CM75" s="21">
        <f>EXP(-LN(2)/2)*CM74+(1-EXP(-LN(2)/2))/(LN(2)/2)*CG75*CJ75*VLOOKUP('Données projet'!$B$12,Paramètres!$A$1:$I$89,3,0)*0.475*44/12</f>
        <v>0.72146987400643481</v>
      </c>
      <c r="CN75" s="22">
        <f t="shared" si="66"/>
        <v>42.092206442251218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206.20000000000002</v>
      </c>
      <c r="CU75" s="17">
        <f>CT75*VLOOKUP('Données projet'!$B$13,Paramètres!$A$1:$I$89,3,0)*VLOOKUP('Données projet'!$B$13,Paramètres!$A$1:$I$89,5,0)</f>
        <v>180.13632000000004</v>
      </c>
      <c r="CV75" s="13">
        <f t="shared" si="95"/>
        <v>45.352513518602144</v>
      </c>
      <c r="CW75" s="20">
        <f t="shared" si="67"/>
        <v>392.72638504489879</v>
      </c>
      <c r="CX75" s="59">
        <f t="shared" si="68"/>
        <v>686.05971837823211</v>
      </c>
      <c r="CY75" s="59">
        <f ca="1">AVERAGE(OFFSET($CX$3,0,0,'Données projet'!$E$13+1,1))-AVERAGE(OFFSET($H$3,0,0,'Données projet'!$E$13+1,1))</f>
        <v>261.93797831021766</v>
      </c>
      <c r="CZ75" s="59">
        <f t="shared" si="96"/>
        <v>256.90876395053073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4.8643160688475113</v>
      </c>
      <c r="DG75" s="21">
        <f>EXP(-LN(2)/25)*DG74+(1-EXP(-LN(2)/25))/(LN(2)/25)*Calculateur!DB75*Calculateur!DD75*VLOOKUP('Données projet'!$B$13,Paramètres!$A$1:$I$89,3,0)*0.475*44/12</f>
        <v>9.7448161072352413</v>
      </c>
      <c r="DH75" s="21">
        <f>EXP(-LN(2)/2)*DH74+(1-EXP(-LN(2)/2))/(LN(2)/2)*DB75*DE75*VLOOKUP('Données projet'!$B$13,Paramètres!$A$1:$I$89,3,0)*0.475*44/12</f>
        <v>1.0069234587904103</v>
      </c>
      <c r="DI75" s="22">
        <f t="shared" si="69"/>
        <v>15.616055634873163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12.795000000000002</v>
      </c>
      <c r="N76" s="13">
        <f>IF('Données projet'!$A$36&gt;35,N75+M76-V75,IF(A76&lt;'Données projet'!$A$36,$K$205^A76,IF(A76='Données projet'!$A$36,'Données projet'!$B$36,N75+M76-V75)))</f>
        <v>402.00500000000011</v>
      </c>
      <c r="O76" s="13">
        <f>N76*VLOOKUP('Données projet'!$B$9,Paramètres!$A$1:$I$89,3,0)*VLOOKUP('Données projet'!$B$9,Paramètres!$A$1:$I$89,5,0)</f>
        <v>363.73412400000007</v>
      </c>
      <c r="P76" s="13">
        <f t="shared" si="87"/>
        <v>84.384143854645217</v>
      </c>
      <c r="Q76" s="20">
        <f t="shared" si="54"/>
        <v>780.47264984684045</v>
      </c>
      <c r="R76" s="59">
        <f t="shared" si="55"/>
        <v>1073.8059831801738</v>
      </c>
      <c r="S76" s="59">
        <f ca="1">AVERAGE(OFFSET($R$3,0,0,'Données projet'!$E$9+1,1))-AVERAGE(OFFSET($H$3,0,0,'Données projet'!$E$9+1,1))</f>
        <v>695.0879239758051</v>
      </c>
      <c r="T76" s="59">
        <f t="shared" si="88"/>
        <v>226.22150997227476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17.384299268513548</v>
      </c>
      <c r="AA76" s="21">
        <f>EXP(-LN(2)/25)*AA75+(1-EXP(-LN(2)/25))/(LN(2)/25)*Calculateur!V76*Calculateur!X76*VLOOKUP('Données projet'!$B$9,Paramètres!$A$1:$I$89,3,0)*0.475*44/12</f>
        <v>34.622948432672239</v>
      </c>
      <c r="AB76" s="21">
        <f>EXP(-LN(2)/2)*AB75+(1-EXP(-LN(2)/2))/(LN(2)/2)*V76*Y76*VLOOKUP('Données projet'!$B$9,Paramètres!$A$1:$I$89,3,0)*0.475*44/12</f>
        <v>0.61253169616330083</v>
      </c>
      <c r="AC76" s="22">
        <f t="shared" si="57"/>
        <v>52.619779397349092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12.707777777777771</v>
      </c>
      <c r="AI76" s="13">
        <f>IF('Données projet'!$A$62&gt;35,AI75+AH76-AQ75,IF(A76&lt;'Données projet'!$A$62,$AF$205^A76,IF(A76='Données projet'!$A$62,'Données projet'!$B$62,AI75+AH76-AQ75)))</f>
        <v>331.61777777777752</v>
      </c>
      <c r="AJ76" s="13">
        <f>AI76*VLOOKUP('Données projet'!$B$10,Paramètres!$A$1:$I$89,3,0)*VLOOKUP('Données projet'!$B$10,Paramètres!$A$1:$I$89,5,0)</f>
        <v>279.35481599999986</v>
      </c>
      <c r="AK76" s="13">
        <f t="shared" si="89"/>
        <v>66.830644654544344</v>
      </c>
      <c r="AL76" s="20">
        <f t="shared" si="58"/>
        <v>602.93967730666452</v>
      </c>
      <c r="AM76" s="59">
        <f t="shared" si="59"/>
        <v>896.27301063999789</v>
      </c>
      <c r="AN76" s="59">
        <f ca="1">AVERAGE(OFFSET($AM$3,0,0,'Données projet'!$E$10+1,1))-AVERAGE(OFFSET($H$3,0,0,'Données projet'!$E$10+1,1))</f>
        <v>424.81155998881928</v>
      </c>
      <c r="AO76" s="59">
        <f t="shared" si="90"/>
        <v>277.34430416544575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30.955735348714093</v>
      </c>
      <c r="AV76" s="21">
        <f>EXP(-LN(2)/25)*AV75+(1-EXP(-LN(2)/25))/(LN(2)/25)*Calculateur!AQ76*Calculateur!AS76*VLOOKUP('Données projet'!$B$10,Paramètres!$A$1:$I$89,3,0)*0.475*44/12</f>
        <v>27.716883602068275</v>
      </c>
      <c r="AW76" s="21">
        <f>EXP(-LN(2)/2)*AW75+(1-EXP(-LN(2)/2))/(LN(2)/2)*AQ76*AT76*VLOOKUP('Données projet'!$B$10,Paramètres!$A$1:$I$89,3,0)*0.475*44/12</f>
        <v>4.0229563717484611</v>
      </c>
      <c r="AX76" s="21">
        <f t="shared" si="60"/>
        <v>62.695575322530829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305.44341750000029</v>
      </c>
      <c r="BF76" s="13">
        <f t="shared" si="91"/>
        <v>72.316415847426583</v>
      </c>
      <c r="BG76" s="20">
        <f t="shared" si="61"/>
        <v>657.93170974676843</v>
      </c>
      <c r="BH76" s="59">
        <f t="shared" si="62"/>
        <v>951.2650430801018</v>
      </c>
      <c r="BI76" s="59">
        <f ca="1">AVERAGE(OFFSET($BH$3,0,0,'Données projet'!$E$11+1,1))-AVERAGE(OFFSET($H$3,0,0,'Données projet'!$E$11+1,1))</f>
        <v>706.69239849991595</v>
      </c>
      <c r="BJ76" s="59">
        <f t="shared" si="92"/>
        <v>310.59887275116529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7.883663398737216</v>
      </c>
      <c r="BQ76" s="21">
        <f>EXP(-LN(2)/25)*BQ75+(1-EXP(-LN(2)/25))/(LN(2)/25)*Calculateur!BL76*Calculateur!BN76*VLOOKUP('Données projet'!$B$11,Paramètres!$A$1:$I$89,3,0)*0.475*44/12</f>
        <v>31.213552100781044</v>
      </c>
      <c r="BR76" s="21">
        <f>EXP(-LN(2)/2)*BR75+(1-EXP(-LN(2)/2))/(LN(2)/2)*BL76*BO76*VLOOKUP('Données projet'!$B$11,Paramètres!$A$1:$I$89,3,0)*0.475*44/12</f>
        <v>0.50712189990864232</v>
      </c>
      <c r="BS76" s="22">
        <f t="shared" si="63"/>
        <v>39.604337399426896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9.65625</v>
      </c>
      <c r="BY76" s="12">
        <f>IF('Données projet'!$A$114&gt;35,BY75+BX76-CG75,IF(A76&lt;'Données projet'!$A$114,$BV$205^A76,IF(A76='Données projet'!$A$114,'Données projet'!$B$114,BY75+BX76-CG75)))</f>
        <v>254.44749999999996</v>
      </c>
      <c r="BZ76" s="13">
        <f>BY76*VLOOKUP('Données projet'!$B$12,Paramètres!$A$1:$I$89,3,0)*VLOOKUP('Données projet'!$B$12,Paramètres!$A$1:$I$89,5,0)</f>
        <v>242.13224099999996</v>
      </c>
      <c r="CA76" s="13">
        <f t="shared" si="93"/>
        <v>58.898056089565813</v>
      </c>
      <c r="CB76" s="20">
        <f t="shared" si="64"/>
        <v>524.29443409766043</v>
      </c>
      <c r="CC76" s="59">
        <f t="shared" si="65"/>
        <v>817.6277674309938</v>
      </c>
      <c r="CD76" s="59">
        <f ca="1">AVERAGE(OFFSET($CC$3,0,0,'Données projet'!$E$12+1,1))-AVERAGE(OFFSET($H$3,0,0,'Données projet'!$E$12+1,1))</f>
        <v>449.28947235329758</v>
      </c>
      <c r="CE76" s="59">
        <f t="shared" si="94"/>
        <v>289.36994109443964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15.636074181419369</v>
      </c>
      <c r="CL76" s="21">
        <f>EXP(-LN(2)/25)*CL75+(1-EXP(-LN(2)/25))/(LN(2)/25)*Calculateur!CG76*Calculateur!CI76*VLOOKUP('Données projet'!$B$12,Paramètres!$A$1:$I$89,3,0)*0.475*44/12</f>
        <v>24.726752115427125</v>
      </c>
      <c r="CM76" s="21">
        <f>EXP(-LN(2)/2)*CM75+(1-EXP(-LN(2)/2))/(LN(2)/2)*CG76*CJ76*VLOOKUP('Données projet'!$B$12,Paramètres!$A$1:$I$89,3,0)*0.475*44/12</f>
        <v>0.51015624033175411</v>
      </c>
      <c r="CN76" s="22">
        <f t="shared" si="66"/>
        <v>40.872982537178245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208.8</v>
      </c>
      <c r="CU76" s="17">
        <f>CT76*VLOOKUP('Données projet'!$B$13,Paramètres!$A$1:$I$89,3,0)*VLOOKUP('Données projet'!$B$13,Paramètres!$A$1:$I$89,5,0)</f>
        <v>182.40768000000003</v>
      </c>
      <c r="CV76" s="13">
        <f t="shared" si="95"/>
        <v>45.857435663065921</v>
      </c>
      <c r="CW76" s="20">
        <f t="shared" si="67"/>
        <v>397.56174311317318</v>
      </c>
      <c r="CX76" s="59">
        <f t="shared" si="68"/>
        <v>690.89507644650644</v>
      </c>
      <c r="CY76" s="59">
        <f ca="1">AVERAGE(OFFSET($CX$3,0,0,'Données projet'!$E$13+1,1))-AVERAGE(OFFSET($H$3,0,0,'Données projet'!$E$13+1,1))</f>
        <v>261.93797831021766</v>
      </c>
      <c r="CZ76" s="59">
        <f t="shared" si="96"/>
        <v>256.90876395053073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4.7689297976772522</v>
      </c>
      <c r="DG76" s="21">
        <f>EXP(-LN(2)/25)*DG75+(1-EXP(-LN(2)/25))/(LN(2)/25)*Calculateur!DB76*Calculateur!DD76*VLOOKUP('Données projet'!$B$13,Paramètres!$A$1:$I$89,3,0)*0.475*44/12</f>
        <v>9.4783435983252868</v>
      </c>
      <c r="DH76" s="21">
        <f>EXP(-LN(2)/2)*DH75+(1-EXP(-LN(2)/2))/(LN(2)/2)*DB76*DE76*VLOOKUP('Données projet'!$B$13,Paramètres!$A$1:$I$89,3,0)*0.475*44/12</f>
        <v>0.71200240584651231</v>
      </c>
      <c r="DI76" s="22">
        <f t="shared" si="69"/>
        <v>14.959275801849051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12.795000000000002</v>
      </c>
      <c r="M77" s="12">
        <f t="array" ref="M77">INDEX(L:L,MIN(IF(ISNUMBER(L77:L273),ROW(L77:L273),"")))</f>
        <v>12.795000000000002</v>
      </c>
      <c r="N77" s="13">
        <f>IF('Données projet'!$A$36&gt;35,N76+M77-V76,IF(A77&lt;'Données projet'!$A$36,$K$205^A77,IF(A77='Données projet'!$A$36,'Données projet'!$B$36,N76+M77-V76)))</f>
        <v>414.80000000000013</v>
      </c>
      <c r="O77" s="13">
        <f>N77*VLOOKUP('Données projet'!$B$9,Paramètres!$A$1:$I$89,3,0)*VLOOKUP('Données projet'!$B$9,Paramètres!$A$1:$I$89,5,0)</f>
        <v>375.31104000000011</v>
      </c>
      <c r="P77" s="13">
        <f t="shared" si="87"/>
        <v>86.752950168429535</v>
      </c>
      <c r="Q77" s="20">
        <f t="shared" si="54"/>
        <v>804.76144954334825</v>
      </c>
      <c r="R77" s="59">
        <f t="shared" si="55"/>
        <v>1098.0947828766816</v>
      </c>
      <c r="S77" s="59">
        <f ca="1">AVERAGE(OFFSET($R$3,0,0,'Données projet'!$E$9+1,1))-AVERAGE(OFFSET($H$3,0,0,'Données projet'!$E$9+1,1))</f>
        <v>695.0879239758051</v>
      </c>
      <c r="T77" s="59">
        <f t="shared" si="88"/>
        <v>226.22150997227476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75.29000000000002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28.377150387342887</v>
      </c>
      <c r="AA77" s="21">
        <f>EXP(-LN(2)/25)*AA76+(1-EXP(-LN(2)/25))/(LN(2)/25)*Calculateur!V77*Calculateur!X77*VLOOKUP('Données projet'!$B$9,Paramètres!$A$1:$I$89,3,0)*0.475*44/12</f>
        <v>40.127108569984337</v>
      </c>
      <c r="AB77" s="21">
        <f>EXP(-LN(2)/2)*AB76+(1-EXP(-LN(2)/2))/(LN(2)/2)*V77*Y77*VLOOKUP('Données projet'!$B$9,Paramètres!$A$1:$I$89,3,0)*0.475*44/12</f>
        <v>6.8606563499786484</v>
      </c>
      <c r="AC77" s="22">
        <f t="shared" si="57"/>
        <v>75.364915307305878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12.707777777777771</v>
      </c>
      <c r="AI77" s="13">
        <f>IF('Données projet'!$A$62&gt;35,AI76+AH77-AQ76,IF(A77&lt;'Données projet'!$A$62,$AF$205^A77,IF(A77='Données projet'!$A$62,'Données projet'!$B$62,AI76+AH77-AQ76)))</f>
        <v>344.3255555555553</v>
      </c>
      <c r="AJ77" s="13">
        <f>AI77*VLOOKUP('Données projet'!$B$10,Paramètres!$A$1:$I$89,3,0)*VLOOKUP('Données projet'!$B$10,Paramètres!$A$1:$I$89,5,0)</f>
        <v>290.05984799999982</v>
      </c>
      <c r="AK77" s="13">
        <f t="shared" si="89"/>
        <v>69.088556925071103</v>
      </c>
      <c r="AL77" s="20">
        <f t="shared" si="58"/>
        <v>625.51680524449841</v>
      </c>
      <c r="AM77" s="59">
        <f t="shared" si="59"/>
        <v>918.85013857783179</v>
      </c>
      <c r="AN77" s="59">
        <f ca="1">AVERAGE(OFFSET($AM$3,0,0,'Données projet'!$E$10+1,1))-AVERAGE(OFFSET($H$3,0,0,'Données projet'!$E$10+1,1))</f>
        <v>424.81155998881928</v>
      </c>
      <c r="AO77" s="59">
        <f t="shared" si="90"/>
        <v>277.34430416544575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30.348712259660015</v>
      </c>
      <c r="AV77" s="21">
        <f>EXP(-LN(2)/25)*AV76+(1-EXP(-LN(2)/25))/(LN(2)/25)*Calculateur!AQ77*Calculateur!AS77*VLOOKUP('Données projet'!$B$10,Paramètres!$A$1:$I$89,3,0)*0.475*44/12</f>
        <v>26.958963962402159</v>
      </c>
      <c r="AW77" s="21">
        <f>EXP(-LN(2)/2)*AW76+(1-EXP(-LN(2)/2))/(LN(2)/2)*AQ77*AT77*VLOOKUP('Données projet'!$B$10,Paramètres!$A$1:$I$89,3,0)*0.475*44/12</f>
        <v>2.8446597308809665</v>
      </c>
      <c r="AX77" s="21">
        <f t="shared" si="60"/>
        <v>60.152335952943133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315.31344000000024</v>
      </c>
      <c r="BF77" s="13">
        <f t="shared" si="91"/>
        <v>74.377387976510789</v>
      </c>
      <c r="BG77" s="20">
        <f t="shared" si="61"/>
        <v>678.71152539242337</v>
      </c>
      <c r="BH77" s="59">
        <f t="shared" si="62"/>
        <v>972.04485872575674</v>
      </c>
      <c r="BI77" s="59">
        <f ca="1">AVERAGE(OFFSET($BH$3,0,0,'Données projet'!$E$11+1,1))-AVERAGE(OFFSET($H$3,0,0,'Données projet'!$E$11+1,1))</f>
        <v>706.69239849991595</v>
      </c>
      <c r="BJ77" s="59">
        <f t="shared" si="92"/>
        <v>310.59887275116529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16.390256852917666</v>
      </c>
      <c r="BQ77" s="21">
        <f>EXP(-LN(2)/25)*BQ76+(1-EXP(-LN(2)/25))/(LN(2)/25)*Calculateur!BL77*Calculateur!BN77*VLOOKUP('Données projet'!$B$11,Paramètres!$A$1:$I$89,3,0)*0.475*44/12</f>
        <v>35.289778671626223</v>
      </c>
      <c r="BR77" s="21">
        <f>EXP(-LN(2)/2)*BR76+(1-EXP(-LN(2)/2))/(LN(2)/2)*BL77*BO77*VLOOKUP('Données projet'!$B$11,Paramètres!$A$1:$I$89,3,0)*0.475*44/12</f>
        <v>5.2704734544118432</v>
      </c>
      <c r="BS77" s="22">
        <f t="shared" si="63"/>
        <v>56.950508978955732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9.65625</v>
      </c>
      <c r="BY77" s="12">
        <f>IF('Données projet'!$A$114&gt;35,BY76+BX77-CG76,IF(A77&lt;'Données projet'!$A$114,$BV$205^A77,IF(A77='Données projet'!$A$114,'Données projet'!$B$114,BY76+BX77-CG76)))</f>
        <v>264.10374999999999</v>
      </c>
      <c r="BZ77" s="13">
        <f>BY77*VLOOKUP('Données projet'!$B$12,Paramètres!$A$1:$I$89,3,0)*VLOOKUP('Données projet'!$B$12,Paramètres!$A$1:$I$89,5,0)</f>
        <v>251.32112849999999</v>
      </c>
      <c r="CA77" s="13">
        <f t="shared" si="93"/>
        <v>60.868753799109797</v>
      </c>
      <c r="CB77" s="20">
        <f t="shared" si="64"/>
        <v>543.73071167094952</v>
      </c>
      <c r="CC77" s="59">
        <f t="shared" si="65"/>
        <v>837.06404500428289</v>
      </c>
      <c r="CD77" s="59">
        <f ca="1">AVERAGE(OFFSET($CC$3,0,0,'Données projet'!$E$12+1,1))-AVERAGE(OFFSET($H$3,0,0,'Données projet'!$E$12+1,1))</f>
        <v>449.28947235329758</v>
      </c>
      <c r="CE77" s="59">
        <f t="shared" si="94"/>
        <v>289.36994109443964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15.329460303785279</v>
      </c>
      <c r="CL77" s="21">
        <f>EXP(-LN(2)/25)*CL76+(1-EXP(-LN(2)/25))/(LN(2)/25)*Calculateur!CG77*Calculateur!CI77*VLOOKUP('Données projet'!$B$12,Paramètres!$A$1:$I$89,3,0)*0.475*44/12</f>
        <v>24.050597778507392</v>
      </c>
      <c r="CM77" s="21">
        <f>EXP(-LN(2)/2)*CM76+(1-EXP(-LN(2)/2))/(LN(2)/2)*CG77*CJ77*VLOOKUP('Données projet'!$B$12,Paramètres!$A$1:$I$89,3,0)*0.475*44/12</f>
        <v>0.3607349370032174</v>
      </c>
      <c r="CN77" s="22">
        <f t="shared" si="66"/>
        <v>39.740793019295886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211.4</v>
      </c>
      <c r="CU77" s="17">
        <f>CT77*VLOOKUP('Données projet'!$B$13,Paramètres!$A$1:$I$89,3,0)*VLOOKUP('Données projet'!$B$13,Paramètres!$A$1:$I$89,5,0)</f>
        <v>184.67904000000004</v>
      </c>
      <c r="CV77" s="13">
        <f t="shared" si="95"/>
        <v>46.361626470742223</v>
      </c>
      <c r="CW77" s="20">
        <f t="shared" si="67"/>
        <v>402.39582743654279</v>
      </c>
      <c r="CX77" s="59">
        <f t="shared" si="68"/>
        <v>695.7291607698761</v>
      </c>
      <c r="CY77" s="59">
        <f ca="1">AVERAGE(OFFSET($CX$3,0,0,'Données projet'!$E$13+1,1))-AVERAGE(OFFSET($H$3,0,0,'Données projet'!$E$13+1,1))</f>
        <v>261.93797831021766</v>
      </c>
      <c r="CZ77" s="59">
        <f t="shared" si="96"/>
        <v>256.90876395053073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4.6754139931047618</v>
      </c>
      <c r="DG77" s="21">
        <f>EXP(-LN(2)/25)*DG76+(1-EXP(-LN(2)/25))/(LN(2)/25)*Calculateur!DB77*Calculateur!DD77*VLOOKUP('Données projet'!$B$13,Paramètres!$A$1:$I$89,3,0)*0.475*44/12</f>
        <v>9.219157794184655</v>
      </c>
      <c r="DH77" s="21">
        <f>EXP(-LN(2)/2)*DH76+(1-EXP(-LN(2)/2))/(LN(2)/2)*DB77*DE77*VLOOKUP('Données projet'!$B$13,Paramètres!$A$1:$I$89,3,0)*0.475*44/12</f>
        <v>0.50346172939520517</v>
      </c>
      <c r="DI77" s="22">
        <f t="shared" si="69"/>
        <v>14.398033516684622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12.082500000000003</v>
      </c>
      <c r="N78" s="13">
        <f>IF('Données projet'!$A$36&gt;35,N77+M78-V77,IF(A78&lt;'Données projet'!$A$36,$K$205^A78,IF(A78='Données projet'!$A$36,'Données projet'!$B$36,N77+M78-V77)))</f>
        <v>351.59250000000009</v>
      </c>
      <c r="O78" s="13">
        <f>N78*VLOOKUP('Données projet'!$B$9,Paramètres!$A$1:$I$89,3,0)*VLOOKUP('Données projet'!$B$9,Paramètres!$A$1:$I$89,5,0)</f>
        <v>318.12089400000008</v>
      </c>
      <c r="P78" s="13">
        <f t="shared" si="87"/>
        <v>74.962235198318652</v>
      </c>
      <c r="Q78" s="20">
        <f t="shared" si="54"/>
        <v>684.6197833537384</v>
      </c>
      <c r="R78" s="59">
        <f t="shared" si="55"/>
        <v>977.95311668707177</v>
      </c>
      <c r="S78" s="59">
        <f ca="1">AVERAGE(OFFSET($R$3,0,0,'Données projet'!$E$9+1,1))-AVERAGE(OFFSET($H$3,0,0,'Données projet'!$E$9+1,1))</f>
        <v>695.0879239758051</v>
      </c>
      <c r="T78" s="59">
        <f t="shared" si="88"/>
        <v>226.22150997227476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27.820691776599773</v>
      </c>
      <c r="AA78" s="21">
        <f>EXP(-LN(2)/25)*AA77+(1-EXP(-LN(2)/25))/(LN(2)/25)*Calculateur!V78*Calculateur!X78*VLOOKUP('Données projet'!$B$9,Paramètres!$A$1:$I$89,3,0)*0.475*44/12</f>
        <v>39.029830675945185</v>
      </c>
      <c r="AB78" s="21">
        <f>EXP(-LN(2)/2)*AB77+(1-EXP(-LN(2)/2))/(LN(2)/2)*V78*Y78*VLOOKUP('Données projet'!$B$9,Paramètres!$A$1:$I$89,3,0)*0.475*44/12</f>
        <v>4.8512166284604499</v>
      </c>
      <c r="AC78" s="22">
        <f t="shared" si="57"/>
        <v>71.701739081005414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12.707777777777771</v>
      </c>
      <c r="AI78" s="13">
        <f>IF('Données projet'!$A$62&gt;35,AI77+AH78-AQ77,IF(A78&lt;'Données projet'!$A$62,$AF$205^A78,IF(A78='Données projet'!$A$62,'Données projet'!$B$62,AI77+AH78-AQ77)))</f>
        <v>357.03333333333308</v>
      </c>
      <c r="AJ78" s="13">
        <f>AI78*VLOOKUP('Données projet'!$B$10,Paramètres!$A$1:$I$89,3,0)*VLOOKUP('Données projet'!$B$10,Paramètres!$A$1:$I$89,5,0)</f>
        <v>300.76487999999978</v>
      </c>
      <c r="AK78" s="13">
        <f t="shared" si="89"/>
        <v>71.336787932050342</v>
      </c>
      <c r="AL78" s="20">
        <f t="shared" si="58"/>
        <v>648.07707164832061</v>
      </c>
      <c r="AM78" s="59">
        <f t="shared" si="59"/>
        <v>941.41040498165398</v>
      </c>
      <c r="AN78" s="59">
        <f ca="1">AVERAGE(OFFSET($AM$3,0,0,'Données projet'!$E$10+1,1))-AVERAGE(OFFSET($H$3,0,0,'Données projet'!$E$10+1,1))</f>
        <v>424.81155998881928</v>
      </c>
      <c r="AO78" s="59">
        <f t="shared" si="90"/>
        <v>277.34430416544575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29.753592523134763</v>
      </c>
      <c r="AV78" s="21">
        <f>EXP(-LN(2)/25)*AV77+(1-EXP(-LN(2)/25))/(LN(2)/25)*Calculateur!AQ78*Calculateur!AS78*VLOOKUP('Données projet'!$B$10,Paramètres!$A$1:$I$89,3,0)*0.475*44/12</f>
        <v>26.221769675139971</v>
      </c>
      <c r="AW78" s="21">
        <f>EXP(-LN(2)/2)*AW77+(1-EXP(-LN(2)/2))/(LN(2)/2)*AQ78*AT78*VLOOKUP('Données projet'!$B$10,Paramètres!$A$1:$I$89,3,0)*0.475*44/12</f>
        <v>2.011478185874231</v>
      </c>
      <c r="AX78" s="21">
        <f t="shared" si="60"/>
        <v>57.986840384148969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272.93533800000034</v>
      </c>
      <c r="BF78" s="13">
        <f t="shared" si="91"/>
        <v>65.471829519996945</v>
      </c>
      <c r="BG78" s="20">
        <f t="shared" si="61"/>
        <v>589.39248343066197</v>
      </c>
      <c r="BH78" s="59">
        <f t="shared" si="62"/>
        <v>882.72581676399523</v>
      </c>
      <c r="BI78" s="59">
        <f ca="1">AVERAGE(OFFSET($BH$3,0,0,'Données projet'!$E$11+1,1))-AVERAGE(OFFSET($H$3,0,0,'Données projet'!$E$11+1,1))</f>
        <v>706.69239849991595</v>
      </c>
      <c r="BJ78" s="59">
        <f t="shared" si="92"/>
        <v>310.59887275116529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16.068853913101503</v>
      </c>
      <c r="BQ78" s="21">
        <f>EXP(-LN(2)/25)*BQ77+(1-EXP(-LN(2)/25))/(LN(2)/25)*Calculateur!BL78*Calculateur!BN78*VLOOKUP('Données projet'!$B$11,Paramètres!$A$1:$I$89,3,0)*0.475*44/12</f>
        <v>34.324777818041802</v>
      </c>
      <c r="BR78" s="21">
        <f>EXP(-LN(2)/2)*BR77+(1-EXP(-LN(2)/2))/(LN(2)/2)*BL78*BO78*VLOOKUP('Données projet'!$B$11,Paramètres!$A$1:$I$89,3,0)*0.475*44/12</f>
        <v>3.7267875196783029</v>
      </c>
      <c r="BS78" s="22">
        <f t="shared" si="63"/>
        <v>54.120419250821605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273.76</v>
      </c>
      <c r="BW78" s="12">
        <f>VLOOKUP(A78,'Données projet'!$A$113:$I$133,9,0)</f>
        <v>9.65625</v>
      </c>
      <c r="BX78" s="12">
        <f t="array" ref="BX78">INDEX(BW:BW,MIN(IF(ISNUMBER(BW78:BW274),ROW(BW78:BW274),"")))</f>
        <v>9.65625</v>
      </c>
      <c r="BY78" s="12">
        <f>IF('Données projet'!$A$114&gt;35,BY77+BX78-CG77,IF(A78&lt;'Données projet'!$A$114,$BV$205^A78,IF(A78='Données projet'!$A$114,'Données projet'!$B$114,BY77+BX78-CG77)))</f>
        <v>273.76</v>
      </c>
      <c r="BZ78" s="13">
        <f>BY78*VLOOKUP('Données projet'!$B$12,Paramètres!$A$1:$I$89,3,0)*VLOOKUP('Données projet'!$B$12,Paramètres!$A$1:$I$89,5,0)</f>
        <v>260.51001600000001</v>
      </c>
      <c r="CA78" s="13">
        <f t="shared" si="93"/>
        <v>62.831080354761788</v>
      </c>
      <c r="CB78" s="20">
        <f t="shared" si="64"/>
        <v>563.15240948454345</v>
      </c>
      <c r="CC78" s="59">
        <f t="shared" si="65"/>
        <v>856.48574281787683</v>
      </c>
      <c r="CD78" s="59">
        <f ca="1">AVERAGE(OFFSET($CC$3,0,0,'Données projet'!$E$12+1,1))-AVERAGE(OFFSET($H$3,0,0,'Données projet'!$E$12+1,1))</f>
        <v>449.28947235329758</v>
      </c>
      <c r="CE78" s="59">
        <f t="shared" si="94"/>
        <v>289.36994109443964</v>
      </c>
      <c r="CF78" s="15">
        <f>IF(ISNA(VLOOKUP(A78,'Données projet'!$A$113:$I$133,3,0)),0,VLOOKUP(A78,'Données projet'!$A$113:$I$133,3,0))</f>
        <v>6</v>
      </c>
      <c r="CG78" s="15">
        <f>IF(ISNA(VLOOKUP(A78,'Données projet'!$A$113:$I$133,4,0)),0,VLOOKUP(A78,'Données projet'!$A$113:$I$133,4,0))</f>
        <v>43.519999999999982</v>
      </c>
      <c r="CH78" s="16">
        <f>IF(ISNA(VLOOKUP(A78,'Données projet'!$A$113:$I$133,5,0)),0%,VLOOKUP(A78,'Données projet'!$A$113:$I$133,5,0)*VLOOKUP('Données projet'!$B$12,Paramètres!$A$1:$I$89,7,0))</f>
        <v>0.15049999999999999</v>
      </c>
      <c r="CI78" s="16">
        <f>IF(ISNA(VLOOKUP(A78,'Données projet'!$A$113:$I$133,6,0)),0%,VLOOKUP(A78,'Données projet'!$A$113:$I$133,6,0)*VLOOKUP('Données projet'!$B$12,Paramètres!$A$1:$I$89,7,0))</f>
        <v>8.6000000000000007E-2</v>
      </c>
      <c r="CJ78" s="16">
        <f>IF(ISNA(VLOOKUP(A78,'Données projet'!$A$113:$I$133,7,0)),0%,VLOOKUP(A78,'Données projet'!$A$113:$I$133,7,0))</f>
        <v>0.1</v>
      </c>
      <c r="CK78" s="21">
        <f>EXP(-LN(2)/35)*CK77+(1-EXP(-LN(2)/35))/(LN(2)/35)*CG78*CH78*VLOOKUP('Données projet'!$B$12,Paramètres!$A$1:$I$89,3,0)*0.475*44/12</f>
        <v>21.918981231749719</v>
      </c>
      <c r="CL78" s="21">
        <f>EXP(-LN(2)/25)*CL77+(1-EXP(-LN(2)/25))/(LN(2)/25)*Calculateur!CG78*Calculateur!CI78*VLOOKUP('Données projet'!$B$12,Paramètres!$A$1:$I$89,3,0)*0.475*44/12</f>
        <v>27.314643350435777</v>
      </c>
      <c r="CM78" s="21">
        <f>EXP(-LN(2)/2)*CM77+(1-EXP(-LN(2)/2))/(LN(2)/2)*CG78*CJ78*VLOOKUP('Données projet'!$B$12,Paramètres!$A$1:$I$89,3,0)*0.475*44/12</f>
        <v>4.1625657625221733</v>
      </c>
      <c r="CN78" s="22">
        <f t="shared" si="66"/>
        <v>53.396190344707669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214</v>
      </c>
      <c r="CU78" s="17">
        <f>CT78*VLOOKUP('Données projet'!$B$13,Paramètres!$A$1:$I$89,3,0)*VLOOKUP('Données projet'!$B$13,Paramètres!$A$1:$I$89,5,0)</f>
        <v>186.95040000000003</v>
      </c>
      <c r="CV78" s="13">
        <f t="shared" si="95"/>
        <v>46.865095976617653</v>
      </c>
      <c r="CW78" s="20">
        <f t="shared" si="67"/>
        <v>407.22865549260911</v>
      </c>
      <c r="CX78" s="59">
        <f t="shared" si="68"/>
        <v>700.56198882594242</v>
      </c>
      <c r="CY78" s="59">
        <f ca="1">AVERAGE(OFFSET($CX$3,0,0,'Données projet'!$E$13+1,1))-AVERAGE(OFFSET($H$3,0,0,'Données projet'!$E$13+1,1))</f>
        <v>261.93797831021766</v>
      </c>
      <c r="CZ78" s="59">
        <f t="shared" si="96"/>
        <v>256.90876395053073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5.4794548280228152</v>
      </c>
      <c r="DG78" s="21">
        <f>EXP(-LN(2)/25)*DG77+(1-EXP(-LN(2)/25))/(LN(2)/25)*Calculateur!DB78*Calculateur!DD78*VLOOKUP('Données projet'!$B$13,Paramètres!$A$1:$I$89,3,0)*0.475*44/12</f>
        <v>9.8592554889262054</v>
      </c>
      <c r="DH78" s="21">
        <f>EXP(-LN(2)/2)*DH77+(1-EXP(-LN(2)/2))/(LN(2)/2)*DB78*DE78*VLOOKUP('Données projet'!$B$13,Paramètres!$A$1:$I$89,3,0)*0.475*44/12</f>
        <v>1.7984651499719739</v>
      </c>
      <c r="DI78" s="22">
        <f t="shared" si="69"/>
        <v>17.137175466920993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12.082500000000003</v>
      </c>
      <c r="N79" s="13">
        <f>IF('Données projet'!$A$36&gt;35,N78+M79-V78,IF(A79&lt;'Données projet'!$A$36,$K$205^A79,IF(A79='Données projet'!$A$36,'Données projet'!$B$36,N78+M79-V78)))</f>
        <v>363.67500000000007</v>
      </c>
      <c r="O79" s="13">
        <f>N79*VLOOKUP('Données projet'!$B$9,Paramètres!$A$1:$I$89,3,0)*VLOOKUP('Données projet'!$B$9,Paramètres!$A$1:$I$89,5,0)</f>
        <v>329.05314000000004</v>
      </c>
      <c r="P79" s="13">
        <f t="shared" si="87"/>
        <v>77.233966119321479</v>
      </c>
      <c r="Q79" s="20">
        <f t="shared" si="54"/>
        <v>707.61670982448493</v>
      </c>
      <c r="R79" s="59">
        <f t="shared" si="55"/>
        <v>1000.9500431578183</v>
      </c>
      <c r="S79" s="59">
        <f ca="1">AVERAGE(OFFSET($R$3,0,0,'Données projet'!$E$9+1,1))-AVERAGE(OFFSET($H$3,0,0,'Données projet'!$E$9+1,1))</f>
        <v>695.0879239758051</v>
      </c>
      <c r="T79" s="59">
        <f t="shared" si="88"/>
        <v>226.22150997227476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27.275144979807092</v>
      </c>
      <c r="AA79" s="21">
        <f>EXP(-LN(2)/25)*AA78+(1-EXP(-LN(2)/25))/(LN(2)/25)*Calculateur!V79*Calculateur!X79*VLOOKUP('Données projet'!$B$9,Paramètres!$A$1:$I$89,3,0)*0.475*44/12</f>
        <v>37.962557903621871</v>
      </c>
      <c r="AB79" s="21">
        <f>EXP(-LN(2)/2)*AB78+(1-EXP(-LN(2)/2))/(LN(2)/2)*V79*Y79*VLOOKUP('Données projet'!$B$9,Paramètres!$A$1:$I$89,3,0)*0.475*44/12</f>
        <v>3.4303281749893242</v>
      </c>
      <c r="AC79" s="22">
        <f t="shared" si="57"/>
        <v>68.668031058418293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12.707777777777771</v>
      </c>
      <c r="AI79" s="13">
        <f>IF('Données projet'!$A$62&gt;35,AI78+AH79-AQ78,IF(A79&lt;'Données projet'!$A$62,$AF$205^A79,IF(A79='Données projet'!$A$62,'Données projet'!$B$62,AI78+AH79-AQ78)))</f>
        <v>369.74111111111085</v>
      </c>
      <c r="AJ79" s="13">
        <f>AI79*VLOOKUP('Données projet'!$B$10,Paramètres!$A$1:$I$89,3,0)*VLOOKUP('Données projet'!$B$10,Paramètres!$A$1:$I$89,5,0)</f>
        <v>311.46991199999979</v>
      </c>
      <c r="AK79" s="13">
        <f t="shared" si="89"/>
        <v>73.575721736197707</v>
      </c>
      <c r="AL79" s="20">
        <f t="shared" si="58"/>
        <v>670.62114542387724</v>
      </c>
      <c r="AM79" s="59">
        <f t="shared" si="59"/>
        <v>963.95447875721061</v>
      </c>
      <c r="AN79" s="59">
        <f ca="1">AVERAGE(OFFSET($AM$3,0,0,'Données projet'!$E$10+1,1))-AVERAGE(OFFSET($H$3,0,0,'Données projet'!$E$10+1,1))</f>
        <v>424.81155998881928</v>
      </c>
      <c r="AO79" s="59">
        <f t="shared" si="90"/>
        <v>277.34430416544575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29.170142721655573</v>
      </c>
      <c r="AV79" s="21">
        <f>EXP(-LN(2)/25)*AV78+(1-EXP(-LN(2)/25))/(LN(2)/25)*Calculateur!AQ79*Calculateur!AS79*VLOOKUP('Données projet'!$B$10,Paramètres!$A$1:$I$89,3,0)*0.475*44/12</f>
        <v>25.504734004430333</v>
      </c>
      <c r="AW79" s="21">
        <f>EXP(-LN(2)/2)*AW78+(1-EXP(-LN(2)/2))/(LN(2)/2)*AQ79*AT79*VLOOKUP('Données projet'!$B$10,Paramètres!$A$1:$I$89,3,0)*0.475*44/12</f>
        <v>1.4223298654404835</v>
      </c>
      <c r="AX79" s="21">
        <f t="shared" si="60"/>
        <v>56.097206591526387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282.61599600000028</v>
      </c>
      <c r="BF79" s="13">
        <f t="shared" si="91"/>
        <v>67.519544470872418</v>
      </c>
      <c r="BG79" s="20">
        <f t="shared" si="61"/>
        <v>609.81939965343656</v>
      </c>
      <c r="BH79" s="59">
        <f t="shared" si="62"/>
        <v>903.15273298676993</v>
      </c>
      <c r="BI79" s="59">
        <f ca="1">AVERAGE(OFFSET($BH$3,0,0,'Données projet'!$E$11+1,1))-AVERAGE(OFFSET($H$3,0,0,'Données projet'!$E$11+1,1))</f>
        <v>706.69239849991595</v>
      </c>
      <c r="BJ79" s="59">
        <f t="shared" si="92"/>
        <v>310.59887275116529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15.753753488898697</v>
      </c>
      <c r="BQ79" s="21">
        <f>EXP(-LN(2)/25)*BQ78+(1-EXP(-LN(2)/25))/(LN(2)/25)*Calculateur!BL79*Calculateur!BN79*VLOOKUP('Données projet'!$B$11,Paramètres!$A$1:$I$89,3,0)*0.475*44/12</f>
        <v>33.386164963545838</v>
      </c>
      <c r="BR79" s="21">
        <f>EXP(-LN(2)/2)*BR78+(1-EXP(-LN(2)/2))/(LN(2)/2)*BL79*BO79*VLOOKUP('Données projet'!$B$11,Paramètres!$A$1:$I$89,3,0)*0.475*44/12</f>
        <v>2.6352367272059221</v>
      </c>
      <c r="BS79" s="22">
        <f t="shared" si="63"/>
        <v>51.775155179650454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9.4837500000000006</v>
      </c>
      <c r="BY79" s="12">
        <f>IF('Données projet'!$A$114&gt;35,BY78+BX79-CG78,IF(A79&lt;'Données projet'!$A$114,$BV$205^A79,IF(A79='Données projet'!$A$114,'Données projet'!$B$114,BY78+BX79-CG78)))</f>
        <v>239.72375</v>
      </c>
      <c r="BZ79" s="13">
        <f>BY79*VLOOKUP('Données projet'!$B$12,Paramètres!$A$1:$I$89,3,0)*VLOOKUP('Données projet'!$B$12,Paramètres!$A$1:$I$89,5,0)</f>
        <v>228.12112049999999</v>
      </c>
      <c r="CA79" s="13">
        <f t="shared" si="93"/>
        <v>55.876230114888095</v>
      </c>
      <c r="CB79" s="20">
        <f t="shared" si="64"/>
        <v>494.62871898759676</v>
      </c>
      <c r="CC79" s="59">
        <f t="shared" si="65"/>
        <v>787.96205232093007</v>
      </c>
      <c r="CD79" s="59">
        <f ca="1">AVERAGE(OFFSET($CC$3,0,0,'Données projet'!$E$12+1,1))-AVERAGE(OFFSET($H$3,0,0,'Données projet'!$E$12+1,1))</f>
        <v>449.28947235329758</v>
      </c>
      <c r="CE79" s="59">
        <f t="shared" si="94"/>
        <v>289.36994109443964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21.489163379053554</v>
      </c>
      <c r="CL79" s="21">
        <f>EXP(-LN(2)/25)*CL78+(1-EXP(-LN(2)/25))/(LN(2)/25)*Calculateur!CG79*Calculateur!CI79*VLOOKUP('Données projet'!$B$12,Paramètres!$A$1:$I$89,3,0)*0.475*44/12</f>
        <v>26.567722991603446</v>
      </c>
      <c r="CM79" s="21">
        <f>EXP(-LN(2)/2)*CM78+(1-EXP(-LN(2)/2))/(LN(2)/2)*CG79*CJ79*VLOOKUP('Données projet'!$B$12,Paramètres!$A$1:$I$89,3,0)*0.475*44/12</f>
        <v>2.943378477814381</v>
      </c>
      <c r="CN79" s="22">
        <f t="shared" si="66"/>
        <v>51.000264848471375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209.4</v>
      </c>
      <c r="CU79" s="17">
        <f>CT79*VLOOKUP('Données projet'!$B$13,Paramètres!$A$1:$I$89,3,0)*VLOOKUP('Données projet'!$B$13,Paramètres!$A$1:$I$89,5,0)</f>
        <v>182.93184000000002</v>
      </c>
      <c r="CV79" s="13">
        <f t="shared" si="95"/>
        <v>45.973851929814685</v>
      </c>
      <c r="CW79" s="20">
        <f t="shared" si="67"/>
        <v>398.67741344442726</v>
      </c>
      <c r="CX79" s="59">
        <f t="shared" si="68"/>
        <v>692.01074677776057</v>
      </c>
      <c r="CY79" s="59">
        <f ca="1">AVERAGE(OFFSET($CX$3,0,0,'Données projet'!$E$13+1,1))-AVERAGE(OFFSET($H$3,0,0,'Données projet'!$E$13+1,1))</f>
        <v>261.93797831021766</v>
      </c>
      <c r="CZ79" s="59">
        <f t="shared" si="96"/>
        <v>256.90876395053073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5.3720060609827245</v>
      </c>
      <c r="DG79" s="21">
        <f>EXP(-LN(2)/25)*DG78+(1-EXP(-LN(2)/25))/(LN(2)/25)*Calculateur!DB79*Calculateur!DD79*VLOOKUP('Données projet'!$B$13,Paramètres!$A$1:$I$89,3,0)*0.475*44/12</f>
        <v>9.5896536291058059</v>
      </c>
      <c r="DH79" s="21">
        <f>EXP(-LN(2)/2)*DH78+(1-EXP(-LN(2)/2))/(LN(2)/2)*DB79*DE79*VLOOKUP('Données projet'!$B$13,Paramètres!$A$1:$I$89,3,0)*0.475*44/12</f>
        <v>1.2717069032728641</v>
      </c>
      <c r="DI79" s="22">
        <f t="shared" si="69"/>
        <v>16.233366593361396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12.082500000000003</v>
      </c>
      <c r="N80" s="13">
        <f>IF('Données projet'!$A$36&gt;35,N79+M80-V79,IF(A80&lt;'Données projet'!$A$36,$K$205^A80,IF(A80='Données projet'!$A$36,'Données projet'!$B$36,N79+M80-V79)))</f>
        <v>375.75750000000005</v>
      </c>
      <c r="O80" s="13">
        <f>N80*VLOOKUP('Données projet'!$B$9,Paramètres!$A$1:$I$89,3,0)*VLOOKUP('Données projet'!$B$9,Paramètres!$A$1:$I$89,5,0)</f>
        <v>339.98538600000006</v>
      </c>
      <c r="P80" s="13">
        <f t="shared" si="87"/>
        <v>79.496927069315888</v>
      </c>
      <c r="Q80" s="20">
        <f t="shared" si="54"/>
        <v>730.59836192905857</v>
      </c>
      <c r="R80" s="59">
        <f t="shared" si="55"/>
        <v>1023.9316952623919</v>
      </c>
      <c r="S80" s="59">
        <f ca="1">AVERAGE(OFFSET($R$3,0,0,'Données projet'!$E$9+1,1))-AVERAGE(OFFSET($H$3,0,0,'Données projet'!$E$9+1,1))</f>
        <v>695.0879239758051</v>
      </c>
      <c r="T80" s="59">
        <f t="shared" si="88"/>
        <v>226.22150997227476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26.740296022948826</v>
      </c>
      <c r="AA80" s="21">
        <f>EXP(-LN(2)/25)*AA79+(1-EXP(-LN(2)/25))/(LN(2)/25)*Calculateur!V80*Calculateur!X80*VLOOKUP('Données projet'!$B$9,Paramètres!$A$1:$I$89,3,0)*0.475*44/12</f>
        <v>36.924469761383179</v>
      </c>
      <c r="AB80" s="21">
        <f>EXP(-LN(2)/2)*AB79+(1-EXP(-LN(2)/2))/(LN(2)/2)*V80*Y80*VLOOKUP('Données projet'!$B$9,Paramètres!$A$1:$I$89,3,0)*0.475*44/12</f>
        <v>2.4256083142302249</v>
      </c>
      <c r="AC80" s="22">
        <f t="shared" si="57"/>
        <v>66.090374098562236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12.707777777777771</v>
      </c>
      <c r="AI80" s="13">
        <f>IF('Données projet'!$A$62&gt;35,AI79+AH80-AQ79,IF(A80&lt;'Données projet'!$A$62,$AF$205^A80,IF(A80='Données projet'!$A$62,'Données projet'!$B$62,AI79+AH80-AQ79)))</f>
        <v>382.44888888888863</v>
      </c>
      <c r="AJ80" s="13">
        <f>AI80*VLOOKUP('Données projet'!$B$10,Paramètres!$A$1:$I$89,3,0)*VLOOKUP('Données projet'!$B$10,Paramètres!$A$1:$I$89,5,0)</f>
        <v>322.17494399999981</v>
      </c>
      <c r="AK80" s="13">
        <f t="shared" si="89"/>
        <v>75.805714500976208</v>
      </c>
      <c r="AL80" s="20">
        <f t="shared" si="58"/>
        <v>693.14964688919997</v>
      </c>
      <c r="AM80" s="59">
        <f t="shared" si="59"/>
        <v>986.48298022253334</v>
      </c>
      <c r="AN80" s="59">
        <f ca="1">AVERAGE(OFFSET($AM$3,0,0,'Données projet'!$E$10+1,1))-AVERAGE(OFFSET($H$3,0,0,'Données projet'!$E$10+1,1))</f>
        <v>424.81155998881928</v>
      </c>
      <c r="AO80" s="59">
        <f t="shared" si="90"/>
        <v>277.34430416544575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28.598134014914152</v>
      </c>
      <c r="AV80" s="21">
        <f>EXP(-LN(2)/25)*AV79+(1-EXP(-LN(2)/25))/(LN(2)/25)*Calculateur!AQ80*Calculateur!AS80*VLOOKUP('Données projet'!$B$10,Paramètres!$A$1:$I$89,3,0)*0.475*44/12</f>
        <v>24.807305711843515</v>
      </c>
      <c r="AW80" s="21">
        <f>EXP(-LN(2)/2)*AW79+(1-EXP(-LN(2)/2))/(LN(2)/2)*AQ80*AT80*VLOOKUP('Données projet'!$B$10,Paramètres!$A$1:$I$89,3,0)*0.475*44/12</f>
        <v>1.0057390929371155</v>
      </c>
      <c r="AX80" s="21">
        <f t="shared" si="60"/>
        <v>54.411178819694776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292.29665400000033</v>
      </c>
      <c r="BF80" s="13">
        <f t="shared" si="91"/>
        <v>69.559109473742168</v>
      </c>
      <c r="BG80" s="20">
        <f t="shared" si="61"/>
        <v>630.23212138343479</v>
      </c>
      <c r="BH80" s="59">
        <f t="shared" si="62"/>
        <v>923.56545471676804</v>
      </c>
      <c r="BI80" s="59">
        <f ca="1">AVERAGE(OFFSET($BH$3,0,0,'Données projet'!$E$11+1,1))-AVERAGE(OFFSET($H$3,0,0,'Données projet'!$E$11+1,1))</f>
        <v>706.69239849991595</v>
      </c>
      <c r="BJ80" s="59">
        <f t="shared" si="92"/>
        <v>310.59887275116529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15.444831991822229</v>
      </c>
      <c r="BQ80" s="21">
        <f>EXP(-LN(2)/25)*BQ79+(1-EXP(-LN(2)/25))/(LN(2)/25)*Calculateur!BL80*Calculateur!BN80*VLOOKUP('Données projet'!$B$11,Paramètres!$A$1:$I$89,3,0)*0.475*44/12</f>
        <v>32.473218526915566</v>
      </c>
      <c r="BR80" s="21">
        <f>EXP(-LN(2)/2)*BR79+(1-EXP(-LN(2)/2))/(LN(2)/2)*BL80*BO80*VLOOKUP('Données projet'!$B$11,Paramètres!$A$1:$I$89,3,0)*0.475*44/12</f>
        <v>1.8633937598391517</v>
      </c>
      <c r="BS80" s="22">
        <f t="shared" si="63"/>
        <v>49.781444278576942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9.4837500000000006</v>
      </c>
      <c r="BY80" s="12">
        <f>IF('Données projet'!$A$114&gt;35,BY79+BX80-CG79,IF(A80&lt;'Données projet'!$A$114,$BV$205^A80,IF(A80='Données projet'!$A$114,'Données projet'!$B$114,BY79+BX80-CG79)))</f>
        <v>249.20749999999998</v>
      </c>
      <c r="BZ80" s="13">
        <f>BY80*VLOOKUP('Données projet'!$B$12,Paramètres!$A$1:$I$89,3,0)*VLOOKUP('Données projet'!$B$12,Paramètres!$A$1:$I$89,5,0)</f>
        <v>237.14585699999998</v>
      </c>
      <c r="CA80" s="13">
        <f t="shared" si="93"/>
        <v>57.825020794330889</v>
      </c>
      <c r="CB80" s="20">
        <f t="shared" si="64"/>
        <v>513.74094549179301</v>
      </c>
      <c r="CC80" s="59">
        <f t="shared" si="65"/>
        <v>807.07427882512638</v>
      </c>
      <c r="CD80" s="59">
        <f ca="1">AVERAGE(OFFSET($CC$3,0,0,'Données projet'!$E$12+1,1))-AVERAGE(OFFSET($H$3,0,0,'Données projet'!$E$12+1,1))</f>
        <v>449.28947235329758</v>
      </c>
      <c r="CE80" s="59">
        <f t="shared" si="94"/>
        <v>289.36994109443964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21.067773992285758</v>
      </c>
      <c r="CL80" s="21">
        <f>EXP(-LN(2)/25)*CL79+(1-EXP(-LN(2)/25))/(LN(2)/25)*Calculateur!CG80*Calculateur!CI80*VLOOKUP('Données projet'!$B$12,Paramètres!$A$1:$I$89,3,0)*0.475*44/12</f>
        <v>25.841227209262218</v>
      </c>
      <c r="CM80" s="21">
        <f>EXP(-LN(2)/2)*CM79+(1-EXP(-LN(2)/2))/(LN(2)/2)*CG80*CJ80*VLOOKUP('Données projet'!$B$12,Paramètres!$A$1:$I$89,3,0)*0.475*44/12</f>
        <v>2.0812828812610871</v>
      </c>
      <c r="CN80" s="22">
        <f t="shared" si="66"/>
        <v>48.990284082809069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211.8</v>
      </c>
      <c r="CU80" s="17">
        <f>CT80*VLOOKUP('Données projet'!$B$13,Paramètres!$A$1:$I$89,3,0)*VLOOKUP('Données projet'!$B$13,Paramètres!$A$1:$I$89,5,0)</f>
        <v>185.02848000000003</v>
      </c>
      <c r="CV80" s="13">
        <f t="shared" si="95"/>
        <v>46.43913001874585</v>
      </c>
      <c r="CW80" s="20">
        <f t="shared" si="67"/>
        <v>403.13942078264904</v>
      </c>
      <c r="CX80" s="59">
        <f t="shared" si="68"/>
        <v>696.4727541159823</v>
      </c>
      <c r="CY80" s="59">
        <f ca="1">AVERAGE(OFFSET($CX$3,0,0,'Données projet'!$E$13+1,1))-AVERAGE(OFFSET($H$3,0,0,'Données projet'!$E$13+1,1))</f>
        <v>261.93797831021766</v>
      </c>
      <c r="CZ80" s="59">
        <f t="shared" si="96"/>
        <v>256.90876395053073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5.2666642987270134</v>
      </c>
      <c r="DG80" s="21">
        <f>EXP(-LN(2)/25)*DG79+(1-EXP(-LN(2)/25))/(LN(2)/25)*Calculateur!DB80*Calculateur!DD80*VLOOKUP('Données projet'!$B$13,Paramètres!$A$1:$I$89,3,0)*0.475*44/12</f>
        <v>9.3274240463199405</v>
      </c>
      <c r="DH80" s="21">
        <f>EXP(-LN(2)/2)*DH79+(1-EXP(-LN(2)/2))/(LN(2)/2)*DB80*DE80*VLOOKUP('Données projet'!$B$13,Paramètres!$A$1:$I$89,3,0)*0.475*44/12</f>
        <v>0.89923257498598708</v>
      </c>
      <c r="DI80" s="22">
        <f t="shared" si="69"/>
        <v>15.493320920032941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12.082500000000003</v>
      </c>
      <c r="N81" s="13">
        <f>IF('Données projet'!$A$36&gt;35,N80+M81-V80,IF(A81&lt;'Données projet'!$A$36,$K$205^A81,IF(A81='Données projet'!$A$36,'Données projet'!$B$36,N80+M81-V80)))</f>
        <v>387.84000000000003</v>
      </c>
      <c r="O81" s="13">
        <f>N81*VLOOKUP('Données projet'!$B$9,Paramètres!$A$1:$I$89,3,0)*VLOOKUP('Données projet'!$B$9,Paramètres!$A$1:$I$89,5,0)</f>
        <v>350.91763200000003</v>
      </c>
      <c r="P81" s="13">
        <f t="shared" si="87"/>
        <v>81.751432393323299</v>
      </c>
      <c r="Q81" s="20">
        <f t="shared" si="54"/>
        <v>753.56528715170464</v>
      </c>
      <c r="R81" s="59">
        <f t="shared" si="55"/>
        <v>1046.898620485038</v>
      </c>
      <c r="S81" s="59">
        <f ca="1">AVERAGE(OFFSET($R$3,0,0,'Données projet'!$E$9+1,1))-AVERAGE(OFFSET($H$3,0,0,'Données projet'!$E$9+1,1))</f>
        <v>695.0879239758051</v>
      </c>
      <c r="T81" s="59">
        <f t="shared" si="88"/>
        <v>226.22150997227476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26.215935127908896</v>
      </c>
      <c r="AA81" s="21">
        <f>EXP(-LN(2)/25)*AA80+(1-EXP(-LN(2)/25))/(LN(2)/25)*Calculateur!V81*Calculateur!X81*VLOOKUP('Données projet'!$B$9,Paramètres!$A$1:$I$89,3,0)*0.475*44/12</f>
        <v>35.914768193984685</v>
      </c>
      <c r="AB81" s="21">
        <f>EXP(-LN(2)/2)*AB80+(1-EXP(-LN(2)/2))/(LN(2)/2)*V81*Y81*VLOOKUP('Données projet'!$B$9,Paramètres!$A$1:$I$89,3,0)*0.475*44/12</f>
        <v>1.7151640874946621</v>
      </c>
      <c r="AC81" s="22">
        <f t="shared" si="57"/>
        <v>63.845867409388241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12.707777777777771</v>
      </c>
      <c r="AI81" s="13">
        <f>IF('Données projet'!$A$62&gt;35,AI80+AH81-AQ80,IF(A81&lt;'Données projet'!$A$62,$AF$205^A81,IF(A81='Données projet'!$A$62,'Données projet'!$B$62,AI80+AH81-AQ80)))</f>
        <v>395.15666666666641</v>
      </c>
      <c r="AJ81" s="13">
        <f>AI81*VLOOKUP('Données projet'!$B$10,Paramètres!$A$1:$I$89,3,0)*VLOOKUP('Données projet'!$B$10,Paramètres!$A$1:$I$89,5,0)</f>
        <v>332.87997599999977</v>
      </c>
      <c r="AK81" s="13">
        <f t="shared" si="89"/>
        <v>78.027097377942809</v>
      </c>
      <c r="AL81" s="20">
        <f t="shared" si="58"/>
        <v>715.6631527999167</v>
      </c>
      <c r="AM81" s="59">
        <f t="shared" si="59"/>
        <v>1008.9964861332501</v>
      </c>
      <c r="AN81" s="59">
        <f ca="1">AVERAGE(OFFSET($AM$3,0,0,'Données projet'!$E$10+1,1))-AVERAGE(OFFSET($H$3,0,0,'Données projet'!$E$10+1,1))</f>
        <v>424.81155998881928</v>
      </c>
      <c r="AO81" s="59">
        <f t="shared" si="90"/>
        <v>277.34430416544575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28.037342050021067</v>
      </c>
      <c r="AV81" s="21">
        <f>EXP(-LN(2)/25)*AV80+(1-EXP(-LN(2)/25))/(LN(2)/25)*Calculateur!AQ81*Calculateur!AS81*VLOOKUP('Données projet'!$B$10,Paramètres!$A$1:$I$89,3,0)*0.475*44/12</f>
        <v>24.128948632593644</v>
      </c>
      <c r="AW81" s="21">
        <f>EXP(-LN(2)/2)*AW80+(1-EXP(-LN(2)/2))/(LN(2)/2)*AQ81*AT81*VLOOKUP('Données projet'!$B$10,Paramètres!$A$1:$I$89,3,0)*0.475*44/12</f>
        <v>0.71116493272024173</v>
      </c>
      <c r="AX81" s="21">
        <f t="shared" si="60"/>
        <v>52.877455615334959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301.97731200000038</v>
      </c>
      <c r="BF81" s="13">
        <f t="shared" si="91"/>
        <v>71.590825399464663</v>
      </c>
      <c r="BG81" s="20">
        <f t="shared" si="61"/>
        <v>650.63117263740162</v>
      </c>
      <c r="BH81" s="59">
        <f t="shared" si="62"/>
        <v>943.96450597073499</v>
      </c>
      <c r="BI81" s="59">
        <f ca="1">AVERAGE(OFFSET($BH$3,0,0,'Données projet'!$E$11+1,1))-AVERAGE(OFFSET($H$3,0,0,'Données projet'!$E$11+1,1))</f>
        <v>706.69239849991595</v>
      </c>
      <c r="BJ81" s="59">
        <f t="shared" si="92"/>
        <v>310.59887275116529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15.14196825687992</v>
      </c>
      <c r="BQ81" s="21">
        <f>EXP(-LN(2)/25)*BQ80+(1-EXP(-LN(2)/25))/(LN(2)/25)*Calculateur!BL81*Calculateur!BN81*VLOOKUP('Données projet'!$B$11,Paramètres!$A$1:$I$89,3,0)*0.475*44/12</f>
        <v>31.585236658604718</v>
      </c>
      <c r="BR81" s="21">
        <f>EXP(-LN(2)/2)*BR80+(1-EXP(-LN(2)/2))/(LN(2)/2)*BL81*BO81*VLOOKUP('Données projet'!$B$11,Paramètres!$A$1:$I$89,3,0)*0.475*44/12</f>
        <v>1.3176183636029613</v>
      </c>
      <c r="BS81" s="22">
        <f t="shared" si="63"/>
        <v>48.044823279087595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9.4837500000000006</v>
      </c>
      <c r="BY81" s="12">
        <f>IF('Données projet'!$A$114&gt;35,BY80+BX81-CG80,IF(A81&lt;'Données projet'!$A$114,$BV$205^A81,IF(A81='Données projet'!$A$114,'Données projet'!$B$114,BY80+BX81-CG80)))</f>
        <v>258.69124999999997</v>
      </c>
      <c r="BZ81" s="13">
        <f>BY81*VLOOKUP('Données projet'!$B$12,Paramètres!$A$1:$I$89,3,0)*VLOOKUP('Données projet'!$B$12,Paramètres!$A$1:$I$89,5,0)</f>
        <v>246.17059349999994</v>
      </c>
      <c r="CA81" s="13">
        <f t="shared" si="93"/>
        <v>59.765195857244478</v>
      </c>
      <c r="CB81" s="20">
        <f t="shared" si="64"/>
        <v>532.83816646386731</v>
      </c>
      <c r="CC81" s="59">
        <f t="shared" si="65"/>
        <v>826.17149979720057</v>
      </c>
      <c r="CD81" s="59">
        <f ca="1">AVERAGE(OFFSET($CC$3,0,0,'Données projet'!$E$12+1,1))-AVERAGE(OFFSET($H$3,0,0,'Données projet'!$E$12+1,1))</f>
        <v>449.28947235329758</v>
      </c>
      <c r="CE81" s="59">
        <f t="shared" si="94"/>
        <v>289.36994109443964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20.65464779437033</v>
      </c>
      <c r="CL81" s="21">
        <f>EXP(-LN(2)/25)*CL80+(1-EXP(-LN(2)/25))/(LN(2)/25)*Calculateur!CG81*Calculateur!CI81*VLOOKUP('Données projet'!$B$12,Paramètres!$A$1:$I$89,3,0)*0.475*44/12</f>
        <v>25.134597492293864</v>
      </c>
      <c r="CM81" s="21">
        <f>EXP(-LN(2)/2)*CM80+(1-EXP(-LN(2)/2))/(LN(2)/2)*CG81*CJ81*VLOOKUP('Données projet'!$B$12,Paramètres!$A$1:$I$89,3,0)*0.475*44/12</f>
        <v>1.4716892389071907</v>
      </c>
      <c r="CN81" s="22">
        <f t="shared" si="66"/>
        <v>47.260934525571386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214.20000000000002</v>
      </c>
      <c r="CU81" s="17">
        <f>CT81*VLOOKUP('Données projet'!$B$13,Paramètres!$A$1:$I$89,3,0)*VLOOKUP('Données projet'!$B$13,Paramètres!$A$1:$I$89,5,0)</f>
        <v>187.12512000000004</v>
      </c>
      <c r="CV81" s="13">
        <f t="shared" si="95"/>
        <v>46.903794805770545</v>
      </c>
      <c r="CW81" s="20">
        <f t="shared" si="67"/>
        <v>407.60035995338376</v>
      </c>
      <c r="CX81" s="59">
        <f t="shared" si="68"/>
        <v>700.93369328671702</v>
      </c>
      <c r="CY81" s="59">
        <f ca="1">AVERAGE(OFFSET($CX$3,0,0,'Données projet'!$E$13+1,1))-AVERAGE(OFFSET($H$3,0,0,'Données projet'!$E$13+1,1))</f>
        <v>261.93797831021766</v>
      </c>
      <c r="CZ81" s="59">
        <f t="shared" si="96"/>
        <v>256.90876395053073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5.1633882241770062</v>
      </c>
      <c r="DG81" s="21">
        <f>EXP(-LN(2)/25)*DG80+(1-EXP(-LN(2)/25))/(LN(2)/25)*Calculateur!DB81*Calculateur!DD81*VLOOKUP('Données projet'!$B$13,Paramètres!$A$1:$I$89,3,0)*0.475*44/12</f>
        <v>9.0723651452654099</v>
      </c>
      <c r="DH81" s="21">
        <f>EXP(-LN(2)/2)*DH80+(1-EXP(-LN(2)/2))/(LN(2)/2)*DB81*DE81*VLOOKUP('Données projet'!$B$13,Paramètres!$A$1:$I$89,3,0)*0.475*44/12</f>
        <v>0.63585345163643214</v>
      </c>
      <c r="DI81" s="22">
        <f t="shared" si="69"/>
        <v>14.871606821078849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12.082500000000003</v>
      </c>
      <c r="N82" s="13">
        <f>IF('Données projet'!$A$36&gt;35,N81+M82-V81,IF(A82&lt;'Données projet'!$A$36,$K$205^A82,IF(A82='Données projet'!$A$36,'Données projet'!$B$36,N81+M82-V81)))</f>
        <v>399.92250000000001</v>
      </c>
      <c r="O82" s="13">
        <f>N82*VLOOKUP('Données projet'!$B$9,Paramètres!$A$1:$I$89,3,0)*VLOOKUP('Données projet'!$B$9,Paramètres!$A$1:$I$89,5,0)</f>
        <v>361.84987799999999</v>
      </c>
      <c r="P82" s="13">
        <f t="shared" si="87"/>
        <v>83.997775738072022</v>
      </c>
      <c r="Q82" s="20">
        <f t="shared" si="54"/>
        <v>776.51799692714212</v>
      </c>
      <c r="R82" s="59">
        <f t="shared" si="55"/>
        <v>1069.8513302604754</v>
      </c>
      <c r="S82" s="59">
        <f ca="1">AVERAGE(OFFSET($R$3,0,0,'Données projet'!$E$9+1,1))-AVERAGE(OFFSET($H$3,0,0,'Données projet'!$E$9+1,1))</f>
        <v>695.0879239758051</v>
      </c>
      <c r="T82" s="59">
        <f t="shared" si="88"/>
        <v>226.22150997227476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25.701856630192136</v>
      </c>
      <c r="AA82" s="21">
        <f>EXP(-LN(2)/25)*AA81+(1-EXP(-LN(2)/25))/(LN(2)/25)*Calculateur!V82*Calculateur!X82*VLOOKUP('Données projet'!$B$9,Paramètres!$A$1:$I$89,3,0)*0.475*44/12</f>
        <v>34.9326769690446</v>
      </c>
      <c r="AB82" s="21">
        <f>EXP(-LN(2)/2)*AB81+(1-EXP(-LN(2)/2))/(LN(2)/2)*V82*Y82*VLOOKUP('Données projet'!$B$9,Paramètres!$A$1:$I$89,3,0)*0.475*44/12</f>
        <v>1.2128041571151125</v>
      </c>
      <c r="AC82" s="22">
        <f t="shared" si="57"/>
        <v>61.847337756351848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12.707777777777771</v>
      </c>
      <c r="AI82" s="13">
        <f>IF('Données projet'!$A$62&gt;35,AI81+AH82-AQ81,IF(A82&lt;'Données projet'!$A$62,$AF$205^A82,IF(A82='Données projet'!$A$62,'Données projet'!$B$62,AI81+AH82-AQ81)))</f>
        <v>407.86444444444419</v>
      </c>
      <c r="AJ82" s="13">
        <f>AI82*VLOOKUP('Données projet'!$B$10,Paramètres!$A$1:$I$89,3,0)*VLOOKUP('Données projet'!$B$10,Paramètres!$A$1:$I$89,5,0)</f>
        <v>343.58500799999979</v>
      </c>
      <c r="AK82" s="13">
        <f t="shared" si="89"/>
        <v>80.240179010511568</v>
      </c>
      <c r="AL82" s="20">
        <f t="shared" si="58"/>
        <v>738.16220070997394</v>
      </c>
      <c r="AM82" s="59">
        <f t="shared" si="59"/>
        <v>1031.4955340433073</v>
      </c>
      <c r="AN82" s="59">
        <f ca="1">AVERAGE(OFFSET($AM$3,0,0,'Données projet'!$E$10+1,1))-AVERAGE(OFFSET($H$3,0,0,'Données projet'!$E$10+1,1))</f>
        <v>424.81155998881928</v>
      </c>
      <c r="AO82" s="59">
        <f t="shared" si="90"/>
        <v>277.34430416544575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27.487546873510212</v>
      </c>
      <c r="AV82" s="21">
        <f>EXP(-LN(2)/25)*AV81+(1-EXP(-LN(2)/25))/(LN(2)/25)*Calculateur!AQ82*Calculateur!AS82*VLOOKUP('Données projet'!$B$10,Paramètres!$A$1:$I$89,3,0)*0.475*44/12</f>
        <v>23.469141263349108</v>
      </c>
      <c r="AW82" s="21">
        <f>EXP(-LN(2)/2)*AW81+(1-EXP(-LN(2)/2))/(LN(2)/2)*AQ82*AT82*VLOOKUP('Données projet'!$B$10,Paramètres!$A$1:$I$89,3,0)*0.475*44/12</f>
        <v>0.50286954646855775</v>
      </c>
      <c r="AX82" s="21">
        <f t="shared" si="60"/>
        <v>51.45955768332788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311.65797000000038</v>
      </c>
      <c r="BF82" s="13">
        <f t="shared" si="91"/>
        <v>73.614972733257659</v>
      </c>
      <c r="BG82" s="20">
        <f t="shared" si="61"/>
        <v>671.0170419270911</v>
      </c>
      <c r="BH82" s="59">
        <f t="shared" si="62"/>
        <v>964.35037526042447</v>
      </c>
      <c r="BI82" s="59">
        <f ca="1">AVERAGE(OFFSET($BH$3,0,0,'Données projet'!$E$11+1,1))-AVERAGE(OFFSET($H$3,0,0,'Données projet'!$E$11+1,1))</f>
        <v>706.69239849991595</v>
      </c>
      <c r="BJ82" s="59">
        <f t="shared" si="92"/>
        <v>310.59887275116529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14.845043495051193</v>
      </c>
      <c r="BQ82" s="21">
        <f>EXP(-LN(2)/25)*BQ81+(1-EXP(-LN(2)/25))/(LN(2)/25)*Calculateur!BL82*Calculateur!BN82*VLOOKUP('Données projet'!$B$11,Paramètres!$A$1:$I$89,3,0)*0.475*44/12</f>
        <v>30.721536701179765</v>
      </c>
      <c r="BR82" s="21">
        <f>EXP(-LN(2)/2)*BR81+(1-EXP(-LN(2)/2))/(LN(2)/2)*BL82*BO82*VLOOKUP('Données projet'!$B$11,Paramètres!$A$1:$I$89,3,0)*0.475*44/12</f>
        <v>0.93169687991957595</v>
      </c>
      <c r="BS82" s="22">
        <f t="shared" si="63"/>
        <v>46.498277076150536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9.4837500000000006</v>
      </c>
      <c r="BY82" s="12">
        <f>IF('Données projet'!$A$114&gt;35,BY81+BX82-CG81,IF(A82&lt;'Données projet'!$A$114,$BV$205^A82,IF(A82='Données projet'!$A$114,'Données projet'!$B$114,BY81+BX82-CG81)))</f>
        <v>268.17499999999995</v>
      </c>
      <c r="BZ82" s="13">
        <f>BY82*VLOOKUP('Données projet'!$B$12,Paramètres!$A$1:$I$89,3,0)*VLOOKUP('Données projet'!$B$12,Paramètres!$A$1:$I$89,5,0)</f>
        <v>255.19532999999996</v>
      </c>
      <c r="CA82" s="13">
        <f t="shared" si="93"/>
        <v>61.697107330819122</v>
      </c>
      <c r="CB82" s="20">
        <f t="shared" si="64"/>
        <v>551.92099501784321</v>
      </c>
      <c r="CC82" s="59">
        <f t="shared" si="65"/>
        <v>845.25432835117658</v>
      </c>
      <c r="CD82" s="59">
        <f ca="1">AVERAGE(OFFSET($CC$3,0,0,'Données projet'!$E$12+1,1))-AVERAGE(OFFSET($H$3,0,0,'Données projet'!$E$12+1,1))</f>
        <v>449.28947235329758</v>
      </c>
      <c r="CE82" s="59">
        <f t="shared" si="94"/>
        <v>289.36994109443964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20.249622749213923</v>
      </c>
      <c r="CL82" s="21">
        <f>EXP(-LN(2)/25)*CL81+(1-EXP(-LN(2)/25))/(LN(2)/25)*Calculateur!CG82*Calculateur!CI82*VLOOKUP('Données projet'!$B$12,Paramètres!$A$1:$I$89,3,0)*0.475*44/12</f>
        <v>24.44729060209605</v>
      </c>
      <c r="CM82" s="21">
        <f>EXP(-LN(2)/2)*CM81+(1-EXP(-LN(2)/2))/(LN(2)/2)*CG82*CJ82*VLOOKUP('Données projet'!$B$12,Paramètres!$A$1:$I$89,3,0)*0.475*44/12</f>
        <v>1.0406414406305435</v>
      </c>
      <c r="CN82" s="22">
        <f t="shared" si="66"/>
        <v>45.737554791940518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216.60000000000002</v>
      </c>
      <c r="CU82" s="17">
        <f>CT82*VLOOKUP('Données projet'!$B$13,Paramètres!$A$1:$I$89,3,0)*VLOOKUP('Données projet'!$B$13,Paramètres!$A$1:$I$89,5,0)</f>
        <v>189.22176000000005</v>
      </c>
      <c r="CV82" s="13">
        <f t="shared" si="95"/>
        <v>47.367853957810077</v>
      </c>
      <c r="CW82" s="20">
        <f t="shared" si="67"/>
        <v>412.06024430985258</v>
      </c>
      <c r="CX82" s="59">
        <f t="shared" si="68"/>
        <v>705.39357764318584</v>
      </c>
      <c r="CY82" s="59">
        <f ca="1">AVERAGE(OFFSET($CX$3,0,0,'Données projet'!$E$13+1,1))-AVERAGE(OFFSET($H$3,0,0,'Données projet'!$E$13+1,1))</f>
        <v>261.93797831021766</v>
      </c>
      <c r="CZ82" s="59">
        <f t="shared" si="96"/>
        <v>256.90876395053073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5.0621373304567392</v>
      </c>
      <c r="DG82" s="21">
        <f>EXP(-LN(2)/25)*DG81+(1-EXP(-LN(2)/25))/(LN(2)/25)*Calculateur!DB82*Calculateur!DD82*VLOOKUP('Données projet'!$B$13,Paramètres!$A$1:$I$89,3,0)*0.475*44/12</f>
        <v>8.8242808432731792</v>
      </c>
      <c r="DH82" s="21">
        <f>EXP(-LN(2)/2)*DH81+(1-EXP(-LN(2)/2))/(LN(2)/2)*DB82*DE82*VLOOKUP('Données projet'!$B$13,Paramètres!$A$1:$I$89,3,0)*0.475*44/12</f>
        <v>0.44961628749299365</v>
      </c>
      <c r="DI82" s="22">
        <f t="shared" si="69"/>
        <v>14.336034461222912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12.082500000000003</v>
      </c>
      <c r="N83" s="13">
        <f>IF('Données projet'!$A$36&gt;35,N82+M83-V82,IF(A83&lt;'Données projet'!$A$36,$K$205^A83,IF(A83='Données projet'!$A$36,'Données projet'!$B$36,N82+M83-V82)))</f>
        <v>412.005</v>
      </c>
      <c r="O83" s="13">
        <f>N83*VLOOKUP('Données projet'!$B$9,Paramètres!$A$1:$I$89,3,0)*VLOOKUP('Données projet'!$B$9,Paramètres!$A$1:$I$89,5,0)</f>
        <v>372.78212400000001</v>
      </c>
      <c r="P83" s="13">
        <f t="shared" si="87"/>
        <v>86.236231998585495</v>
      </c>
      <c r="Q83" s="20">
        <f t="shared" si="54"/>
        <v>799.45697003086968</v>
      </c>
      <c r="R83" s="59">
        <f t="shared" si="55"/>
        <v>1092.7903033642031</v>
      </c>
      <c r="S83" s="59">
        <f ca="1">AVERAGE(OFFSET($R$3,0,0,'Données projet'!$E$9+1,1))-AVERAGE(OFFSET($H$3,0,0,'Données projet'!$E$9+1,1))</f>
        <v>695.0879239758051</v>
      </c>
      <c r="T83" s="59">
        <f t="shared" si="88"/>
        <v>226.22150997227476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25.19785889825868</v>
      </c>
      <c r="AA83" s="21">
        <f>EXP(-LN(2)/25)*AA82+(1-EXP(-LN(2)/25))/(LN(2)/25)*Calculateur!V83*Calculateur!X83*VLOOKUP('Données projet'!$B$9,Paramètres!$A$1:$I$89,3,0)*0.475*44/12</f>
        <v>33.97744108029643</v>
      </c>
      <c r="AB83" s="21">
        <f>EXP(-LN(2)/2)*AB82+(1-EXP(-LN(2)/2))/(LN(2)/2)*V83*Y83*VLOOKUP('Données projet'!$B$9,Paramètres!$A$1:$I$89,3,0)*0.475*44/12</f>
        <v>0.85758204374733105</v>
      </c>
      <c r="AC83" s="22">
        <f t="shared" si="57"/>
        <v>60.032882022302438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12.707777777777771</v>
      </c>
      <c r="AI83" s="13">
        <f>IF('Données projet'!$A$62&gt;35,AI82+AH83-AQ82,IF(A83&lt;'Données projet'!$A$62,$AF$205^A83,IF(A83='Données projet'!$A$62,'Données projet'!$B$62,AI82+AH83-AQ82)))</f>
        <v>420.57222222222197</v>
      </c>
      <c r="AJ83" s="13">
        <f>AI83*VLOOKUP('Données projet'!$B$10,Paramètres!$A$1:$I$89,3,0)*VLOOKUP('Données projet'!$B$10,Paramètres!$A$1:$I$89,5,0)</f>
        <v>354.29003999999981</v>
      </c>
      <c r="AK83" s="13">
        <f t="shared" si="89"/>
        <v>82.445247716912462</v>
      </c>
      <c r="AL83" s="20">
        <f t="shared" si="58"/>
        <v>760.6472927736221</v>
      </c>
      <c r="AM83" s="59">
        <f t="shared" si="59"/>
        <v>1053.9806261069555</v>
      </c>
      <c r="AN83" s="59">
        <f ca="1">AVERAGE(OFFSET($AM$3,0,0,'Données projet'!$E$10+1,1))-AVERAGE(OFFSET($H$3,0,0,'Données projet'!$E$10+1,1))</f>
        <v>424.81155998881928</v>
      </c>
      <c r="AO83" s="59">
        <f t="shared" si="90"/>
        <v>277.34430416544575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26.94853284506879</v>
      </c>
      <c r="AV83" s="21">
        <f>EXP(-LN(2)/25)*AV82+(1-EXP(-LN(2)/25))/(LN(2)/25)*Calculateur!AQ83*Calculateur!AS83*VLOOKUP('Données projet'!$B$10,Paramètres!$A$1:$I$89,3,0)*0.475*44/12</f>
        <v>22.827376361314329</v>
      </c>
      <c r="AW83" s="21">
        <f>EXP(-LN(2)/2)*AW82+(1-EXP(-LN(2)/2))/(LN(2)/2)*AQ83*AT83*VLOOKUP('Données projet'!$B$10,Paramètres!$A$1:$I$89,3,0)*0.475*44/12</f>
        <v>0.35558246636012086</v>
      </c>
      <c r="AX83" s="21">
        <f t="shared" si="60"/>
        <v>50.131491672743238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321.33862800000043</v>
      </c>
      <c r="BF83" s="13">
        <f t="shared" si="91"/>
        <v>75.631813545776993</v>
      </c>
      <c r="BG83" s="20">
        <f t="shared" si="61"/>
        <v>691.39018569222901</v>
      </c>
      <c r="BH83" s="59">
        <f t="shared" si="62"/>
        <v>984.72351902556238</v>
      </c>
      <c r="BI83" s="59">
        <f ca="1">AVERAGE(OFFSET($BH$3,0,0,'Données projet'!$E$11+1,1))-AVERAGE(OFFSET($H$3,0,0,'Données projet'!$E$11+1,1))</f>
        <v>706.69239849991595</v>
      </c>
      <c r="BJ83" s="59">
        <f t="shared" si="92"/>
        <v>310.59887275116529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14.553941246695706</v>
      </c>
      <c r="BQ83" s="21">
        <f>EXP(-LN(2)/25)*BQ82+(1-EXP(-LN(2)/25))/(LN(2)/25)*Calculateur!BL83*Calculateur!BN83*VLOOKUP('Données projet'!$B$11,Paramètres!$A$1:$I$89,3,0)*0.475*44/12</f>
        <v>29.881454664510606</v>
      </c>
      <c r="BR83" s="21">
        <f>EXP(-LN(2)/2)*BR82+(1-EXP(-LN(2)/2))/(LN(2)/2)*BL83*BO83*VLOOKUP('Données projet'!$B$11,Paramètres!$A$1:$I$89,3,0)*0.475*44/12</f>
        <v>0.65880918180148063</v>
      </c>
      <c r="BS83" s="22">
        <f t="shared" si="63"/>
        <v>45.094205093007794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9.4837500000000006</v>
      </c>
      <c r="BY83" s="12">
        <f>IF('Données projet'!$A$114&gt;35,BY82+BX83-CG82,IF(A83&lt;'Données projet'!$A$114,$BV$205^A83,IF(A83='Données projet'!$A$114,'Données projet'!$B$114,BY82+BX83-CG82)))</f>
        <v>277.65874999999994</v>
      </c>
      <c r="BZ83" s="13">
        <f>BY83*VLOOKUP('Données projet'!$B$12,Paramètres!$A$1:$I$89,3,0)*VLOOKUP('Données projet'!$B$12,Paramètres!$A$1:$I$89,5,0)</f>
        <v>264.22006649999997</v>
      </c>
      <c r="CA83" s="13">
        <f t="shared" si="93"/>
        <v>63.621080932408354</v>
      </c>
      <c r="CB83" s="20">
        <f t="shared" si="64"/>
        <v>570.98999844477783</v>
      </c>
      <c r="CC83" s="59">
        <f t="shared" si="65"/>
        <v>864.3233317781112</v>
      </c>
      <c r="CD83" s="59">
        <f ca="1">AVERAGE(OFFSET($CC$3,0,0,'Données projet'!$E$12+1,1))-AVERAGE(OFFSET($H$3,0,0,'Données projet'!$E$12+1,1))</f>
        <v>449.28947235329758</v>
      </c>
      <c r="CE83" s="59">
        <f t="shared" si="94"/>
        <v>289.36994109443964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19.85253999815215</v>
      </c>
      <c r="CL83" s="21">
        <f>EXP(-LN(2)/25)*CL82+(1-EXP(-LN(2)/25))/(LN(2)/25)*Calculateur!CG83*Calculateur!CI83*VLOOKUP('Données projet'!$B$12,Paramètres!$A$1:$I$89,3,0)*0.475*44/12</f>
        <v>23.778778154954598</v>
      </c>
      <c r="CM83" s="21">
        <f>EXP(-LN(2)/2)*CM82+(1-EXP(-LN(2)/2))/(LN(2)/2)*CG83*CJ83*VLOOKUP('Données projet'!$B$12,Paramètres!$A$1:$I$89,3,0)*0.475*44/12</f>
        <v>0.73584461945359536</v>
      </c>
      <c r="CN83" s="22">
        <f t="shared" si="66"/>
        <v>44.367162772560341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219.00000000000003</v>
      </c>
      <c r="CU83" s="17">
        <f>CT83*VLOOKUP('Données projet'!$B$13,Paramètres!$A$1:$I$89,3,0)*VLOOKUP('Données projet'!$B$13,Paramètres!$A$1:$I$89,5,0)</f>
        <v>191.31840000000005</v>
      </c>
      <c r="CV83" s="13">
        <f t="shared" si="95"/>
        <v>47.831314962098396</v>
      </c>
      <c r="CW83" s="20">
        <f t="shared" si="67"/>
        <v>416.51908689232141</v>
      </c>
      <c r="CX83" s="59">
        <f t="shared" si="68"/>
        <v>709.85242022565467</v>
      </c>
      <c r="CY83" s="59">
        <f ca="1">AVERAGE(OFFSET($CX$3,0,0,'Données projet'!$E$13+1,1))-AVERAGE(OFFSET($H$3,0,0,'Données projet'!$E$13+1,1))</f>
        <v>261.93797831021766</v>
      </c>
      <c r="CZ83" s="59">
        <f t="shared" si="96"/>
        <v>256.90876395053073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219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32.986201119407255</v>
      </c>
      <c r="DG83" s="21">
        <f>EXP(-LN(2)/25)*DG82+(1-EXP(-LN(2)/25))/(LN(2)/25)*Calculateur!DB83*Calculateur!DD83*VLOOKUP('Données projet'!$B$13,Paramètres!$A$1:$I$89,3,0)*0.475*44/12</f>
        <v>36.495971109124334</v>
      </c>
      <c r="DH83" s="21">
        <f>EXP(-LN(2)/2)*DH82+(1-EXP(-LN(2)/2))/(LN(2)/2)*DB83*DE83*VLOOKUP('Données projet'!$B$13,Paramètres!$A$1:$I$89,3,0)*0.475*44/12</f>
        <v>45.446441640628109</v>
      </c>
      <c r="DI83" s="22">
        <f t="shared" si="69"/>
        <v>114.9286138691597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12.082500000000003</v>
      </c>
      <c r="N84" s="13">
        <f>IF('Données projet'!$A$36&gt;35,N83+M84-V83,IF(A84&lt;'Données projet'!$A$36,$K$205^A84,IF(A84='Données projet'!$A$36,'Données projet'!$B$36,N83+M84-V83)))</f>
        <v>424.08749999999998</v>
      </c>
      <c r="O84" s="13">
        <f>N84*VLOOKUP('Données projet'!$B$9,Paramètres!$A$1:$I$89,3,0)*VLOOKUP('Données projet'!$B$9,Paramètres!$A$1:$I$89,5,0)</f>
        <v>383.71436999999997</v>
      </c>
      <c r="P84" s="13">
        <f t="shared" si="87"/>
        <v>88.467059030009779</v>
      </c>
      <c r="Q84" s="20">
        <f t="shared" si="54"/>
        <v>822.38265556060048</v>
      </c>
      <c r="R84" s="59">
        <f t="shared" si="55"/>
        <v>1115.7159888939339</v>
      </c>
      <c r="S84" s="59">
        <f ca="1">AVERAGE(OFFSET($R$3,0,0,'Données projet'!$E$9+1,1))-AVERAGE(OFFSET($H$3,0,0,'Données projet'!$E$9+1,1))</f>
        <v>695.0879239758051</v>
      </c>
      <c r="T84" s="59">
        <f t="shared" si="88"/>
        <v>226.22150997227476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24.703744254440174</v>
      </c>
      <c r="AA84" s="21">
        <f>EXP(-LN(2)/25)*AA83+(1-EXP(-LN(2)/25))/(LN(2)/25)*Calculateur!V84*Calculateur!X84*VLOOKUP('Données projet'!$B$9,Paramètres!$A$1:$I$89,3,0)*0.475*44/12</f>
        <v>33.048326167159757</v>
      </c>
      <c r="AB84" s="21">
        <f>EXP(-LN(2)/2)*AB83+(1-EXP(-LN(2)/2))/(LN(2)/2)*V84*Y84*VLOOKUP('Données projet'!$B$9,Paramètres!$A$1:$I$89,3,0)*0.475*44/12</f>
        <v>0.60640207855755623</v>
      </c>
      <c r="AC84" s="22">
        <f t="shared" si="57"/>
        <v>58.35847250015749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433.28</v>
      </c>
      <c r="AG84" s="12">
        <f>VLOOKUP(A84,'Données projet'!$A$61:$I$81,9,0)</f>
        <v>12.707777777777771</v>
      </c>
      <c r="AH84" s="12">
        <f t="array" ref="AH84">INDEX(AG:AG,MIN(IF(ISNUMBER(AG84:AG280),ROW(AG84:AG280),"")))</f>
        <v>12.707777777777771</v>
      </c>
      <c r="AI84" s="13">
        <f>IF('Données projet'!$A$62&gt;35,AI83+AH84-AQ83,IF(A84&lt;'Données projet'!$A$62,$AF$205^A84,IF(A84='Données projet'!$A$62,'Données projet'!$B$62,AI83+AH84-AQ83)))</f>
        <v>433.27999999999975</v>
      </c>
      <c r="AJ84" s="13">
        <f>AI84*VLOOKUP('Données projet'!$B$10,Paramètres!$A$1:$I$89,3,0)*VLOOKUP('Données projet'!$B$10,Paramètres!$A$1:$I$89,5,0)</f>
        <v>364.99507199999982</v>
      </c>
      <c r="AK84" s="13">
        <f t="shared" si="89"/>
        <v>84.642573401902411</v>
      </c>
      <c r="AL84" s="20">
        <f t="shared" si="58"/>
        <v>783.11889907497971</v>
      </c>
      <c r="AM84" s="59">
        <f t="shared" si="59"/>
        <v>1076.452232408313</v>
      </c>
      <c r="AN84" s="59">
        <f ca="1">AVERAGE(OFFSET($AM$3,0,0,'Données projet'!$E$10+1,1))-AVERAGE(OFFSET($H$3,0,0,'Données projet'!$E$10+1,1))</f>
        <v>424.81155998881928</v>
      </c>
      <c r="AO84" s="59">
        <f t="shared" si="90"/>
        <v>277.34430416544575</v>
      </c>
      <c r="AP84" s="15">
        <f>IF(ISNA(VLOOKUP(A84,'Données projet'!$A$61:$I$81,3,0)),0,VLOOKUP(A84,'Données projet'!$A$61:$I$81,3,0))</f>
        <v>8</v>
      </c>
      <c r="AQ84" s="15">
        <f>IF(ISNA(VLOOKUP(A84,'Données projet'!$A$61:$I$81,4,0)),0,VLOOKUP(A84,'Données projet'!$A$61:$I$81,4,0))</f>
        <v>87.399999999999977</v>
      </c>
      <c r="AR84" s="16">
        <f>IF(ISNA(VLOOKUP(A84,'Données projet'!$A$61:$I$81,5,0)),0%,VLOOKUP(A84,'Données projet'!$A$61:$I$81,5,0)*VLOOKUP('Données projet'!$B$10,Paramètres!$A$1:$I$89,7,0))</f>
        <v>0.215</v>
      </c>
      <c r="AS84" s="16">
        <f>IF(ISNA(VLOOKUP(A84,'Données projet'!$A$61:$I$81,6,0)),0%,VLOOKUP(A84,'Données projet'!$A$61:$I$81,6,0)*VLOOKUP('Données projet'!$B$10,Paramètres!$A$1:$I$89,7,0))</f>
        <v>8.6000000000000007E-2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43.919174375838409</v>
      </c>
      <c r="AV84" s="21">
        <f>EXP(-LN(2)/25)*AV83+(1-EXP(-LN(2)/25))/(LN(2)/25)*Calculateur!AQ84*Calculateur!AS84*VLOOKUP('Données projet'!$B$10,Paramètres!$A$1:$I$89,3,0)*0.475*44/12</f>
        <v>29.175234656002758</v>
      </c>
      <c r="AW84" s="21">
        <f>EXP(-LN(2)/2)*AW83+(1-EXP(-LN(2)/2))/(LN(2)/2)*AQ84*AT84*VLOOKUP('Données projet'!$B$10,Paramètres!$A$1:$I$89,3,0)*0.475*44/12</f>
        <v>0.25143477323427887</v>
      </c>
      <c r="AX84" s="21">
        <f t="shared" si="60"/>
        <v>73.345843805075447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331.01928600000042</v>
      </c>
      <c r="BF84" s="13">
        <f t="shared" si="91"/>
        <v>77.641593219997347</v>
      </c>
      <c r="BG84" s="20">
        <f t="shared" si="61"/>
        <v>711.75103130816262</v>
      </c>
      <c r="BH84" s="59">
        <f t="shared" si="62"/>
        <v>1005.084364641496</v>
      </c>
      <c r="BI84" s="59">
        <f ca="1">AVERAGE(OFFSET($BH$3,0,0,'Données projet'!$E$11+1,1))-AVERAGE(OFFSET($H$3,0,0,'Données projet'!$E$11+1,1))</f>
        <v>706.69239849991595</v>
      </c>
      <c r="BJ84" s="59">
        <f t="shared" si="92"/>
        <v>310.59887275116529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14.268547335875629</v>
      </c>
      <c r="BQ84" s="21">
        <f>EXP(-LN(2)/25)*BQ83+(1-EXP(-LN(2)/25))/(LN(2)/25)*Calculateur!BL84*Calculateur!BN84*VLOOKUP('Données projet'!$B$11,Paramètres!$A$1:$I$89,3,0)*0.475*44/12</f>
        <v>29.064344715312156</v>
      </c>
      <c r="BR84" s="21">
        <f>EXP(-LN(2)/2)*BR83+(1-EXP(-LN(2)/2))/(LN(2)/2)*BL84*BO84*VLOOKUP('Données projet'!$B$11,Paramètres!$A$1:$I$89,3,0)*0.475*44/12</f>
        <v>0.46584843995978797</v>
      </c>
      <c r="BS84" s="22">
        <f t="shared" si="63"/>
        <v>43.798740491147569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9.4837500000000006</v>
      </c>
      <c r="BY84" s="12">
        <f>IF('Données projet'!$A$114&gt;35,BY83+BX84-CG83,IF(A84&lt;'Données projet'!$A$114,$BV$205^A84,IF(A84='Données projet'!$A$114,'Données projet'!$B$114,BY83+BX84-CG83)))</f>
        <v>287.14249999999993</v>
      </c>
      <c r="BZ84" s="13">
        <f>BY84*VLOOKUP('Données projet'!$B$12,Paramètres!$A$1:$I$89,3,0)*VLOOKUP('Données projet'!$B$12,Paramètres!$A$1:$I$89,5,0)</f>
        <v>273.24480299999993</v>
      </c>
      <c r="CA84" s="13">
        <f t="shared" si="93"/>
        <v>65.537418866724181</v>
      </c>
      <c r="CB84" s="20">
        <f t="shared" si="64"/>
        <v>590.04570308454447</v>
      </c>
      <c r="CC84" s="59">
        <f t="shared" si="65"/>
        <v>883.37903641787784</v>
      </c>
      <c r="CD84" s="59">
        <f ca="1">AVERAGE(OFFSET($CC$3,0,0,'Données projet'!$E$12+1,1))-AVERAGE(OFFSET($H$3,0,0,'Données projet'!$E$12+1,1))</f>
        <v>449.28947235329758</v>
      </c>
      <c r="CE84" s="59">
        <f t="shared" si="94"/>
        <v>289.36994109443964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19.463243797642136</v>
      </c>
      <c r="CL84" s="21">
        <f>EXP(-LN(2)/25)*CL83+(1-EXP(-LN(2)/25))/(LN(2)/25)*Calculateur!CG84*Calculateur!CI84*VLOOKUP('Données projet'!$B$12,Paramètres!$A$1:$I$89,3,0)*0.475*44/12</f>
        <v>23.128546215835769</v>
      </c>
      <c r="CM84" s="21">
        <f>EXP(-LN(2)/2)*CM83+(1-EXP(-LN(2)/2))/(LN(2)/2)*CG84*CJ84*VLOOKUP('Données projet'!$B$12,Paramètres!$A$1:$I$89,3,0)*0.475*44/12</f>
        <v>0.52032072031527177</v>
      </c>
      <c r="CN84" s="22">
        <f t="shared" si="66"/>
        <v>43.112110733793173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2.8421709430404007E-14</v>
      </c>
      <c r="CU84" s="17">
        <f>CT84*VLOOKUP('Données projet'!$B$13,Paramètres!$A$1:$I$89,3,0)*VLOOKUP('Données projet'!$B$13,Paramètres!$A$1:$I$89,5,0)</f>
        <v>2.4829205358400945E-14</v>
      </c>
      <c r="CV84" s="13">
        <f t="shared" si="95"/>
        <v>4.3867331143352915E-13</v>
      </c>
      <c r="CW84" s="20">
        <f t="shared" si="67"/>
        <v>8.0726688341261168E-13</v>
      </c>
      <c r="CX84" s="59">
        <f t="shared" si="68"/>
        <v>293.33333333333411</v>
      </c>
      <c r="CY84" s="59">
        <f ca="1">AVERAGE(OFFSET($CX$3,0,0,'Données projet'!$E$13+1,1))-AVERAGE(OFFSET($H$3,0,0,'Données projet'!$E$13+1,1))</f>
        <v>261.93797831021766</v>
      </c>
      <c r="CZ84" s="59">
        <f t="shared" si="96"/>
        <v>256.90876395053073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32.339361835051719</v>
      </c>
      <c r="DG84" s="21">
        <f>EXP(-LN(2)/25)*DG83+(1-EXP(-LN(2)/25))/(LN(2)/25)*Calculateur!DB84*Calculateur!DD84*VLOOKUP('Données projet'!$B$13,Paramètres!$A$1:$I$89,3,0)*0.475*44/12</f>
        <v>35.497986859905623</v>
      </c>
      <c r="DH84" s="21">
        <f>EXP(-LN(2)/2)*DH83+(1-EXP(-LN(2)/2))/(LN(2)/2)*DB84*DE84*VLOOKUP('Données projet'!$B$13,Paramètres!$A$1:$I$89,3,0)*0.475*44/12</f>
        <v>32.135487064886824</v>
      </c>
      <c r="DI84" s="22">
        <f t="shared" si="69"/>
        <v>99.972835759844173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12.082500000000003</v>
      </c>
      <c r="M85" s="12">
        <f t="array" ref="M85">INDEX(L:L,MIN(IF(ISNUMBER(L85:L281),ROW(L85:L281),"")))</f>
        <v>12.082500000000003</v>
      </c>
      <c r="N85" s="13">
        <f>IF('Données projet'!$A$36&gt;35,N84+M85-V84,IF(A85&lt;'Données projet'!$A$36,$K$205^A85,IF(A85='Données projet'!$A$36,'Données projet'!$B$36,N84+M85-V84)))</f>
        <v>436.16999999999996</v>
      </c>
      <c r="O85" s="13">
        <f>N85*VLOOKUP('Données projet'!$B$9,Paramètres!$A$1:$I$89,3,0)*VLOOKUP('Données projet'!$B$9,Paramètres!$A$1:$I$89,5,0)</f>
        <v>394.64661599999999</v>
      </c>
      <c r="P85" s="13">
        <f t="shared" si="87"/>
        <v>90.690499158874985</v>
      </c>
      <c r="Q85" s="20">
        <f t="shared" si="54"/>
        <v>845.29547556837406</v>
      </c>
      <c r="R85" s="59">
        <f t="shared" si="55"/>
        <v>1138.6288089017073</v>
      </c>
      <c r="S85" s="59">
        <f ca="1">AVERAGE(OFFSET($R$3,0,0,'Données projet'!$E$9+1,1))-AVERAGE(OFFSET($H$3,0,0,'Données projet'!$E$9+1,1))</f>
        <v>695.0879239758051</v>
      </c>
      <c r="T85" s="59">
        <f t="shared" si="88"/>
        <v>226.22150997227476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58.140000000000043</v>
      </c>
      <c r="W85" s="16">
        <f>IF(ISNA(VLOOKUP(A85,'Données projet'!$A$35:$I$55,5,0)),0%,VLOOKUP(A85,'Données projet'!$A$35:$I$55,5,0)*VLOOKUP('Données projet'!$B$9,Paramètres!$A$1:$I$89,7,0))</f>
        <v>0.15049999999999999</v>
      </c>
      <c r="X85" s="16">
        <f>IF(ISNA(VLOOKUP(A85,'Données projet'!$A$35:$I$55,6,0)),0%,VLOOKUP(A85,'Données projet'!$A$35:$I$55,6,0)*VLOOKUP('Données projet'!$B$9,Paramètres!$A$1:$I$89,7,0))</f>
        <v>8.6000000000000007E-2</v>
      </c>
      <c r="Y85" s="16">
        <f>IF(ISNA(VLOOKUP(A85,'Données projet'!$A$35:$I$55,7,0)),0%,VLOOKUP(A85,'Données projet'!$A$35:$I$55,7,0))</f>
        <v>0.1</v>
      </c>
      <c r="Z85" s="21">
        <f>EXP(-LN(2)/35)*Z84+(1-EXP(-LN(2)/35))/(LN(2)/35)*V85*W85*VLOOKUP('Données projet'!$B$9,Paramètres!$A$1:$I$89,3,0)*0.475*44/12</f>
        <v>32.971397908241109</v>
      </c>
      <c r="AA85" s="21">
        <f>EXP(-LN(2)/25)*AA84+(1-EXP(-LN(2)/25))/(LN(2)/25)*Calculateur!V85*Calculateur!X85*VLOOKUP('Données projet'!$B$9,Paramètres!$A$1:$I$89,3,0)*0.475*44/12</f>
        <v>37.126114373591477</v>
      </c>
      <c r="AB85" s="21">
        <f>EXP(-LN(2)/2)*AB84+(1-EXP(-LN(2)/2))/(LN(2)/2)*V85*Y85*VLOOKUP('Données projet'!$B$9,Paramètres!$A$1:$I$89,3,0)*0.475*44/12</f>
        <v>5.3922211495490986</v>
      </c>
      <c r="AC85" s="22">
        <f t="shared" si="57"/>
        <v>75.489733431381694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11.905555555555553</v>
      </c>
      <c r="AI85" s="13">
        <f>IF('Données projet'!$A$62&gt;35,AI84+AH85-AQ84,IF(A85&lt;'Données projet'!$A$62,$AF$205^A85,IF(A85='Données projet'!$A$62,'Données projet'!$B$62,AI84+AH85-AQ84)))</f>
        <v>357.78555555555533</v>
      </c>
      <c r="AJ85" s="13">
        <f>AI85*VLOOKUP('Données projet'!$B$10,Paramètres!$A$1:$I$89,3,0)*VLOOKUP('Données projet'!$B$10,Paramètres!$A$1:$I$89,5,0)</f>
        <v>301.39855199999988</v>
      </c>
      <c r="AK85" s="13">
        <f t="shared" si="89"/>
        <v>71.469574283423256</v>
      </c>
      <c r="AL85" s="20">
        <f t="shared" si="58"/>
        <v>649.41198661029523</v>
      </c>
      <c r="AM85" s="59">
        <f t="shared" si="59"/>
        <v>942.7453199436286</v>
      </c>
      <c r="AN85" s="59">
        <f ca="1">AVERAGE(OFFSET($AM$3,0,0,'Données projet'!$E$10+1,1))-AVERAGE(OFFSET($H$3,0,0,'Données projet'!$E$10+1,1))</f>
        <v>424.81155998881928</v>
      </c>
      <c r="AO85" s="59">
        <f t="shared" si="90"/>
        <v>277.34430416544575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43.057946154379486</v>
      </c>
      <c r="AV85" s="21">
        <f>EXP(-LN(2)/25)*AV84+(1-EXP(-LN(2)/25))/(LN(2)/25)*Calculateur!AQ85*Calculateur!AS85*VLOOKUP('Données projet'!$B$10,Paramètres!$A$1:$I$89,3,0)*0.475*44/12</f>
        <v>28.377436330075451</v>
      </c>
      <c r="AW85" s="21">
        <f>EXP(-LN(2)/2)*AW84+(1-EXP(-LN(2)/2))/(LN(2)/2)*AQ85*AT85*VLOOKUP('Données projet'!$B$10,Paramètres!$A$1:$I$89,3,0)*0.475*44/12</f>
        <v>0.17779123318006043</v>
      </c>
      <c r="AX85" s="21">
        <f t="shared" si="60"/>
        <v>71.613173717634993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340.69994400000047</v>
      </c>
      <c r="BF85" s="13">
        <f t="shared" si="91"/>
        <v>79.644541970406692</v>
      </c>
      <c r="BG85" s="20">
        <f t="shared" si="61"/>
        <v>732.09997973179236</v>
      </c>
      <c r="BH85" s="59">
        <f t="shared" si="62"/>
        <v>1025.4333130651257</v>
      </c>
      <c r="BI85" s="59">
        <f ca="1">AVERAGE(OFFSET($BH$3,0,0,'Données projet'!$E$11+1,1))-AVERAGE(OFFSET($H$3,0,0,'Données projet'!$E$11+1,1))</f>
        <v>706.69239849991595</v>
      </c>
      <c r="BJ85" s="59">
        <f t="shared" si="92"/>
        <v>310.59887275116529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13.988749825573638</v>
      </c>
      <c r="BQ85" s="21">
        <f>EXP(-LN(2)/25)*BQ84+(1-EXP(-LN(2)/25))/(LN(2)/25)*Calculateur!BL85*Calculateur!BN85*VLOOKUP('Données projet'!$B$11,Paramètres!$A$1:$I$89,3,0)*0.475*44/12</f>
        <v>28.269578680644486</v>
      </c>
      <c r="BR85" s="21">
        <f>EXP(-LN(2)/2)*BR84+(1-EXP(-LN(2)/2))/(LN(2)/2)*BL85*BO85*VLOOKUP('Données projet'!$B$11,Paramètres!$A$1:$I$89,3,0)*0.475*44/12</f>
        <v>0.32940459090074031</v>
      </c>
      <c r="BS85" s="22">
        <f t="shared" si="63"/>
        <v>42.587733097118864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9.4837500000000006</v>
      </c>
      <c r="BY85" s="12">
        <f>IF('Données projet'!$A$114&gt;35,BY84+BX85-CG84,IF(A85&lt;'Données projet'!$A$114,$BV$205^A85,IF(A85='Données projet'!$A$114,'Données projet'!$B$114,BY84+BX85-CG84)))</f>
        <v>296.62624999999991</v>
      </c>
      <c r="BZ85" s="13">
        <f>BY85*VLOOKUP('Données projet'!$B$12,Paramètres!$A$1:$I$89,3,0)*VLOOKUP('Données projet'!$B$12,Paramètres!$A$1:$I$89,5,0)</f>
        <v>282.26953949999995</v>
      </c>
      <c r="CA85" s="13">
        <f t="shared" si="93"/>
        <v>67.446402243109091</v>
      </c>
      <c r="CB85" s="20">
        <f t="shared" si="64"/>
        <v>609.08859853591491</v>
      </c>
      <c r="CC85" s="59">
        <f t="shared" si="65"/>
        <v>902.42193186924828</v>
      </c>
      <c r="CD85" s="59">
        <f ca="1">AVERAGE(OFFSET($CC$3,0,0,'Données projet'!$E$12+1,1))-AVERAGE(OFFSET($H$3,0,0,'Données projet'!$E$12+1,1))</f>
        <v>449.28947235329758</v>
      </c>
      <c r="CE85" s="59">
        <f t="shared" si="94"/>
        <v>289.36994109443964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19.081581458176885</v>
      </c>
      <c r="CL85" s="21">
        <f>EXP(-LN(2)/25)*CL84+(1-EXP(-LN(2)/25))/(LN(2)/25)*Calculateur!CG85*Calculateur!CI85*VLOOKUP('Données projet'!$B$12,Paramètres!$A$1:$I$89,3,0)*0.475*44/12</f>
        <v>22.496094903286355</v>
      </c>
      <c r="CM85" s="21">
        <f>EXP(-LN(2)/2)*CM84+(1-EXP(-LN(2)/2))/(LN(2)/2)*CG85*CJ85*VLOOKUP('Données projet'!$B$12,Paramètres!$A$1:$I$89,3,0)*0.475*44/12</f>
        <v>0.36792230972679768</v>
      </c>
      <c r="CN85" s="22">
        <f t="shared" si="66"/>
        <v>41.945598671190041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2.8421709430404007E-14</v>
      </c>
      <c r="CU85" s="17">
        <f>CT85*VLOOKUP('Données projet'!$B$13,Paramètres!$A$1:$I$89,3,0)*VLOOKUP('Données projet'!$B$13,Paramètres!$A$1:$I$89,5,0)</f>
        <v>2.4829205358400945E-14</v>
      </c>
      <c r="CV85" s="13">
        <f t="shared" si="95"/>
        <v>4.3867331143352915E-13</v>
      </c>
      <c r="CW85" s="20">
        <f t="shared" si="67"/>
        <v>8.0726688341261168E-13</v>
      </c>
      <c r="CX85" s="59">
        <f t="shared" si="68"/>
        <v>293.33333333333411</v>
      </c>
      <c r="CY85" s="59">
        <f ca="1">AVERAGE(OFFSET($CX$3,0,0,'Données projet'!$E$13+1,1))-AVERAGE(OFFSET($H$3,0,0,'Données projet'!$E$13+1,1))</f>
        <v>261.93797831021766</v>
      </c>
      <c r="CZ85" s="59">
        <f t="shared" si="96"/>
        <v>256.90876395053073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31.705206674529386</v>
      </c>
      <c r="DG85" s="21">
        <f>EXP(-LN(2)/25)*DG84+(1-EXP(-LN(2)/25))/(LN(2)/25)*Calculateur!DB85*Calculateur!DD85*VLOOKUP('Données projet'!$B$13,Paramètres!$A$1:$I$89,3,0)*0.475*44/12</f>
        <v>34.527292542463506</v>
      </c>
      <c r="DH85" s="21">
        <f>EXP(-LN(2)/2)*DH84+(1-EXP(-LN(2)/2))/(LN(2)/2)*DB85*DE85*VLOOKUP('Données projet'!$B$13,Paramètres!$A$1:$I$89,3,0)*0.475*44/12</f>
        <v>22.723220820314058</v>
      </c>
      <c r="DI85" s="22">
        <f t="shared" si="69"/>
        <v>88.955720037306946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11.667500000000004</v>
      </c>
      <c r="N86" s="13">
        <f>IF('Données projet'!$A$36&gt;35,N85+M86-V85,IF(A86&lt;'Données projet'!$A$36,$K$205^A86,IF(A86='Données projet'!$A$36,'Données projet'!$B$36,N85+M86-V85)))</f>
        <v>389.69749999999993</v>
      </c>
      <c r="O86" s="13">
        <f>N86*VLOOKUP('Données projet'!$B$9,Paramètres!$A$1:$I$89,3,0)*VLOOKUP('Données projet'!$B$9,Paramètres!$A$1:$I$89,5,0)</f>
        <v>352.59829799999994</v>
      </c>
      <c r="P86" s="13">
        <f t="shared" si="87"/>
        <v>82.097297257859907</v>
      </c>
      <c r="Q86" s="20">
        <f t="shared" si="54"/>
        <v>757.09482840743919</v>
      </c>
      <c r="R86" s="59">
        <f t="shared" si="55"/>
        <v>1050.4281617407726</v>
      </c>
      <c r="S86" s="59">
        <f ca="1">AVERAGE(OFFSET($R$3,0,0,'Données projet'!$E$9+1,1))-AVERAGE(OFFSET($H$3,0,0,'Données projet'!$E$9+1,1))</f>
        <v>695.0879239758051</v>
      </c>
      <c r="T86" s="59">
        <f t="shared" si="88"/>
        <v>226.22150997227476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32.324848905827473</v>
      </c>
      <c r="AA86" s="21">
        <f>EXP(-LN(2)/25)*AA85+(1-EXP(-LN(2)/25))/(LN(2)/25)*Calculateur!V86*Calculateur!X86*VLOOKUP('Données projet'!$B$9,Paramètres!$A$1:$I$89,3,0)*0.475*44/12</f>
        <v>36.110898823668116</v>
      </c>
      <c r="AB86" s="21">
        <f>EXP(-LN(2)/2)*AB85+(1-EXP(-LN(2)/2))/(LN(2)/2)*V86*Y86*VLOOKUP('Données projet'!$B$9,Paramètres!$A$1:$I$89,3,0)*0.475*44/12</f>
        <v>3.8128761405036884</v>
      </c>
      <c r="AC86" s="22">
        <f t="shared" si="57"/>
        <v>72.248623869999278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11.905555555555553</v>
      </c>
      <c r="AI86" s="13">
        <f>IF('Données projet'!$A$62&gt;35,AI85+AH86-AQ85,IF(A86&lt;'Données projet'!$A$62,$AF$205^A86,IF(A86='Données projet'!$A$62,'Données projet'!$B$62,AI85+AH86-AQ85)))</f>
        <v>369.6911111111109</v>
      </c>
      <c r="AJ86" s="13">
        <f>AI86*VLOOKUP('Données projet'!$B$10,Paramètres!$A$1:$I$89,3,0)*VLOOKUP('Données projet'!$B$10,Paramètres!$A$1:$I$89,5,0)</f>
        <v>311.42779199999984</v>
      </c>
      <c r="AK86" s="13">
        <f t="shared" si="89"/>
        <v>73.566930176716866</v>
      </c>
      <c r="AL86" s="20">
        <f t="shared" si="58"/>
        <v>670.53247445778163</v>
      </c>
      <c r="AM86" s="59">
        <f t="shared" si="59"/>
        <v>963.865807791115</v>
      </c>
      <c r="AN86" s="59">
        <f ca="1">AVERAGE(OFFSET($AM$3,0,0,'Données projet'!$E$10+1,1))-AVERAGE(OFFSET($H$3,0,0,'Données projet'!$E$10+1,1))</f>
        <v>424.81155998881928</v>
      </c>
      <c r="AO86" s="59">
        <f t="shared" si="90"/>
        <v>277.34430416544575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42.213606093046025</v>
      </c>
      <c r="AV86" s="21">
        <f>EXP(-LN(2)/25)*AV85+(1-EXP(-LN(2)/25))/(LN(2)/25)*Calculateur!AQ86*Calculateur!AS86*VLOOKUP('Données projet'!$B$10,Paramètres!$A$1:$I$89,3,0)*0.475*44/12</f>
        <v>27.601453841325018</v>
      </c>
      <c r="AW86" s="21">
        <f>EXP(-LN(2)/2)*AW85+(1-EXP(-LN(2)/2))/(LN(2)/2)*AQ86*AT86*VLOOKUP('Données projet'!$B$10,Paramètres!$A$1:$I$89,3,0)*0.475*44/12</f>
        <v>0.12571738661713944</v>
      </c>
      <c r="AX86" s="21">
        <f t="shared" si="60"/>
        <v>69.94077732098819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350.38060200000047</v>
      </c>
      <c r="BF86" s="13">
        <f t="shared" si="91"/>
        <v>81.640876184681076</v>
      </c>
      <c r="BG86" s="20">
        <f t="shared" si="61"/>
        <v>752.43740783832027</v>
      </c>
      <c r="BH86" s="59">
        <f t="shared" si="62"/>
        <v>1045.7707411716535</v>
      </c>
      <c r="BI86" s="59">
        <f ca="1">AVERAGE(OFFSET($BH$3,0,0,'Données projet'!$E$11+1,1))-AVERAGE(OFFSET($H$3,0,0,'Données projet'!$E$11+1,1))</f>
        <v>706.69239849991595</v>
      </c>
      <c r="BJ86" s="59">
        <f t="shared" si="92"/>
        <v>310.59887275116529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13.714438973789038</v>
      </c>
      <c r="BQ86" s="21">
        <f>EXP(-LN(2)/25)*BQ85+(1-EXP(-LN(2)/25))/(LN(2)/25)*Calculateur!BL86*Calculateur!BN86*VLOOKUP('Données projet'!$B$11,Paramètres!$A$1:$I$89,3,0)*0.475*44/12</f>
        <v>27.496545564989731</v>
      </c>
      <c r="BR86" s="21">
        <f>EXP(-LN(2)/2)*BR85+(1-EXP(-LN(2)/2))/(LN(2)/2)*BL86*BO86*VLOOKUP('Données projet'!$B$11,Paramètres!$A$1:$I$89,3,0)*0.475*44/12</f>
        <v>0.23292421997989399</v>
      </c>
      <c r="BS86" s="22">
        <f t="shared" si="63"/>
        <v>41.44390875875866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306.11</v>
      </c>
      <c r="BW86" s="12">
        <f>VLOOKUP(A86,'Données projet'!$A$113:$I$133,9,0)</f>
        <v>9.4837500000000006</v>
      </c>
      <c r="BX86" s="12">
        <f t="array" ref="BX86">INDEX(BW:BW,MIN(IF(ISNUMBER(BW86:BW282),ROW(BW86:BW282),"")))</f>
        <v>9.4837500000000006</v>
      </c>
      <c r="BY86" s="12">
        <f>IF('Données projet'!$A$114&gt;35,BY85+BX86-CG85,IF(A86&lt;'Données projet'!$A$114,$BV$205^A86,IF(A86='Données projet'!$A$114,'Données projet'!$B$114,BY85+BX86-CG85)))</f>
        <v>306.1099999999999</v>
      </c>
      <c r="BZ86" s="13">
        <f>BY86*VLOOKUP('Données projet'!$B$12,Paramètres!$A$1:$I$89,3,0)*VLOOKUP('Données projet'!$B$12,Paramètres!$A$1:$I$89,5,0)</f>
        <v>291.29427599999991</v>
      </c>
      <c r="CA86" s="13">
        <f t="shared" si="93"/>
        <v>69.348293174982246</v>
      </c>
      <c r="CB86" s="20">
        <f t="shared" si="64"/>
        <v>628.11914131309391</v>
      </c>
      <c r="CC86" s="59">
        <f t="shared" si="65"/>
        <v>921.45247464642716</v>
      </c>
      <c r="CD86" s="59">
        <f ca="1">AVERAGE(OFFSET($CC$3,0,0,'Données projet'!$E$12+1,1))-AVERAGE(OFFSET($H$3,0,0,'Données projet'!$E$12+1,1))</f>
        <v>449.28947235329758</v>
      </c>
      <c r="CE86" s="59">
        <f t="shared" si="94"/>
        <v>289.36994109443964</v>
      </c>
      <c r="CF86" s="15">
        <f>IF(ISNA(VLOOKUP(A86,'Données projet'!$A$113:$I$133,3,0)),0,VLOOKUP(A86,'Données projet'!$A$113:$I$133,3,0))</f>
        <v>7</v>
      </c>
      <c r="CG86" s="15">
        <f>IF(ISNA(VLOOKUP(A86,'Données projet'!$A$113:$I$133,4,0)),0,VLOOKUP(A86,'Données projet'!$A$113:$I$133,4,0))</f>
        <v>49.980000000000018</v>
      </c>
      <c r="CH86" s="16">
        <f>IF(ISNA(VLOOKUP(A86,'Données projet'!$A$113:$I$133,5,0)),0%,VLOOKUP(A86,'Données projet'!$A$113:$I$133,5,0)*VLOOKUP('Données projet'!$B$12,Paramètres!$A$1:$I$89,7,0))</f>
        <v>0.15049999999999999</v>
      </c>
      <c r="CI86" s="16">
        <f>IF(ISNA(VLOOKUP(A86,'Données projet'!$A$113:$I$133,6,0)),0%,VLOOKUP(A86,'Données projet'!$A$113:$I$133,6,0)*VLOOKUP('Données projet'!$B$12,Paramètres!$A$1:$I$89,7,0))</f>
        <v>8.6000000000000007E-2</v>
      </c>
      <c r="CJ86" s="16">
        <f>IF(ISNA(VLOOKUP(A86,'Données projet'!$A$113:$I$133,7,0)),0%,VLOOKUP(A86,'Données projet'!$A$113:$I$133,7,0))</f>
        <v>0.1</v>
      </c>
      <c r="CK86" s="21">
        <f>EXP(-LN(2)/35)*CK85+(1-EXP(-LN(2)/35))/(LN(2)/35)*CG86*CH86*VLOOKUP('Données projet'!$B$12,Paramètres!$A$1:$I$89,3,0)*0.475*44/12</f>
        <v>26.620278106957642</v>
      </c>
      <c r="CL86" s="21">
        <f>EXP(-LN(2)/25)*CL85+(1-EXP(-LN(2)/25))/(LN(2)/25)*Calculateur!CG86*Calculateur!CI86*VLOOKUP('Données projet'!$B$12,Paramètres!$A$1:$I$89,3,0)*0.475*44/12</f>
        <v>26.38477733047608</v>
      </c>
      <c r="CM86" s="21">
        <f>EXP(-LN(2)/2)*CM85+(1-EXP(-LN(2)/2))/(LN(2)/2)*CG86*CJ86*VLOOKUP('Données projet'!$B$12,Paramètres!$A$1:$I$89,3,0)*0.475*44/12</f>
        <v>4.7476656994261992</v>
      </c>
      <c r="CN86" s="22">
        <f t="shared" si="66"/>
        <v>57.752721136859925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2.8421709430404007E-14</v>
      </c>
      <c r="CU86" s="17">
        <f>CT86*VLOOKUP('Données projet'!$B$13,Paramètres!$A$1:$I$89,3,0)*VLOOKUP('Données projet'!$B$13,Paramètres!$A$1:$I$89,5,0)</f>
        <v>2.4829205358400945E-14</v>
      </c>
      <c r="CV86" s="13">
        <f t="shared" si="95"/>
        <v>4.3867331143352915E-13</v>
      </c>
      <c r="CW86" s="20">
        <f t="shared" si="67"/>
        <v>8.0726688341261168E-13</v>
      </c>
      <c r="CX86" s="59">
        <f t="shared" si="68"/>
        <v>293.33333333333411</v>
      </c>
      <c r="CY86" s="59">
        <f ca="1">AVERAGE(OFFSET($CX$3,0,0,'Données projet'!$E$13+1,1))-AVERAGE(OFFSET($H$3,0,0,'Données projet'!$E$13+1,1))</f>
        <v>261.93797831021766</v>
      </c>
      <c r="CZ86" s="59">
        <f t="shared" si="96"/>
        <v>256.90876395053073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31.083486909908441</v>
      </c>
      <c r="DG86" s="21">
        <f>EXP(-LN(2)/25)*DG85+(1-EXP(-LN(2)/25))/(LN(2)/25)*Calculateur!DB86*Calculateur!DD86*VLOOKUP('Données projet'!$B$13,Paramètres!$A$1:$I$89,3,0)*0.475*44/12</f>
        <v>33.583141912178441</v>
      </c>
      <c r="DH86" s="21">
        <f>EXP(-LN(2)/2)*DH85+(1-EXP(-LN(2)/2))/(LN(2)/2)*DB86*DE86*VLOOKUP('Données projet'!$B$13,Paramètres!$A$1:$I$89,3,0)*0.475*44/12</f>
        <v>16.067743532443416</v>
      </c>
      <c r="DI86" s="22">
        <f t="shared" si="69"/>
        <v>80.734372354530294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11.667500000000004</v>
      </c>
      <c r="N87" s="13">
        <f>IF('Données projet'!$A$36&gt;35,N86+M87-V86,IF(A87&lt;'Données projet'!$A$36,$K$205^A87,IF(A87='Données projet'!$A$36,'Données projet'!$B$36,N86+M87-V86)))</f>
        <v>401.36499999999995</v>
      </c>
      <c r="O87" s="13">
        <f>N87*VLOOKUP('Données projet'!$B$9,Paramètres!$A$1:$I$89,3,0)*VLOOKUP('Données projet'!$B$9,Paramètres!$A$1:$I$89,5,0)</f>
        <v>363.15505199999996</v>
      </c>
      <c r="P87" s="13">
        <f t="shared" si="87"/>
        <v>84.265428925746718</v>
      </c>
      <c r="Q87" s="20">
        <f t="shared" si="54"/>
        <v>779.25733761234221</v>
      </c>
      <c r="R87" s="59">
        <f t="shared" si="55"/>
        <v>1072.5906709456756</v>
      </c>
      <c r="S87" s="59">
        <f ca="1">AVERAGE(OFFSET($R$3,0,0,'Données projet'!$E$9+1,1))-AVERAGE(OFFSET($H$3,0,0,'Données projet'!$E$9+1,1))</f>
        <v>695.0879239758051</v>
      </c>
      <c r="T87" s="59">
        <f t="shared" si="88"/>
        <v>226.22150997227476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31.690978334995215</v>
      </c>
      <c r="AA87" s="21">
        <f>EXP(-LN(2)/25)*AA86+(1-EXP(-LN(2)/25))/(LN(2)/25)*Calculateur!V87*Calculateur!X87*VLOOKUP('Données projet'!$B$9,Paramètres!$A$1:$I$89,3,0)*0.475*44/12</f>
        <v>35.123444396345278</v>
      </c>
      <c r="AB87" s="21">
        <f>EXP(-LN(2)/2)*AB86+(1-EXP(-LN(2)/2))/(LN(2)/2)*V87*Y87*VLOOKUP('Données projet'!$B$9,Paramètres!$A$1:$I$89,3,0)*0.475*44/12</f>
        <v>2.6961105747745497</v>
      </c>
      <c r="AC87" s="22">
        <f t="shared" si="57"/>
        <v>69.51053330611505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11.905555555555553</v>
      </c>
      <c r="AI87" s="13">
        <f>IF('Données projet'!$A$62&gt;35,AI86+AH87-AQ86,IF(A87&lt;'Données projet'!$A$62,$AF$205^A87,IF(A87='Données projet'!$A$62,'Données projet'!$B$62,AI86+AH87-AQ86)))</f>
        <v>381.59666666666647</v>
      </c>
      <c r="AJ87" s="13">
        <f>AI87*VLOOKUP('Données projet'!$B$10,Paramètres!$A$1:$I$89,3,0)*VLOOKUP('Données projet'!$B$10,Paramètres!$A$1:$I$89,5,0)</f>
        <v>321.45703199999986</v>
      </c>
      <c r="AK87" s="13">
        <f t="shared" si="89"/>
        <v>75.656437304576173</v>
      </c>
      <c r="AL87" s="20">
        <f t="shared" si="58"/>
        <v>691.63929237213654</v>
      </c>
      <c r="AM87" s="59">
        <f t="shared" si="59"/>
        <v>984.97262570546991</v>
      </c>
      <c r="AN87" s="59">
        <f ca="1">AVERAGE(OFFSET($AM$3,0,0,'Données projet'!$E$10+1,1))-AVERAGE(OFFSET($H$3,0,0,'Données projet'!$E$10+1,1))</f>
        <v>424.81155998881928</v>
      </c>
      <c r="AO87" s="59">
        <f t="shared" si="90"/>
        <v>277.34430416544575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41.385823025318729</v>
      </c>
      <c r="AV87" s="21">
        <f>EXP(-LN(2)/25)*AV86+(1-EXP(-LN(2)/25))/(LN(2)/25)*Calculateur!AQ87*Calculateur!AS87*VLOOKUP('Données projet'!$B$10,Paramètres!$A$1:$I$89,3,0)*0.475*44/12</f>
        <v>26.846690634536611</v>
      </c>
      <c r="AW87" s="21">
        <f>EXP(-LN(2)/2)*AW86+(1-EXP(-LN(2)/2))/(LN(2)/2)*AQ87*AT87*VLOOKUP('Données projet'!$B$10,Paramètres!$A$1:$I$89,3,0)*0.475*44/12</f>
        <v>8.8895616590030216E-2</v>
      </c>
      <c r="AX87" s="21">
        <f t="shared" si="60"/>
        <v>68.32140927644538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360.06126000000052</v>
      </c>
      <c r="BF87" s="13">
        <f t="shared" si="91"/>
        <v>83.630799612914231</v>
      </c>
      <c r="BG87" s="20">
        <f t="shared" si="61"/>
        <v>772.76367049249313</v>
      </c>
      <c r="BH87" s="59">
        <f t="shared" si="62"/>
        <v>1066.0970038258265</v>
      </c>
      <c r="BI87" s="59">
        <f ca="1">AVERAGE(OFFSET($BH$3,0,0,'Données projet'!$E$11+1,1))-AVERAGE(OFFSET($H$3,0,0,'Données projet'!$E$11+1,1))</f>
        <v>706.69239849991595</v>
      </c>
      <c r="BJ87" s="59">
        <f t="shared" si="92"/>
        <v>310.59887275116529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24.696278129878717</v>
      </c>
      <c r="BQ87" s="21">
        <f>EXP(-LN(2)/25)*BQ86+(1-EXP(-LN(2)/25))/(LN(2)/25)*Calculateur!BL87*Calculateur!BN87*VLOOKUP('Données projet'!$B$11,Paramètres!$A$1:$I$89,3,0)*0.475*44/12</f>
        <v>33.148349576143573</v>
      </c>
      <c r="BR87" s="21">
        <f>EXP(-LN(2)/2)*BR86+(1-EXP(-LN(2)/2))/(LN(2)/2)*BL87*BO87*VLOOKUP('Données projet'!$B$11,Paramètres!$A$1:$I$89,3,0)*0.475*44/12</f>
        <v>6.5451766228627521</v>
      </c>
      <c r="BS87" s="22">
        <f t="shared" si="63"/>
        <v>64.389804328885049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9.2740000000000009</v>
      </c>
      <c r="BY87" s="12">
        <f>IF('Données projet'!$A$114&gt;35,BY86+BX87-CG86,IF(A87&lt;'Données projet'!$A$114,$BV$205^A87,IF(A87='Données projet'!$A$114,'Données projet'!$B$114,BY86+BX87-CG86)))</f>
        <v>265.40399999999988</v>
      </c>
      <c r="BZ87" s="13">
        <f>BY87*VLOOKUP('Données projet'!$B$12,Paramètres!$A$1:$I$89,3,0)*VLOOKUP('Données projet'!$B$12,Paramètres!$A$1:$I$89,5,0)</f>
        <v>252.55844639999989</v>
      </c>
      <c r="CA87" s="13">
        <f t="shared" si="93"/>
        <v>61.133468574024647</v>
      </c>
      <c r="CB87" s="20">
        <f t="shared" si="64"/>
        <v>546.34675191309282</v>
      </c>
      <c r="CC87" s="59">
        <f t="shared" si="65"/>
        <v>839.68008524642619</v>
      </c>
      <c r="CD87" s="59">
        <f ca="1">AVERAGE(OFFSET($CC$3,0,0,'Données projet'!$E$12+1,1))-AVERAGE(OFFSET($H$3,0,0,'Données projet'!$E$12+1,1))</f>
        <v>449.28947235329758</v>
      </c>
      <c r="CE87" s="59">
        <f t="shared" si="94"/>
        <v>289.36994109443964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26.098270690046601</v>
      </c>
      <c r="CL87" s="21">
        <f>EXP(-LN(2)/25)*CL86+(1-EXP(-LN(2)/25))/(LN(2)/25)*Calculateur!CG87*Calculateur!CI87*VLOOKUP('Données projet'!$B$12,Paramètres!$A$1:$I$89,3,0)*0.475*44/12</f>
        <v>25.663284206859075</v>
      </c>
      <c r="CM87" s="21">
        <f>EXP(-LN(2)/2)*CM86+(1-EXP(-LN(2)/2))/(LN(2)/2)*CG87*CJ87*VLOOKUP('Données projet'!$B$12,Paramètres!$A$1:$I$89,3,0)*0.475*44/12</f>
        <v>3.3571066108710386</v>
      </c>
      <c r="CN87" s="22">
        <f t="shared" si="66"/>
        <v>55.118661507776714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2.8421709430404007E-14</v>
      </c>
      <c r="CU87" s="17">
        <f>CT87*VLOOKUP('Données projet'!$B$13,Paramètres!$A$1:$I$89,3,0)*VLOOKUP('Données projet'!$B$13,Paramètres!$A$1:$I$89,5,0)</f>
        <v>2.4829205358400945E-14</v>
      </c>
      <c r="CV87" s="13">
        <f t="shared" si="95"/>
        <v>4.3867331143352915E-13</v>
      </c>
      <c r="CW87" s="20">
        <f t="shared" si="67"/>
        <v>8.0726688341261168E-13</v>
      </c>
      <c r="CX87" s="59">
        <f t="shared" si="68"/>
        <v>293.33333333333411</v>
      </c>
      <c r="CY87" s="59">
        <f ca="1">AVERAGE(OFFSET($CX$3,0,0,'Données projet'!$E$13+1,1))-AVERAGE(OFFSET($H$3,0,0,'Données projet'!$E$13+1,1))</f>
        <v>261.93797831021766</v>
      </c>
      <c r="CZ87" s="59">
        <f t="shared" si="96"/>
        <v>256.90876395053073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30.473958690660101</v>
      </c>
      <c r="DG87" s="21">
        <f>EXP(-LN(2)/25)*DG86+(1-EXP(-LN(2)/25))/(LN(2)/25)*Calculateur!DB87*Calculateur!DD87*VLOOKUP('Données projet'!$B$13,Paramètres!$A$1:$I$89,3,0)*0.475*44/12</f>
        <v>32.664809130529243</v>
      </c>
      <c r="DH87" s="21">
        <f>EXP(-LN(2)/2)*DH86+(1-EXP(-LN(2)/2))/(LN(2)/2)*DB87*DE87*VLOOKUP('Données projet'!$B$13,Paramètres!$A$1:$I$89,3,0)*0.475*44/12</f>
        <v>11.361610410157031</v>
      </c>
      <c r="DI87" s="22">
        <f t="shared" si="69"/>
        <v>74.500378231346374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11.667500000000004</v>
      </c>
      <c r="N88" s="13">
        <f>IF('Données projet'!$A$36&gt;35,N87+M88-V87,IF(A88&lt;'Données projet'!$A$36,$K$205^A88,IF(A88='Données projet'!$A$36,'Données projet'!$B$36,N87+M88-V87)))</f>
        <v>413.03249999999997</v>
      </c>
      <c r="O88" s="13">
        <f>N88*VLOOKUP('Données projet'!$B$9,Paramètres!$A$1:$I$89,3,0)*VLOOKUP('Données projet'!$B$9,Paramètres!$A$1:$I$89,5,0)</f>
        <v>373.71180599999997</v>
      </c>
      <c r="P88" s="13">
        <f t="shared" si="87"/>
        <v>86.426235603807172</v>
      </c>
      <c r="Q88" s="20">
        <f t="shared" si="54"/>
        <v>801.40708912663069</v>
      </c>
      <c r="R88" s="59">
        <f t="shared" si="55"/>
        <v>1094.7404224599641</v>
      </c>
      <c r="S88" s="59">
        <f ca="1">AVERAGE(OFFSET($R$3,0,0,'Données projet'!$E$9+1,1))-AVERAGE(OFFSET($H$3,0,0,'Données projet'!$E$9+1,1))</f>
        <v>695.0879239758051</v>
      </c>
      <c r="T88" s="59">
        <f t="shared" si="88"/>
        <v>226.22150997227476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31.069537579434105</v>
      </c>
      <c r="AA88" s="21">
        <f>EXP(-LN(2)/25)*AA87+(1-EXP(-LN(2)/25))/(LN(2)/25)*Calculateur!V88*Calculateur!X88*VLOOKUP('Données projet'!$B$9,Paramètres!$A$1:$I$89,3,0)*0.475*44/12</f>
        <v>34.162991962265551</v>
      </c>
      <c r="AB88" s="21">
        <f>EXP(-LN(2)/2)*AB87+(1-EXP(-LN(2)/2))/(LN(2)/2)*V88*Y88*VLOOKUP('Données projet'!$B$9,Paramètres!$A$1:$I$89,3,0)*0.475*44/12</f>
        <v>1.9064380702518446</v>
      </c>
      <c r="AC88" s="22">
        <f t="shared" si="57"/>
        <v>67.138967611951486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11.905555555555553</v>
      </c>
      <c r="AI88" s="13">
        <f>IF('Données projet'!$A$62&gt;35,AI87+AH88-AQ87,IF(A88&lt;'Données projet'!$A$62,$AF$205^A88,IF(A88='Données projet'!$A$62,'Données projet'!$B$62,AI87+AH88-AQ87)))</f>
        <v>393.50222222222203</v>
      </c>
      <c r="AJ88" s="13">
        <f>AI88*VLOOKUP('Données projet'!$B$10,Paramètres!$A$1:$I$89,3,0)*VLOOKUP('Données projet'!$B$10,Paramètres!$A$1:$I$89,5,0)</f>
        <v>331.48627199999987</v>
      </c>
      <c r="AK88" s="13">
        <f t="shared" si="89"/>
        <v>77.738368640761308</v>
      </c>
      <c r="AL88" s="20">
        <f t="shared" si="58"/>
        <v>712.73291578265901</v>
      </c>
      <c r="AM88" s="59">
        <f t="shared" si="59"/>
        <v>1006.0662491159924</v>
      </c>
      <c r="AN88" s="59">
        <f ca="1">AVERAGE(OFFSET($AM$3,0,0,'Données projet'!$E$10+1,1))-AVERAGE(OFFSET($H$3,0,0,'Données projet'!$E$10+1,1))</f>
        <v>424.81155998881928</v>
      </c>
      <c r="AO88" s="59">
        <f t="shared" si="90"/>
        <v>277.34430416544575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40.574272278651748</v>
      </c>
      <c r="AV88" s="21">
        <f>EXP(-LN(2)/25)*AV87+(1-EXP(-LN(2)/25))/(LN(2)/25)*Calculateur!AQ88*Calculateur!AS88*VLOOKUP('Données projet'!$B$10,Paramètres!$A$1:$I$89,3,0)*0.475*44/12</f>
        <v>26.112566467329106</v>
      </c>
      <c r="AW88" s="21">
        <f>EXP(-LN(2)/2)*AW87+(1-EXP(-LN(2)/2))/(LN(2)/2)*AQ88*AT88*VLOOKUP('Données projet'!$B$10,Paramètres!$A$1:$I$89,3,0)*0.475*44/12</f>
        <v>6.2858693308569719E-2</v>
      </c>
      <c r="AX88" s="21">
        <f t="shared" si="60"/>
        <v>66.74969743928942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301.73902200000055</v>
      </c>
      <c r="BF88" s="13">
        <f t="shared" si="91"/>
        <v>71.540906554302211</v>
      </c>
      <c r="BG88" s="20">
        <f t="shared" si="61"/>
        <v>650.12920889874385</v>
      </c>
      <c r="BH88" s="59">
        <f t="shared" si="62"/>
        <v>943.46254223207711</v>
      </c>
      <c r="BI88" s="59">
        <f ca="1">AVERAGE(OFFSET($BH$3,0,0,'Données projet'!$E$11+1,1))-AVERAGE(OFFSET($H$3,0,0,'Données projet'!$E$11+1,1))</f>
        <v>706.69239849991595</v>
      </c>
      <c r="BJ88" s="59">
        <f t="shared" si="92"/>
        <v>310.59887275116529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24.211999178994084</v>
      </c>
      <c r="BQ88" s="21">
        <f>EXP(-LN(2)/25)*BQ87+(1-EXP(-LN(2)/25))/(LN(2)/25)*Calculateur!BL88*Calculateur!BN88*VLOOKUP('Données projet'!$B$11,Paramètres!$A$1:$I$89,3,0)*0.475*44/12</f>
        <v>32.241906213787985</v>
      </c>
      <c r="BR88" s="21">
        <f>EXP(-LN(2)/2)*BR87+(1-EXP(-LN(2)/2))/(LN(2)/2)*BL88*BO88*VLOOKUP('Données projet'!$B$11,Paramètres!$A$1:$I$89,3,0)*0.475*44/12</f>
        <v>4.6281387740899183</v>
      </c>
      <c r="BS88" s="22">
        <f t="shared" si="63"/>
        <v>61.082044166871988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9.2740000000000009</v>
      </c>
      <c r="BY88" s="12">
        <f>IF('Données projet'!$A$114&gt;35,BY87+BX88-CG87,IF(A88&lt;'Données projet'!$A$114,$BV$205^A88,IF(A88='Données projet'!$A$114,'Données projet'!$B$114,BY87+BX88-CG87)))</f>
        <v>274.67799999999988</v>
      </c>
      <c r="BZ88" s="13">
        <f>BY88*VLOOKUP('Données projet'!$B$12,Paramètres!$A$1:$I$89,3,0)*VLOOKUP('Données projet'!$B$12,Paramètres!$A$1:$I$89,5,0)</f>
        <v>261.38358479999988</v>
      </c>
      <c r="CA88" s="13">
        <f t="shared" si="93"/>
        <v>63.017211162903877</v>
      </c>
      <c r="CB88" s="20">
        <f t="shared" si="64"/>
        <v>564.9980529687241</v>
      </c>
      <c r="CC88" s="59">
        <f t="shared" si="65"/>
        <v>858.33138630205735</v>
      </c>
      <c r="CD88" s="59">
        <f ca="1">AVERAGE(OFFSET($CC$3,0,0,'Données projet'!$E$12+1,1))-AVERAGE(OFFSET($H$3,0,0,'Données projet'!$E$12+1,1))</f>
        <v>449.28947235329758</v>
      </c>
      <c r="CE88" s="59">
        <f t="shared" si="94"/>
        <v>289.36994109443964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25.586499520188099</v>
      </c>
      <c r="CL88" s="21">
        <f>EXP(-LN(2)/25)*CL87+(1-EXP(-LN(2)/25))/(LN(2)/25)*Calculateur!CG88*Calculateur!CI88*VLOOKUP('Données projet'!$B$12,Paramètres!$A$1:$I$89,3,0)*0.475*44/12</f>
        <v>24.96152035064905</v>
      </c>
      <c r="CM88" s="21">
        <f>EXP(-LN(2)/2)*CM87+(1-EXP(-LN(2)/2))/(LN(2)/2)*CG88*CJ88*VLOOKUP('Données projet'!$B$12,Paramètres!$A$1:$I$89,3,0)*0.475*44/12</f>
        <v>2.3738328497130996</v>
      </c>
      <c r="CN88" s="22">
        <f t="shared" si="66"/>
        <v>52.921852720550248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2.8421709430404007E-14</v>
      </c>
      <c r="CU88" s="17">
        <f>CT88*VLOOKUP('Données projet'!$B$13,Paramètres!$A$1:$I$89,3,0)*VLOOKUP('Données projet'!$B$13,Paramètres!$A$1:$I$89,5,0)</f>
        <v>2.4829205358400945E-14</v>
      </c>
      <c r="CV88" s="13">
        <f t="shared" si="95"/>
        <v>4.3867331143352915E-13</v>
      </c>
      <c r="CW88" s="20">
        <f t="shared" si="67"/>
        <v>8.0726688341261168E-13</v>
      </c>
      <c r="CX88" s="59">
        <f t="shared" si="68"/>
        <v>293.33333333333411</v>
      </c>
      <c r="CY88" s="59">
        <f ca="1">AVERAGE(OFFSET($CX$3,0,0,'Données projet'!$E$13+1,1))-AVERAGE(OFFSET($H$3,0,0,'Données projet'!$E$13+1,1))</f>
        <v>261.93797831021766</v>
      </c>
      <c r="CZ88" s="59">
        <f t="shared" si="96"/>
        <v>256.90876395053073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29.876382948015717</v>
      </c>
      <c r="DG88" s="21">
        <f>EXP(-LN(2)/25)*DG87+(1-EXP(-LN(2)/25))/(LN(2)/25)*Calculateur!DB88*Calculateur!DD88*VLOOKUP('Données projet'!$B$13,Paramètres!$A$1:$I$89,3,0)*0.475*44/12</f>
        <v>31.771588207087266</v>
      </c>
      <c r="DH88" s="21">
        <f>EXP(-LN(2)/2)*DH87+(1-EXP(-LN(2)/2))/(LN(2)/2)*DB88*DE88*VLOOKUP('Données projet'!$B$13,Paramètres!$A$1:$I$89,3,0)*0.475*44/12</f>
        <v>8.0338717662217078</v>
      </c>
      <c r="DI88" s="22">
        <f t="shared" si="69"/>
        <v>69.681842921324687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11.667500000000004</v>
      </c>
      <c r="N89" s="13">
        <f>IF('Données projet'!$A$36&gt;35,N88+M89-V88,IF(A89&lt;'Données projet'!$A$36,$K$205^A89,IF(A89='Données projet'!$A$36,'Données projet'!$B$36,N88+M89-V88)))</f>
        <v>424.7</v>
      </c>
      <c r="O89" s="13">
        <f>N89*VLOOKUP('Données projet'!$B$9,Paramètres!$A$1:$I$89,3,0)*VLOOKUP('Données projet'!$B$9,Paramètres!$A$1:$I$89,5,0)</f>
        <v>384.26855999999998</v>
      </c>
      <c r="P89" s="13">
        <f t="shared" si="87"/>
        <v>88.579947979334634</v>
      </c>
      <c r="Q89" s="20">
        <f t="shared" si="54"/>
        <v>823.54448473067441</v>
      </c>
      <c r="R89" s="59">
        <f t="shared" si="55"/>
        <v>1116.8778180640077</v>
      </c>
      <c r="S89" s="59">
        <f ca="1">AVERAGE(OFFSET($R$3,0,0,'Données projet'!$E$9+1,1))-AVERAGE(OFFSET($H$3,0,0,'Données projet'!$E$9+1,1))</f>
        <v>695.0879239758051</v>
      </c>
      <c r="T89" s="59">
        <f t="shared" si="88"/>
        <v>226.22150997227476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30.460282898048114</v>
      </c>
      <c r="AA89" s="21">
        <f>EXP(-LN(2)/25)*AA88+(1-EXP(-LN(2)/25))/(LN(2)/25)*Calculateur!V89*Calculateur!X89*VLOOKUP('Données projet'!$B$9,Paramètres!$A$1:$I$89,3,0)*0.475*44/12</f>
        <v>33.22880315050373</v>
      </c>
      <c r="AB89" s="21">
        <f>EXP(-LN(2)/2)*AB88+(1-EXP(-LN(2)/2))/(LN(2)/2)*V89*Y89*VLOOKUP('Données projet'!$B$9,Paramètres!$A$1:$I$89,3,0)*0.475*44/12</f>
        <v>1.3480552873872751</v>
      </c>
      <c r="AC89" s="22">
        <f t="shared" si="57"/>
        <v>65.037141335939111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11.905555555555553</v>
      </c>
      <c r="AI89" s="13">
        <f>IF('Données projet'!$A$62&gt;35,AI88+AH89-AQ88,IF(A89&lt;'Données projet'!$A$62,$AF$205^A89,IF(A89='Données projet'!$A$62,'Données projet'!$B$62,AI88+AH89-AQ88)))</f>
        <v>405.4077777777776</v>
      </c>
      <c r="AJ89" s="13">
        <f>AI89*VLOOKUP('Données projet'!$B$10,Paramètres!$A$1:$I$89,3,0)*VLOOKUP('Données projet'!$B$10,Paramètres!$A$1:$I$89,5,0)</f>
        <v>341.51551199999989</v>
      </c>
      <c r="AK89" s="13">
        <f t="shared" si="89"/>
        <v>79.812979702519371</v>
      </c>
      <c r="AL89" s="20">
        <f t="shared" si="58"/>
        <v>733.81378971522111</v>
      </c>
      <c r="AM89" s="59">
        <f t="shared" si="59"/>
        <v>1027.1471230485545</v>
      </c>
      <c r="AN89" s="59">
        <f ca="1">AVERAGE(OFFSET($AM$3,0,0,'Données projet'!$E$10+1,1))-AVERAGE(OFFSET($H$3,0,0,'Données projet'!$E$10+1,1))</f>
        <v>424.81155998881928</v>
      </c>
      <c r="AO89" s="59">
        <f t="shared" si="90"/>
        <v>277.34430416544575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39.778635547129831</v>
      </c>
      <c r="AV89" s="21">
        <f>EXP(-LN(2)/25)*AV88+(1-EXP(-LN(2)/25))/(LN(2)/25)*Calculateur!AQ89*Calculateur!AS89*VLOOKUP('Données projet'!$B$10,Paramètres!$A$1:$I$89,3,0)*0.475*44/12</f>
        <v>25.398516964079803</v>
      </c>
      <c r="AW89" s="21">
        <f>EXP(-LN(2)/2)*AW88+(1-EXP(-LN(2)/2))/(LN(2)/2)*AQ89*AT89*VLOOKUP('Données projet'!$B$10,Paramètres!$A$1:$I$89,3,0)*0.475*44/12</f>
        <v>4.4447808295015108E-2</v>
      </c>
      <c r="AX89" s="21">
        <f t="shared" si="60"/>
        <v>65.22160031950466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311.04044400000055</v>
      </c>
      <c r="BF89" s="13">
        <f t="shared" si="91"/>
        <v>73.486073899132336</v>
      </c>
      <c r="BG89" s="20">
        <f t="shared" si="61"/>
        <v>669.71701867432307</v>
      </c>
      <c r="BH89" s="59">
        <f t="shared" si="62"/>
        <v>963.05035200765633</v>
      </c>
      <c r="BI89" s="59">
        <f ca="1">AVERAGE(OFFSET($BH$3,0,0,'Données projet'!$E$11+1,1))-AVERAGE(OFFSET($H$3,0,0,'Données projet'!$E$11+1,1))</f>
        <v>706.69239849991595</v>
      </c>
      <c r="BJ89" s="59">
        <f t="shared" si="92"/>
        <v>310.59887275116529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23.737216642955303</v>
      </c>
      <c r="BQ89" s="21">
        <f>EXP(-LN(2)/25)*BQ88+(1-EXP(-LN(2)/25))/(LN(2)/25)*Calculateur!BL89*Calculateur!BN89*VLOOKUP('Données projet'!$B$11,Paramètres!$A$1:$I$89,3,0)*0.475*44/12</f>
        <v>31.360249592843793</v>
      </c>
      <c r="BR89" s="21">
        <f>EXP(-LN(2)/2)*BR88+(1-EXP(-LN(2)/2))/(LN(2)/2)*BL89*BO89*VLOOKUP('Données projet'!$B$11,Paramètres!$A$1:$I$89,3,0)*0.475*44/12</f>
        <v>3.2725883114313765</v>
      </c>
      <c r="BS89" s="22">
        <f t="shared" si="63"/>
        <v>58.370054547230474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9.2740000000000009</v>
      </c>
      <c r="BY89" s="12">
        <f>IF('Données projet'!$A$114&gt;35,BY88+BX89-CG88,IF(A89&lt;'Données projet'!$A$114,$BV$205^A89,IF(A89='Données projet'!$A$114,'Données projet'!$B$114,BY88+BX89-CG88)))</f>
        <v>283.95199999999988</v>
      </c>
      <c r="BZ89" s="13">
        <f>BY89*VLOOKUP('Données projet'!$B$12,Paramètres!$A$1:$I$89,3,0)*VLOOKUP('Données projet'!$B$12,Paramètres!$A$1:$I$89,5,0)</f>
        <v>270.20872319999989</v>
      </c>
      <c r="CA89" s="13">
        <f t="shared" si="93"/>
        <v>64.893563626315952</v>
      </c>
      <c r="CB89" s="20">
        <f t="shared" si="64"/>
        <v>583.63648288916681</v>
      </c>
      <c r="CC89" s="59">
        <f t="shared" si="65"/>
        <v>876.96981622250019</v>
      </c>
      <c r="CD89" s="59">
        <f ca="1">AVERAGE(OFFSET($CC$3,0,0,'Données projet'!$E$12+1,1))-AVERAGE(OFFSET($H$3,0,0,'Données projet'!$E$12+1,1))</f>
        <v>449.28947235329758</v>
      </c>
      <c r="CE89" s="59">
        <f t="shared" si="94"/>
        <v>289.36994109443964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25.084763870820932</v>
      </c>
      <c r="CL89" s="21">
        <f>EXP(-LN(2)/25)*CL88+(1-EXP(-LN(2)/25))/(LN(2)/25)*Calculateur!CG89*Calculateur!CI89*VLOOKUP('Données projet'!$B$12,Paramètres!$A$1:$I$89,3,0)*0.475*44/12</f>
        <v>24.278946263991248</v>
      </c>
      <c r="CM89" s="21">
        <f>EXP(-LN(2)/2)*CM88+(1-EXP(-LN(2)/2))/(LN(2)/2)*CG89*CJ89*VLOOKUP('Données projet'!$B$12,Paramètres!$A$1:$I$89,3,0)*0.475*44/12</f>
        <v>1.6785533054355193</v>
      </c>
      <c r="CN89" s="22">
        <f t="shared" si="66"/>
        <v>51.042263440247702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2.8421709430404007E-14</v>
      </c>
      <c r="CU89" s="17">
        <f>CT89*VLOOKUP('Données projet'!$B$13,Paramètres!$A$1:$I$89,3,0)*VLOOKUP('Données projet'!$B$13,Paramètres!$A$1:$I$89,5,0)</f>
        <v>2.4829205358400945E-14</v>
      </c>
      <c r="CV89" s="13">
        <f t="shared" si="95"/>
        <v>4.3867331143352915E-13</v>
      </c>
      <c r="CW89" s="20">
        <f t="shared" si="67"/>
        <v>8.0726688341261168E-13</v>
      </c>
      <c r="CX89" s="59">
        <f t="shared" si="68"/>
        <v>293.33333333333411</v>
      </c>
      <c r="CY89" s="59">
        <f ca="1">AVERAGE(OFFSET($CX$3,0,0,'Données projet'!$E$13+1,1))-AVERAGE(OFFSET($H$3,0,0,'Données projet'!$E$13+1,1))</f>
        <v>261.93797831021766</v>
      </c>
      <c r="CZ89" s="59">
        <f t="shared" si="96"/>
        <v>256.90876395053073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29.290525301199377</v>
      </c>
      <c r="DG89" s="21">
        <f>EXP(-LN(2)/25)*DG88+(1-EXP(-LN(2)/25))/(LN(2)/25)*Calculateur!DB89*Calculateur!DD89*VLOOKUP('Données projet'!$B$13,Paramètres!$A$1:$I$89,3,0)*0.475*44/12</f>
        <v>30.902792456769255</v>
      </c>
      <c r="DH89" s="21">
        <f>EXP(-LN(2)/2)*DH88+(1-EXP(-LN(2)/2))/(LN(2)/2)*DB89*DE89*VLOOKUP('Données projet'!$B$13,Paramètres!$A$1:$I$89,3,0)*0.475*44/12</f>
        <v>5.6808052050785154</v>
      </c>
      <c r="DI89" s="22">
        <f t="shared" si="69"/>
        <v>65.874122963047142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11.667500000000004</v>
      </c>
      <c r="N90" s="13">
        <f>IF('Données projet'!$A$36&gt;35,N89+M90-V89,IF(A90&lt;'Données projet'!$A$36,$K$205^A90,IF(A90='Données projet'!$A$36,'Données projet'!$B$36,N89+M90-V89)))</f>
        <v>436.36750000000001</v>
      </c>
      <c r="O90" s="13">
        <f>N90*VLOOKUP('Données projet'!$B$9,Paramètres!$A$1:$I$89,3,0)*VLOOKUP('Données projet'!$B$9,Paramètres!$A$1:$I$89,5,0)</f>
        <v>394.82531399999999</v>
      </c>
      <c r="P90" s="13">
        <f t="shared" si="87"/>
        <v>90.726783343228391</v>
      </c>
      <c r="Q90" s="20">
        <f t="shared" si="54"/>
        <v>845.66990287278952</v>
      </c>
      <c r="R90" s="59">
        <f t="shared" si="55"/>
        <v>1139.0032362061229</v>
      </c>
      <c r="S90" s="59">
        <f ca="1">AVERAGE(OFFSET($R$3,0,0,'Données projet'!$E$9+1,1))-AVERAGE(OFFSET($H$3,0,0,'Données projet'!$E$9+1,1))</f>
        <v>695.0879239758051</v>
      </c>
      <c r="T90" s="59">
        <f t="shared" si="88"/>
        <v>226.22150997227476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29.862975329355439</v>
      </c>
      <c r="AA90" s="21">
        <f>EXP(-LN(2)/25)*AA89+(1-EXP(-LN(2)/25))/(LN(2)/25)*Calculateur!V90*Calculateur!X90*VLOOKUP('Données projet'!$B$9,Paramètres!$A$1:$I$89,3,0)*0.475*44/12</f>
        <v>32.320159780926396</v>
      </c>
      <c r="AB90" s="21">
        <f>EXP(-LN(2)/2)*AB89+(1-EXP(-LN(2)/2))/(LN(2)/2)*V90*Y90*VLOOKUP('Données projet'!$B$9,Paramètres!$A$1:$I$89,3,0)*0.475*44/12</f>
        <v>0.95321903512592243</v>
      </c>
      <c r="AC90" s="22">
        <f t="shared" si="57"/>
        <v>63.136354145407765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11.905555555555553</v>
      </c>
      <c r="AI90" s="13">
        <f>IF('Données projet'!$A$62&gt;35,AI89+AH90-AQ89,IF(A90&lt;'Données projet'!$A$62,$AF$205^A90,IF(A90='Données projet'!$A$62,'Données projet'!$B$62,AI89+AH90-AQ89)))</f>
        <v>417.31333333333316</v>
      </c>
      <c r="AJ90" s="13">
        <f>AI90*VLOOKUP('Données projet'!$B$10,Paramètres!$A$1:$I$89,3,0)*VLOOKUP('Données projet'!$B$10,Paramètres!$A$1:$I$89,5,0)</f>
        <v>351.54475199999985</v>
      </c>
      <c r="AK90" s="13">
        <f t="shared" si="89"/>
        <v>81.880510146389071</v>
      </c>
      <c r="AL90" s="20">
        <f t="shared" si="58"/>
        <v>754.88233157162733</v>
      </c>
      <c r="AM90" s="59">
        <f t="shared" si="59"/>
        <v>1048.2156649049607</v>
      </c>
      <c r="AN90" s="59">
        <f ca="1">AVERAGE(OFFSET($AM$3,0,0,'Données projet'!$E$10+1,1))-AVERAGE(OFFSET($H$3,0,0,'Données projet'!$E$10+1,1))</f>
        <v>424.81155998881928</v>
      </c>
      <c r="AO90" s="59">
        <f t="shared" si="90"/>
        <v>277.34430416544575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38.998600766622566</v>
      </c>
      <c r="AV90" s="21">
        <f>EXP(-LN(2)/25)*AV89+(1-EXP(-LN(2)/25))/(LN(2)/25)*Calculateur!AQ90*Calculateur!AS90*VLOOKUP('Données projet'!$B$10,Paramètres!$A$1:$I$89,3,0)*0.475*44/12</f>
        <v>24.703993182047082</v>
      </c>
      <c r="AW90" s="21">
        <f>EXP(-LN(2)/2)*AW89+(1-EXP(-LN(2)/2))/(LN(2)/2)*AQ90*AT90*VLOOKUP('Données projet'!$B$10,Paramètres!$A$1:$I$89,3,0)*0.475*44/12</f>
        <v>3.1429346654284859E-2</v>
      </c>
      <c r="AX90" s="21">
        <f t="shared" si="60"/>
        <v>63.734023295323929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320.34186600000049</v>
      </c>
      <c r="BF90" s="13">
        <f t="shared" si="91"/>
        <v>75.424481111671</v>
      </c>
      <c r="BG90" s="20">
        <f t="shared" si="61"/>
        <v>689.29305455282781</v>
      </c>
      <c r="BH90" s="59">
        <f t="shared" si="62"/>
        <v>982.62638788616118</v>
      </c>
      <c r="BI90" s="59">
        <f ca="1">AVERAGE(OFFSET($BH$3,0,0,'Données projet'!$E$11+1,1))-AVERAGE(OFFSET($H$3,0,0,'Données projet'!$E$11+1,1))</f>
        <v>706.69239849991595</v>
      </c>
      <c r="BJ90" s="59">
        <f t="shared" si="92"/>
        <v>310.59887275116529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23.271744302859492</v>
      </c>
      <c r="BQ90" s="21">
        <f>EXP(-LN(2)/25)*BQ89+(1-EXP(-LN(2)/25))/(LN(2)/25)*Calculateur!BL90*Calculateur!BN90*VLOOKUP('Données projet'!$B$11,Paramètres!$A$1:$I$89,3,0)*0.475*44/12</f>
        <v>30.502701918563627</v>
      </c>
      <c r="BR90" s="21">
        <f>EXP(-LN(2)/2)*BR89+(1-EXP(-LN(2)/2))/(LN(2)/2)*BL90*BO90*VLOOKUP('Données projet'!$B$11,Paramètres!$A$1:$I$89,3,0)*0.475*44/12</f>
        <v>2.3140693870449596</v>
      </c>
      <c r="BS90" s="22">
        <f t="shared" si="63"/>
        <v>56.088515608468079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9.2740000000000009</v>
      </c>
      <c r="BY90" s="12">
        <f>IF('Données projet'!$A$114&gt;35,BY89+BX90-CG89,IF(A90&lt;'Données projet'!$A$114,$BV$205^A90,IF(A90='Données projet'!$A$114,'Données projet'!$B$114,BY89+BX90-CG89)))</f>
        <v>293.22599999999989</v>
      </c>
      <c r="BZ90" s="13">
        <f>BY90*VLOOKUP('Données projet'!$B$12,Paramètres!$A$1:$I$89,3,0)*VLOOKUP('Données projet'!$B$12,Paramètres!$A$1:$I$89,5,0)</f>
        <v>279.03386159999991</v>
      </c>
      <c r="CA90" s="13">
        <f t="shared" si="93"/>
        <v>66.762795009518257</v>
      </c>
      <c r="CB90" s="20">
        <f t="shared" si="64"/>
        <v>602.2625102615774</v>
      </c>
      <c r="CC90" s="59">
        <f t="shared" si="65"/>
        <v>895.59584359491078</v>
      </c>
      <c r="CD90" s="59">
        <f ca="1">AVERAGE(OFFSET($CC$3,0,0,'Données projet'!$E$12+1,1))-AVERAGE(OFFSET($H$3,0,0,'Données projet'!$E$12+1,1))</f>
        <v>449.28947235329758</v>
      </c>
      <c r="CE90" s="59">
        <f t="shared" si="94"/>
        <v>289.36994109443964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24.592866951509325</v>
      </c>
      <c r="CL90" s="21">
        <f>EXP(-LN(2)/25)*CL89+(1-EXP(-LN(2)/25))/(LN(2)/25)*Calculateur!CG90*Calculateur!CI90*VLOOKUP('Données projet'!$B$12,Paramètres!$A$1:$I$89,3,0)*0.475*44/12</f>
        <v>23.615037201628112</v>
      </c>
      <c r="CM90" s="21">
        <f>EXP(-LN(2)/2)*CM89+(1-EXP(-LN(2)/2))/(LN(2)/2)*CG90*CJ90*VLOOKUP('Données projet'!$B$12,Paramètres!$A$1:$I$89,3,0)*0.475*44/12</f>
        <v>1.1869164248565498</v>
      </c>
      <c r="CN90" s="22">
        <f t="shared" si="66"/>
        <v>49.394820577993983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2.8421709430404007E-14</v>
      </c>
      <c r="CU90" s="17">
        <f>CT90*VLOOKUP('Données projet'!$B$13,Paramètres!$A$1:$I$89,3,0)*VLOOKUP('Données projet'!$B$13,Paramètres!$A$1:$I$89,5,0)</f>
        <v>2.4829205358400945E-14</v>
      </c>
      <c r="CV90" s="13">
        <f t="shared" si="95"/>
        <v>4.3867331143352915E-13</v>
      </c>
      <c r="CW90" s="20">
        <f t="shared" si="67"/>
        <v>8.0726688341261168E-13</v>
      </c>
      <c r="CX90" s="59">
        <f t="shared" si="68"/>
        <v>293.33333333333411</v>
      </c>
      <c r="CY90" s="59">
        <f ca="1">AVERAGE(OFFSET($CX$3,0,0,'Données projet'!$E$13+1,1))-AVERAGE(OFFSET($H$3,0,0,'Données projet'!$E$13+1,1))</f>
        <v>261.93797831021766</v>
      </c>
      <c r="CZ90" s="59">
        <f t="shared" si="96"/>
        <v>256.90876395053073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28.716155965499222</v>
      </c>
      <c r="DG90" s="21">
        <f>EXP(-LN(2)/25)*DG89+(1-EXP(-LN(2)/25))/(LN(2)/25)*Calculateur!DB90*Calculateur!DD90*VLOOKUP('Données projet'!$B$13,Paramètres!$A$1:$I$89,3,0)*0.475*44/12</f>
        <v>30.057753971931675</v>
      </c>
      <c r="DH90" s="21">
        <f>EXP(-LN(2)/2)*DH89+(1-EXP(-LN(2)/2))/(LN(2)/2)*DB90*DE90*VLOOKUP('Données projet'!$B$13,Paramètres!$A$1:$I$89,3,0)*0.475*44/12</f>
        <v>4.0169358831108539</v>
      </c>
      <c r="DI90" s="22">
        <f t="shared" si="69"/>
        <v>62.790845820541755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11.667500000000004</v>
      </c>
      <c r="N91" s="13">
        <f>IF('Données projet'!$A$36&gt;35,N90+M91-V90,IF(A91&lt;'Données projet'!$A$36,$K$205^A91,IF(A91='Données projet'!$A$36,'Données projet'!$B$36,N90+M91-V90)))</f>
        <v>448.03500000000003</v>
      </c>
      <c r="O91" s="13">
        <f>N91*VLOOKUP('Données projet'!$B$9,Paramètres!$A$1:$I$89,3,0)*VLOOKUP('Données projet'!$B$9,Paramètres!$A$1:$I$89,5,0)</f>
        <v>405.382068</v>
      </c>
      <c r="P91" s="13">
        <f t="shared" si="87"/>
        <v>92.866946705059107</v>
      </c>
      <c r="Q91" s="20">
        <f t="shared" si="54"/>
        <v>867.78370061131125</v>
      </c>
      <c r="R91" s="59">
        <f t="shared" si="55"/>
        <v>1161.1170339446446</v>
      </c>
      <c r="S91" s="59">
        <f ca="1">AVERAGE(OFFSET($R$3,0,0,'Données projet'!$E$9+1,1))-AVERAGE(OFFSET($H$3,0,0,'Données projet'!$E$9+1,1))</f>
        <v>695.0879239758051</v>
      </c>
      <c r="T91" s="59">
        <f t="shared" si="88"/>
        <v>226.22150997227476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29.277380597763187</v>
      </c>
      <c r="AA91" s="21">
        <f>EXP(-LN(2)/25)*AA90+(1-EXP(-LN(2)/25))/(LN(2)/25)*Calculateur!V91*Calculateur!X91*VLOOKUP('Données projet'!$B$9,Paramètres!$A$1:$I$89,3,0)*0.475*44/12</f>
        <v>31.436363312073631</v>
      </c>
      <c r="AB91" s="21">
        <f>EXP(-LN(2)/2)*AB90+(1-EXP(-LN(2)/2))/(LN(2)/2)*V91*Y91*VLOOKUP('Données projet'!$B$9,Paramètres!$A$1:$I$89,3,0)*0.475*44/12</f>
        <v>0.67402764369363766</v>
      </c>
      <c r="AC91" s="22">
        <f t="shared" si="57"/>
        <v>61.387771553530456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11.905555555555553</v>
      </c>
      <c r="AI91" s="13">
        <f>IF('Données projet'!$A$62&gt;35,AI90+AH91-AQ90,IF(A91&lt;'Données projet'!$A$62,$AF$205^A91,IF(A91='Données projet'!$A$62,'Données projet'!$B$62,AI90+AH91-AQ90)))</f>
        <v>429.21888888888873</v>
      </c>
      <c r="AJ91" s="13">
        <f>AI91*VLOOKUP('Données projet'!$B$10,Paramètres!$A$1:$I$89,3,0)*VLOOKUP('Données projet'!$B$10,Paramètres!$A$1:$I$89,5,0)</f>
        <v>361.57399199999992</v>
      </c>
      <c r="AK91" s="13">
        <f t="shared" si="89"/>
        <v>83.941185176780493</v>
      </c>
      <c r="AL91" s="20">
        <f t="shared" si="58"/>
        <v>775.93893358289245</v>
      </c>
      <c r="AM91" s="59">
        <f t="shared" si="59"/>
        <v>1069.2722669162258</v>
      </c>
      <c r="AN91" s="59">
        <f ca="1">AVERAGE(OFFSET($AM$3,0,0,'Données projet'!$E$10+1,1))-AVERAGE(OFFSET($H$3,0,0,'Données projet'!$E$10+1,1))</f>
        <v>424.81155998881928</v>
      </c>
      <c r="AO91" s="59">
        <f t="shared" si="90"/>
        <v>277.34430416544575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38.233861992386814</v>
      </c>
      <c r="AV91" s="21">
        <f>EXP(-LN(2)/25)*AV90+(1-EXP(-LN(2)/25))/(LN(2)/25)*Calculateur!AQ91*Calculateur!AS91*VLOOKUP('Données projet'!$B$10,Paramètres!$A$1:$I$89,3,0)*0.475*44/12</f>
        <v>24.028461189357465</v>
      </c>
      <c r="AW91" s="21">
        <f>EXP(-LN(2)/2)*AW90+(1-EXP(-LN(2)/2))/(LN(2)/2)*AQ91*AT91*VLOOKUP('Données projet'!$B$10,Paramètres!$A$1:$I$89,3,0)*0.475*44/12</f>
        <v>2.2223904147507554E-2</v>
      </c>
      <c r="AX91" s="21">
        <f t="shared" si="60"/>
        <v>62.284547085891788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329.64328800000055</v>
      </c>
      <c r="BF91" s="13">
        <f t="shared" si="91"/>
        <v>77.356347018802538</v>
      </c>
      <c r="BG91" s="20">
        <f t="shared" si="61"/>
        <v>708.85769765774864</v>
      </c>
      <c r="BH91" s="59">
        <f t="shared" si="62"/>
        <v>1002.191030991082</v>
      </c>
      <c r="BI91" s="59">
        <f ca="1">AVERAGE(OFFSET($BH$3,0,0,'Données projet'!$E$11+1,1))-AVERAGE(OFFSET($H$3,0,0,'Données projet'!$E$11+1,1))</f>
        <v>706.69239849991595</v>
      </c>
      <c r="BJ91" s="59">
        <f t="shared" si="92"/>
        <v>310.59887275116529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22.815399591442866</v>
      </c>
      <c r="BQ91" s="21">
        <f>EXP(-LN(2)/25)*BQ90+(1-EXP(-LN(2)/25))/(LN(2)/25)*Calculateur!BL91*Calculateur!BN91*VLOOKUP('Données projet'!$B$11,Paramètres!$A$1:$I$89,3,0)*0.475*44/12</f>
        <v>29.668603930533127</v>
      </c>
      <c r="BR91" s="21">
        <f>EXP(-LN(2)/2)*BR90+(1-EXP(-LN(2)/2))/(LN(2)/2)*BL91*BO91*VLOOKUP('Données projet'!$B$11,Paramètres!$A$1:$I$89,3,0)*0.475*44/12</f>
        <v>1.6362941557156885</v>
      </c>
      <c r="BS91" s="22">
        <f t="shared" si="63"/>
        <v>54.120297677691681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9.2740000000000009</v>
      </c>
      <c r="BY91" s="12">
        <f>IF('Données projet'!$A$114&gt;35,BY90+BX91-CG90,IF(A91&lt;'Données projet'!$A$114,$BV$205^A91,IF(A91='Données projet'!$A$114,'Données projet'!$B$114,BY90+BX91-CG90)))</f>
        <v>302.49999999999989</v>
      </c>
      <c r="BZ91" s="13">
        <f>BY91*VLOOKUP('Données projet'!$B$12,Paramètres!$A$1:$I$89,3,0)*VLOOKUP('Données projet'!$B$12,Paramètres!$A$1:$I$89,5,0)</f>
        <v>287.85899999999987</v>
      </c>
      <c r="CA91" s="13">
        <f t="shared" si="93"/>
        <v>68.625156372854391</v>
      </c>
      <c r="CB91" s="20">
        <f t="shared" si="64"/>
        <v>620.87657234938786</v>
      </c>
      <c r="CC91" s="59">
        <f t="shared" si="65"/>
        <v>914.20990568272123</v>
      </c>
      <c r="CD91" s="59">
        <f ca="1">AVERAGE(OFFSET($CC$3,0,0,'Données projet'!$E$12+1,1))-AVERAGE(OFFSET($H$3,0,0,'Données projet'!$E$12+1,1))</f>
        <v>449.28947235329758</v>
      </c>
      <c r="CE91" s="59">
        <f t="shared" si="94"/>
        <v>289.36994109443964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24.110615830757926</v>
      </c>
      <c r="CL91" s="21">
        <f>EXP(-LN(2)/25)*CL90+(1-EXP(-LN(2)/25))/(LN(2)/25)*Calculateur!CG91*Calculateur!CI91*VLOOKUP('Données projet'!$B$12,Paramètres!$A$1:$I$89,3,0)*0.475*44/12</f>
        <v>22.969282767488757</v>
      </c>
      <c r="CM91" s="21">
        <f>EXP(-LN(2)/2)*CM90+(1-EXP(-LN(2)/2))/(LN(2)/2)*CG91*CJ91*VLOOKUP('Données projet'!$B$12,Paramètres!$A$1:$I$89,3,0)*0.475*44/12</f>
        <v>0.83927665271775964</v>
      </c>
      <c r="CN91" s="22">
        <f t="shared" si="66"/>
        <v>47.919175250964443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2.8421709430404007E-14</v>
      </c>
      <c r="CU91" s="17">
        <f>CT91*VLOOKUP('Données projet'!$B$13,Paramètres!$A$1:$I$89,3,0)*VLOOKUP('Données projet'!$B$13,Paramètres!$A$1:$I$89,5,0)</f>
        <v>2.4829205358400945E-14</v>
      </c>
      <c r="CV91" s="13">
        <f t="shared" si="95"/>
        <v>4.3867331143352915E-13</v>
      </c>
      <c r="CW91" s="20">
        <f t="shared" si="67"/>
        <v>8.0726688341261168E-13</v>
      </c>
      <c r="CX91" s="59">
        <f t="shared" si="68"/>
        <v>293.33333333333411</v>
      </c>
      <c r="CY91" s="59">
        <f ca="1">AVERAGE(OFFSET($CX$3,0,0,'Données projet'!$E$13+1,1))-AVERAGE(OFFSET($H$3,0,0,'Données projet'!$E$13+1,1))</f>
        <v>261.93797831021766</v>
      </c>
      <c r="CZ91" s="59">
        <f t="shared" si="96"/>
        <v>256.90876395053073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28.153049662141445</v>
      </c>
      <c r="DG91" s="21">
        <f>EXP(-LN(2)/25)*DG90+(1-EXP(-LN(2)/25))/(LN(2)/25)*Calculateur!DB91*Calculateur!DD91*VLOOKUP('Données projet'!$B$13,Paramètres!$A$1:$I$89,3,0)*0.475*44/12</f>
        <v>29.235823108900618</v>
      </c>
      <c r="DH91" s="21">
        <f>EXP(-LN(2)/2)*DH90+(1-EXP(-LN(2)/2))/(LN(2)/2)*DB91*DE91*VLOOKUP('Données projet'!$B$13,Paramètres!$A$1:$I$89,3,0)*0.475*44/12</f>
        <v>2.8404026025392577</v>
      </c>
      <c r="DI91" s="22">
        <f t="shared" si="69"/>
        <v>60.229275373581316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11.667500000000004</v>
      </c>
      <c r="N92" s="13">
        <f>IF('Données projet'!$A$36&gt;35,N91+M92-V91,IF(A92&lt;'Données projet'!$A$36,$K$205^A92,IF(A92='Données projet'!$A$36,'Données projet'!$B$36,N91+M92-V91)))</f>
        <v>459.70250000000004</v>
      </c>
      <c r="O92" s="13">
        <f>N92*VLOOKUP('Données projet'!$B$9,Paramètres!$A$1:$I$89,3,0)*VLOOKUP('Données projet'!$B$9,Paramètres!$A$1:$I$89,5,0)</f>
        <v>415.93882200000002</v>
      </c>
      <c r="P92" s="13">
        <f t="shared" si="87"/>
        <v>95.000631788713704</v>
      </c>
      <c r="Q92" s="20">
        <f t="shared" si="54"/>
        <v>889.88621534867627</v>
      </c>
      <c r="R92" s="59">
        <f t="shared" si="55"/>
        <v>1183.2195486820096</v>
      </c>
      <c r="S92" s="59">
        <f ca="1">AVERAGE(OFFSET($R$3,0,0,'Données projet'!$E$9+1,1))-AVERAGE(OFFSET($H$3,0,0,'Données projet'!$E$9+1,1))</f>
        <v>695.0879239758051</v>
      </c>
      <c r="T92" s="59">
        <f t="shared" si="88"/>
        <v>226.22150997227476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28.70326902167994</v>
      </c>
      <c r="AA92" s="21">
        <f>EXP(-LN(2)/25)*AA91+(1-EXP(-LN(2)/25))/(LN(2)/25)*Calculateur!V92*Calculateur!X92*VLOOKUP('Données projet'!$B$9,Paramètres!$A$1:$I$89,3,0)*0.475*44/12</f>
        <v>30.57673430413848</v>
      </c>
      <c r="AB92" s="21">
        <f>EXP(-LN(2)/2)*AB91+(1-EXP(-LN(2)/2))/(LN(2)/2)*V92*Y92*VLOOKUP('Données projet'!$B$9,Paramètres!$A$1:$I$89,3,0)*0.475*44/12</f>
        <v>0.47660951756296127</v>
      </c>
      <c r="AC92" s="22">
        <f t="shared" si="57"/>
        <v>59.756612843381383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11.905555555555553</v>
      </c>
      <c r="AI92" s="13">
        <f>IF('Données projet'!$A$62&gt;35,AI91+AH92-AQ91,IF(A92&lt;'Données projet'!$A$62,$AF$205^A92,IF(A92='Données projet'!$A$62,'Données projet'!$B$62,AI91+AH92-AQ91)))</f>
        <v>441.12444444444429</v>
      </c>
      <c r="AJ92" s="13">
        <f>AI92*VLOOKUP('Données projet'!$B$10,Paramètres!$A$1:$I$89,3,0)*VLOOKUP('Données projet'!$B$10,Paramètres!$A$1:$I$89,5,0)</f>
        <v>371.60323199999993</v>
      </c>
      <c r="AK92" s="13">
        <f t="shared" si="89"/>
        <v>85.995216793877105</v>
      </c>
      <c r="AL92" s="20">
        <f t="shared" si="58"/>
        <v>796.98396498266914</v>
      </c>
      <c r="AM92" s="59">
        <f t="shared" si="59"/>
        <v>1090.3172983160025</v>
      </c>
      <c r="AN92" s="59">
        <f ca="1">AVERAGE(OFFSET($AM$3,0,0,'Données projet'!$E$10+1,1))-AVERAGE(OFFSET($H$3,0,0,'Données projet'!$E$10+1,1))</f>
        <v>424.81155998881928</v>
      </c>
      <c r="AO92" s="59">
        <f t="shared" si="90"/>
        <v>277.34430416544575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37.484119279069233</v>
      </c>
      <c r="AV92" s="21">
        <f>EXP(-LN(2)/25)*AV91+(1-EXP(-LN(2)/25))/(LN(2)/25)*Calculateur!AQ92*Calculateur!AS92*VLOOKUP('Données projet'!$B$10,Paramètres!$A$1:$I$89,3,0)*0.475*44/12</f>
        <v>23.37140165453263</v>
      </c>
      <c r="AW92" s="21">
        <f>EXP(-LN(2)/2)*AW91+(1-EXP(-LN(2)/2))/(LN(2)/2)*AQ92*AT92*VLOOKUP('Données projet'!$B$10,Paramètres!$A$1:$I$89,3,0)*0.475*44/12</f>
        <v>1.571467332714243E-2</v>
      </c>
      <c r="AX92" s="21">
        <f t="shared" si="60"/>
        <v>60.871235606929005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338.9447100000005</v>
      </c>
      <c r="BF92" s="13">
        <f t="shared" si="91"/>
        <v>79.281877395777414</v>
      </c>
      <c r="BG92" s="20">
        <f t="shared" si="61"/>
        <v>728.41130638097991</v>
      </c>
      <c r="BH92" s="59">
        <f t="shared" si="62"/>
        <v>1021.7446397143133</v>
      </c>
      <c r="BI92" s="59">
        <f ca="1">AVERAGE(OFFSET($BH$3,0,0,'Données projet'!$E$11+1,1))-AVERAGE(OFFSET($H$3,0,0,'Données projet'!$E$11+1,1))</f>
        <v>706.69239849991595</v>
      </c>
      <c r="BJ92" s="59">
        <f t="shared" si="92"/>
        <v>310.59887275116529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22.368003521474328</v>
      </c>
      <c r="BQ92" s="21">
        <f>EXP(-LN(2)/25)*BQ91+(1-EXP(-LN(2)/25))/(LN(2)/25)*Calculateur!BL92*Calculateur!BN92*VLOOKUP('Données projet'!$B$11,Paramètres!$A$1:$I$89,3,0)*0.475*44/12</f>
        <v>28.857314395848626</v>
      </c>
      <c r="BR92" s="21">
        <f>EXP(-LN(2)/2)*BR91+(1-EXP(-LN(2)/2))/(LN(2)/2)*BL92*BO92*VLOOKUP('Données projet'!$B$11,Paramètres!$A$1:$I$89,3,0)*0.475*44/12</f>
        <v>1.15703469352248</v>
      </c>
      <c r="BS92" s="22">
        <f t="shared" si="63"/>
        <v>52.382352610845437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9.2740000000000009</v>
      </c>
      <c r="BY92" s="12">
        <f>IF('Données projet'!$A$114&gt;35,BY91+BX92-CG91,IF(A92&lt;'Données projet'!$A$114,$BV$205^A92,IF(A92='Données projet'!$A$114,'Données projet'!$B$114,BY91+BX92-CG91)))</f>
        <v>311.77399999999989</v>
      </c>
      <c r="BZ92" s="13">
        <f>BY92*VLOOKUP('Données projet'!$B$12,Paramètres!$A$1:$I$89,3,0)*VLOOKUP('Données projet'!$B$12,Paramètres!$A$1:$I$89,5,0)</f>
        <v>296.68413839999988</v>
      </c>
      <c r="CA92" s="13">
        <f t="shared" si="93"/>
        <v>70.480882508102439</v>
      </c>
      <c r="CB92" s="20">
        <f t="shared" si="64"/>
        <v>639.47907808161142</v>
      </c>
      <c r="CC92" s="59">
        <f t="shared" si="65"/>
        <v>932.81241141494479</v>
      </c>
      <c r="CD92" s="59">
        <f ca="1">AVERAGE(OFFSET($CC$3,0,0,'Données projet'!$E$12+1,1))-AVERAGE(OFFSET($H$3,0,0,'Données projet'!$E$12+1,1))</f>
        <v>449.28947235329758</v>
      </c>
      <c r="CE92" s="59">
        <f t="shared" si="94"/>
        <v>289.36994109443964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23.637821360340322</v>
      </c>
      <c r="CL92" s="21">
        <f>EXP(-LN(2)/25)*CL91+(1-EXP(-LN(2)/25))/(LN(2)/25)*Calculateur!CG92*Calculateur!CI92*VLOOKUP('Données projet'!$B$12,Paramètres!$A$1:$I$89,3,0)*0.475*44/12</f>
        <v>22.341186522309695</v>
      </c>
      <c r="CM92" s="21">
        <f>EXP(-LN(2)/2)*CM91+(1-EXP(-LN(2)/2))/(LN(2)/2)*CG92*CJ92*VLOOKUP('Données projet'!$B$12,Paramètres!$A$1:$I$89,3,0)*0.475*44/12</f>
        <v>0.5934582124282749</v>
      </c>
      <c r="CN92" s="22">
        <f t="shared" si="66"/>
        <v>46.57246609507829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2.8421709430404007E-14</v>
      </c>
      <c r="CU92" s="17">
        <f>CT92*VLOOKUP('Données projet'!$B$13,Paramètres!$A$1:$I$89,3,0)*VLOOKUP('Données projet'!$B$13,Paramètres!$A$1:$I$89,5,0)</f>
        <v>2.4829205358400945E-14</v>
      </c>
      <c r="CV92" s="13">
        <f t="shared" si="95"/>
        <v>4.3867331143352915E-13</v>
      </c>
      <c r="CW92" s="20">
        <f t="shared" si="67"/>
        <v>8.0726688341261168E-13</v>
      </c>
      <c r="CX92" s="59">
        <f t="shared" si="68"/>
        <v>293.33333333333411</v>
      </c>
      <c r="CY92" s="59">
        <f ca="1">AVERAGE(OFFSET($CX$3,0,0,'Données projet'!$E$13+1,1))-AVERAGE(OFFSET($H$3,0,0,'Données projet'!$E$13+1,1))</f>
        <v>261.93797831021766</v>
      </c>
      <c r="CZ92" s="59">
        <f t="shared" si="96"/>
        <v>256.90876395053073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27.600985529931584</v>
      </c>
      <c r="DG92" s="21">
        <f>EXP(-LN(2)/25)*DG91+(1-EXP(-LN(2)/25))/(LN(2)/25)*Calculateur!DB92*Calculateur!DD92*VLOOKUP('Données projet'!$B$13,Paramètres!$A$1:$I$89,3,0)*0.475*44/12</f>
        <v>28.436367988542614</v>
      </c>
      <c r="DH92" s="21">
        <f>EXP(-LN(2)/2)*DH91+(1-EXP(-LN(2)/2))/(LN(2)/2)*DB92*DE92*VLOOKUP('Données projet'!$B$13,Paramètres!$A$1:$I$89,3,0)*0.475*44/12</f>
        <v>2.008467941555427</v>
      </c>
      <c r="DI92" s="22">
        <f t="shared" si="69"/>
        <v>58.045821460029629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11.667500000000004</v>
      </c>
      <c r="M93" s="12">
        <f t="array" ref="M93">INDEX(L:L,MIN(IF(ISNUMBER(L93:L289),ROW(L93:L289),"")))</f>
        <v>11.667500000000004</v>
      </c>
      <c r="N93" s="13">
        <f>IF('Données projet'!$A$36&gt;35,N92+M93-V92,IF(A93&lt;'Données projet'!$A$36,$K$205^A93,IF(A93='Données projet'!$A$36,'Données projet'!$B$36,N92+M93-V92)))</f>
        <v>471.37000000000006</v>
      </c>
      <c r="O93" s="13">
        <f>N93*VLOOKUP('Données projet'!$B$9,Paramètres!$A$1:$I$89,3,0)*VLOOKUP('Données projet'!$B$9,Paramètres!$A$1:$I$89,5,0)</f>
        <v>426.49557600000003</v>
      </c>
      <c r="P93" s="13">
        <f t="shared" si="87"/>
        <v>97.128021924116638</v>
      </c>
      <c r="Q93" s="20">
        <f t="shared" si="54"/>
        <v>911.9777663845033</v>
      </c>
      <c r="R93" s="59">
        <f t="shared" si="55"/>
        <v>1205.3110997178367</v>
      </c>
      <c r="S93" s="59">
        <f ca="1">AVERAGE(OFFSET($R$3,0,0,'Données projet'!$E$9+1,1))-AVERAGE(OFFSET($H$3,0,0,'Données projet'!$E$9+1,1))</f>
        <v>695.0879239758051</v>
      </c>
      <c r="T93" s="59">
        <f t="shared" si="88"/>
        <v>226.22150997227476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68.54000000000002</v>
      </c>
      <c r="W93" s="16">
        <f>IF(ISNA(VLOOKUP(A93,'Données projet'!$A$35:$I$55,5,0)),0%,VLOOKUP(A93,'Données projet'!$A$35:$I$55,5,0)*VLOOKUP('Données projet'!$B$9,Paramètres!$A$1:$I$89,7,0))</f>
        <v>0.15049999999999999</v>
      </c>
      <c r="X93" s="16">
        <f>IF(ISNA(VLOOKUP(A93,'Données projet'!$A$35:$I$55,6,0)),0%,VLOOKUP(A93,'Données projet'!$A$35:$I$55,6,0)*VLOOKUP('Données projet'!$B$9,Paramètres!$A$1:$I$89,7,0))</f>
        <v>8.6000000000000007E-2</v>
      </c>
      <c r="Y93" s="16">
        <f>IF(ISNA(VLOOKUP(A93,'Données projet'!$A$35:$I$55,7,0)),0%,VLOOKUP(A93,'Données projet'!$A$35:$I$55,7,0))</f>
        <v>0.1</v>
      </c>
      <c r="Z93" s="21">
        <f>EXP(-LN(2)/35)*Z92+(1-EXP(-LN(2)/35))/(LN(2)/35)*V93*W93*VLOOKUP('Données projet'!$B$9,Paramètres!$A$1:$I$89,3,0)*0.475*44/12</f>
        <v>38.458053803247623</v>
      </c>
      <c r="AA93" s="21">
        <f>EXP(-LN(2)/25)*AA92+(1-EXP(-LN(2)/25))/(LN(2)/25)*Calculateur!V93*Calculateur!X93*VLOOKUP('Données projet'!$B$9,Paramètres!$A$1:$I$89,3,0)*0.475*44/12</f>
        <v>35.61319127159561</v>
      </c>
      <c r="AB93" s="21">
        <f>EXP(-LN(2)/2)*AB92+(1-EXP(-LN(2)/2))/(LN(2)/2)*V93*Y93*VLOOKUP('Données projet'!$B$9,Paramètres!$A$1:$I$89,3,0)*0.475*44/12</f>
        <v>6.1882952279506034</v>
      </c>
      <c r="AC93" s="22">
        <f t="shared" si="57"/>
        <v>80.259540302793837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453.03</v>
      </c>
      <c r="AG93" s="12">
        <f>VLOOKUP(A93,'Données projet'!$A$61:$I$81,9,0)</f>
        <v>11.905555555555553</v>
      </c>
      <c r="AH93" s="12">
        <f t="array" ref="AH93">INDEX(AG:AG,MIN(IF(ISNUMBER(AG93:AG289),ROW(AG93:AG289),"")))</f>
        <v>11.905555555555553</v>
      </c>
      <c r="AI93" s="13">
        <f>IF('Données projet'!$A$62&gt;35,AI92+AH93-AQ92,IF(A93&lt;'Données projet'!$A$62,$AF$205^A93,IF(A93='Données projet'!$A$62,'Données projet'!$B$62,AI92+AH93-AQ92)))</f>
        <v>453.02999999999986</v>
      </c>
      <c r="AJ93" s="13">
        <f>AI93*VLOOKUP('Données projet'!$B$10,Paramètres!$A$1:$I$89,3,0)*VLOOKUP('Données projet'!$B$10,Paramètres!$A$1:$I$89,5,0)</f>
        <v>381.63247199999995</v>
      </c>
      <c r="AK93" s="13">
        <f t="shared" si="89"/>
        <v>88.042804903030387</v>
      </c>
      <c r="AL93" s="20">
        <f t="shared" si="58"/>
        <v>818.01777393944451</v>
      </c>
      <c r="AM93" s="59">
        <f t="shared" si="59"/>
        <v>1111.3511072727779</v>
      </c>
      <c r="AN93" s="59">
        <f ca="1">AVERAGE(OFFSET($AM$3,0,0,'Données projet'!$E$10+1,1))-AVERAGE(OFFSET($H$3,0,0,'Données projet'!$E$10+1,1))</f>
        <v>424.81155998881928</v>
      </c>
      <c r="AO93" s="59">
        <f t="shared" si="90"/>
        <v>277.34430416544575</v>
      </c>
      <c r="AP93" s="15">
        <f>IF(ISNA(VLOOKUP(A93,'Données projet'!$A$61:$I$81,3,0)),0,VLOOKUP(A93,'Données projet'!$A$61:$I$81,3,0))</f>
        <v>9</v>
      </c>
      <c r="AQ93" s="15">
        <f>IF(ISNA(VLOOKUP(A93,'Données projet'!$A$61:$I$81,4,0)),0,VLOOKUP(A93,'Données projet'!$A$61:$I$81,4,0))</f>
        <v>88.75</v>
      </c>
      <c r="AR93" s="16">
        <f>IF(ISNA(VLOOKUP(A93,'Données projet'!$A$61:$I$81,5,0)),0%,VLOOKUP(A93,'Données projet'!$A$61:$I$81,5,0)*VLOOKUP('Données projet'!$B$10,Paramètres!$A$1:$I$89,7,0))</f>
        <v>0.215</v>
      </c>
      <c r="AS93" s="16">
        <f>IF(ISNA(VLOOKUP(A93,'Données projet'!$A$61:$I$81,6,0)),0%,VLOOKUP(A93,'Données projet'!$A$61:$I$81,6,0)*VLOOKUP('Données projet'!$B$10,Paramètres!$A$1:$I$89,7,0))</f>
        <v>8.6000000000000007E-2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54.518459189841622</v>
      </c>
      <c r="AV93" s="21">
        <f>EXP(-LN(2)/25)*AV92+(1-EXP(-LN(2)/25))/(LN(2)/25)*Calculateur!AQ93*Calculateur!AS93*VLOOKUP('Données projet'!$B$10,Paramètres!$A$1:$I$89,3,0)*0.475*44/12</f>
        <v>29.812075769075744</v>
      </c>
      <c r="AW93" s="21">
        <f>EXP(-LN(2)/2)*AW92+(1-EXP(-LN(2)/2))/(LN(2)/2)*AQ93*AT93*VLOOKUP('Données projet'!$B$10,Paramètres!$A$1:$I$89,3,0)*0.475*44/12</f>
        <v>1.1111952073753777E-2</v>
      </c>
      <c r="AX93" s="21">
        <f t="shared" si="60"/>
        <v>84.341646910991116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348.24613200000056</v>
      </c>
      <c r="BF93" s="13">
        <f t="shared" si="91"/>
        <v>81.201266081189317</v>
      </c>
      <c r="BG93" s="20">
        <f t="shared" si="61"/>
        <v>747.95421832473903</v>
      </c>
      <c r="BH93" s="59">
        <f t="shared" si="62"/>
        <v>1041.2875516580723</v>
      </c>
      <c r="BI93" s="59">
        <f ca="1">AVERAGE(OFFSET($BH$3,0,0,'Données projet'!$E$11+1,1))-AVERAGE(OFFSET($H$3,0,0,'Données projet'!$E$11+1,1))</f>
        <v>706.69239849991595</v>
      </c>
      <c r="BJ93" s="59">
        <f t="shared" si="92"/>
        <v>310.59887275116529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21.929380615553217</v>
      </c>
      <c r="BQ93" s="21">
        <f>EXP(-LN(2)/25)*BQ92+(1-EXP(-LN(2)/25))/(LN(2)/25)*Calculateur!BL93*Calculateur!BN93*VLOOKUP('Données projet'!$B$11,Paramètres!$A$1:$I$89,3,0)*0.475*44/12</f>
        <v>28.068209616153936</v>
      </c>
      <c r="BR93" s="21">
        <f>EXP(-LN(2)/2)*BR92+(1-EXP(-LN(2)/2))/(LN(2)/2)*BL93*BO93*VLOOKUP('Données projet'!$B$11,Paramètres!$A$1:$I$89,3,0)*0.475*44/12</f>
        <v>0.81814707785784435</v>
      </c>
      <c r="BS93" s="22">
        <f t="shared" si="63"/>
        <v>50.815737309564994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9.2740000000000009</v>
      </c>
      <c r="BY93" s="12">
        <f>IF('Données projet'!$A$114&gt;35,BY92+BX93-CG92,IF(A93&lt;'Données projet'!$A$114,$BV$205^A93,IF(A93='Données projet'!$A$114,'Données projet'!$B$114,BY92+BX93-CG92)))</f>
        <v>321.04799999999989</v>
      </c>
      <c r="BZ93" s="13">
        <f>BY93*VLOOKUP('Données projet'!$B$12,Paramètres!$A$1:$I$89,3,0)*VLOOKUP('Données projet'!$B$12,Paramètres!$A$1:$I$89,5,0)</f>
        <v>305.5092767999999</v>
      </c>
      <c r="CA93" s="13">
        <f t="shared" si="93"/>
        <v>72.330193444868527</v>
      </c>
      <c r="CB93" s="20">
        <f t="shared" si="64"/>
        <v>658.07041067647913</v>
      </c>
      <c r="CC93" s="59">
        <f t="shared" si="65"/>
        <v>951.4037440098125</v>
      </c>
      <c r="CD93" s="59">
        <f ca="1">AVERAGE(OFFSET($CC$3,0,0,'Données projet'!$E$12+1,1))-AVERAGE(OFFSET($H$3,0,0,'Données projet'!$E$12+1,1))</f>
        <v>449.28947235329758</v>
      </c>
      <c r="CE93" s="59">
        <f t="shared" si="94"/>
        <v>289.36994109443964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23.174298101111454</v>
      </c>
      <c r="CL93" s="21">
        <f>EXP(-LN(2)/25)*CL92+(1-EXP(-LN(2)/25))/(LN(2)/25)*Calculateur!CG93*Calculateur!CI93*VLOOKUP('Données projet'!$B$12,Paramètres!$A$1:$I$89,3,0)*0.475*44/12</f>
        <v>21.730265601985199</v>
      </c>
      <c r="CM93" s="21">
        <f>EXP(-LN(2)/2)*CM92+(1-EXP(-LN(2)/2))/(LN(2)/2)*CG93*CJ93*VLOOKUP('Données projet'!$B$12,Paramètres!$A$1:$I$89,3,0)*0.475*44/12</f>
        <v>0.41963832635887982</v>
      </c>
      <c r="CN93" s="22">
        <f t="shared" si="66"/>
        <v>45.324202029455535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2.8421709430404007E-14</v>
      </c>
      <c r="CU93" s="17">
        <f>CT93*VLOOKUP('Données projet'!$B$13,Paramètres!$A$1:$I$89,3,0)*VLOOKUP('Données projet'!$B$13,Paramètres!$A$1:$I$89,5,0)</f>
        <v>2.4829205358400945E-14</v>
      </c>
      <c r="CV93" s="13">
        <f t="shared" si="95"/>
        <v>4.3867331143352915E-13</v>
      </c>
      <c r="CW93" s="20">
        <f t="shared" si="67"/>
        <v>8.0726688341261168E-13</v>
      </c>
      <c r="CX93" s="59">
        <f t="shared" si="68"/>
        <v>293.33333333333411</v>
      </c>
      <c r="CY93" s="59">
        <f ca="1">AVERAGE(OFFSET($CX$3,0,0,'Données projet'!$E$13+1,1))-AVERAGE(OFFSET($H$3,0,0,'Données projet'!$E$13+1,1))</f>
        <v>261.93797831021766</v>
      </c>
      <c r="CZ93" s="59">
        <f t="shared" si="96"/>
        <v>256.90876395053073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27.059747038628487</v>
      </c>
      <c r="DG93" s="21">
        <f>EXP(-LN(2)/25)*DG92+(1-EXP(-LN(2)/25))/(LN(2)/25)*Calculateur!DB93*Calculateur!DD93*VLOOKUP('Données projet'!$B$13,Paramètres!$A$1:$I$89,3,0)*0.475*44/12</f>
        <v>27.658774010492316</v>
      </c>
      <c r="DH93" s="21">
        <f>EXP(-LN(2)/2)*DH92+(1-EXP(-LN(2)/2))/(LN(2)/2)*DB93*DE93*VLOOKUP('Données projet'!$B$13,Paramètres!$A$1:$I$89,3,0)*0.475*44/12</f>
        <v>1.4202013012696288</v>
      </c>
      <c r="DI93" s="22">
        <f t="shared" si="69"/>
        <v>56.138722350390431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11.283999999999997</v>
      </c>
      <c r="N94" s="13">
        <f>IF('Données projet'!$A$36&gt;35,N93+M94-V93,IF(A94&lt;'Données projet'!$A$36,$K$205^A94,IF(A94='Données projet'!$A$36,'Données projet'!$B$36,N93+M94-V93)))</f>
        <v>414.11400000000003</v>
      </c>
      <c r="O94" s="13">
        <f>N94*VLOOKUP('Données projet'!$B$9,Paramètres!$A$1:$I$89,3,0)*VLOOKUP('Données projet'!$B$9,Paramètres!$A$1:$I$89,5,0)</f>
        <v>374.69034720000002</v>
      </c>
      <c r="P94" s="13">
        <f t="shared" si="87"/>
        <v>86.626165379177522</v>
      </c>
      <c r="Q94" s="20">
        <f t="shared" si="54"/>
        <v>803.45959274206746</v>
      </c>
      <c r="R94" s="59">
        <f t="shared" si="55"/>
        <v>1096.7929260754008</v>
      </c>
      <c r="S94" s="59">
        <f ca="1">AVERAGE(OFFSET($R$3,0,0,'Données projet'!$E$9+1,1))-AVERAGE(OFFSET($H$3,0,0,'Données projet'!$E$9+1,1))</f>
        <v>695.0879239758051</v>
      </c>
      <c r="T94" s="59">
        <f t="shared" si="88"/>
        <v>226.22150997227476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37.703914825262558</v>
      </c>
      <c r="AA94" s="21">
        <f>EXP(-LN(2)/25)*AA93+(1-EXP(-LN(2)/25))/(LN(2)/25)*Calculateur!V94*Calculateur!X94*VLOOKUP('Données projet'!$B$9,Paramètres!$A$1:$I$89,3,0)*0.475*44/12</f>
        <v>34.639346683457497</v>
      </c>
      <c r="AB94" s="21">
        <f>EXP(-LN(2)/2)*AB93+(1-EXP(-LN(2)/2))/(LN(2)/2)*V94*Y94*VLOOKUP('Données projet'!$B$9,Paramètres!$A$1:$I$89,3,0)*0.475*44/12</f>
        <v>4.3757855196682236</v>
      </c>
      <c r="AC94" s="22">
        <f t="shared" si="57"/>
        <v>76.719047028388275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11.216666666666672</v>
      </c>
      <c r="AI94" s="13">
        <f>IF('Données projet'!$A$62&gt;35,AI93+AH94-AQ93,IF(A94&lt;'Données projet'!$A$62,$AF$205^A94,IF(A94='Données projet'!$A$62,'Données projet'!$B$62,AI93+AH94-AQ93)))</f>
        <v>375.49666666666656</v>
      </c>
      <c r="AJ94" s="13">
        <f>AI94*VLOOKUP('Données projet'!$B$10,Paramètres!$A$1:$I$89,3,0)*VLOOKUP('Données projet'!$B$10,Paramètres!$A$1:$I$89,5,0)</f>
        <v>316.31839199999996</v>
      </c>
      <c r="AK94" s="13">
        <f t="shared" si="89"/>
        <v>74.586808381726854</v>
      </c>
      <c r="AL94" s="20">
        <f t="shared" si="58"/>
        <v>680.82655733150739</v>
      </c>
      <c r="AM94" s="59">
        <f t="shared" si="59"/>
        <v>974.15989066484076</v>
      </c>
      <c r="AN94" s="59">
        <f ca="1">AVERAGE(OFFSET($AM$3,0,0,'Données projet'!$E$10+1,1))-AVERAGE(OFFSET($H$3,0,0,'Données projet'!$E$10+1,1))</f>
        <v>424.81155998881928</v>
      </c>
      <c r="AO94" s="59">
        <f t="shared" si="90"/>
        <v>277.34430416544575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53.449385458105475</v>
      </c>
      <c r="AV94" s="21">
        <f>EXP(-LN(2)/25)*AV93+(1-EXP(-LN(2)/25))/(LN(2)/25)*Calculateur!AQ94*Calculateur!AS94*VLOOKUP('Données projet'!$B$10,Paramètres!$A$1:$I$89,3,0)*0.475*44/12</f>
        <v>28.996862989421441</v>
      </c>
      <c r="AW94" s="21">
        <f>EXP(-LN(2)/2)*AW93+(1-EXP(-LN(2)/2))/(LN(2)/2)*AQ94*AT94*VLOOKUP('Données projet'!$B$10,Paramètres!$A$1:$I$89,3,0)*0.475*44/12</f>
        <v>7.8573366635712148E-3</v>
      </c>
      <c r="AX94" s="21">
        <f t="shared" si="60"/>
        <v>82.454105784190489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357.54755400000056</v>
      </c>
      <c r="BF94" s="13">
        <f t="shared" si="91"/>
        <v>83.114695969480493</v>
      </c>
      <c r="BG94" s="20">
        <f t="shared" si="61"/>
        <v>767.48675203017956</v>
      </c>
      <c r="BH94" s="59">
        <f t="shared" si="62"/>
        <v>1060.8200853635128</v>
      </c>
      <c r="BI94" s="59">
        <f ca="1">AVERAGE(OFFSET($BH$3,0,0,'Données projet'!$E$11+1,1))-AVERAGE(OFFSET($H$3,0,0,'Données projet'!$E$11+1,1))</f>
        <v>706.69239849991595</v>
      </c>
      <c r="BJ94" s="59">
        <f t="shared" si="92"/>
        <v>310.59887275116529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21.499358837283662</v>
      </c>
      <c r="BQ94" s="21">
        <f>EXP(-LN(2)/25)*BQ93+(1-EXP(-LN(2)/25))/(LN(2)/25)*Calculateur!BL94*Calculateur!BN94*VLOOKUP('Données projet'!$B$11,Paramètres!$A$1:$I$89,3,0)*0.475*44/12</f>
        <v>27.300682948157213</v>
      </c>
      <c r="BR94" s="21">
        <f>EXP(-LN(2)/2)*BR93+(1-EXP(-LN(2)/2))/(LN(2)/2)*BL94*BO94*VLOOKUP('Données projet'!$B$11,Paramètres!$A$1:$I$89,3,0)*0.475*44/12</f>
        <v>0.57851734676124</v>
      </c>
      <c r="BS94" s="22">
        <f t="shared" si="63"/>
        <v>49.378559132202113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9.2740000000000009</v>
      </c>
      <c r="BY94" s="12">
        <f>IF('Données projet'!$A$114&gt;35,BY93+BX94-CG93,IF(A94&lt;'Données projet'!$A$114,$BV$205^A94,IF(A94='Données projet'!$A$114,'Données projet'!$B$114,BY93+BX94-CG93)))</f>
        <v>330.32199999999989</v>
      </c>
      <c r="BZ94" s="13">
        <f>BY94*VLOOKUP('Données projet'!$B$12,Paramètres!$A$1:$I$89,3,0)*VLOOKUP('Données projet'!$B$12,Paramètres!$A$1:$I$89,5,0)</f>
        <v>314.33441519999985</v>
      </c>
      <c r="CA94" s="13">
        <f t="shared" si="93"/>
        <v>74.173295778029868</v>
      </c>
      <c r="CB94" s="20">
        <f t="shared" si="64"/>
        <v>676.65092995340171</v>
      </c>
      <c r="CC94" s="59">
        <f t="shared" si="65"/>
        <v>969.98426328673509</v>
      </c>
      <c r="CD94" s="59">
        <f ca="1">AVERAGE(OFFSET($CC$3,0,0,'Données projet'!$E$12+1,1))-AVERAGE(OFFSET($H$3,0,0,'Données projet'!$E$12+1,1))</f>
        <v>449.28947235329758</v>
      </c>
      <c r="CE94" s="59">
        <f t="shared" si="94"/>
        <v>289.36994109443964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22.719864250274792</v>
      </c>
      <c r="CL94" s="21">
        <f>EXP(-LN(2)/25)*CL93+(1-EXP(-LN(2)/25))/(LN(2)/25)*Calculateur!CG94*Calculateur!CI94*VLOOKUP('Données projet'!$B$12,Paramètres!$A$1:$I$89,3,0)*0.475*44/12</f>
        <v>21.136050346353912</v>
      </c>
      <c r="CM94" s="21">
        <f>EXP(-LN(2)/2)*CM93+(1-EXP(-LN(2)/2))/(LN(2)/2)*CG94*CJ94*VLOOKUP('Données projet'!$B$12,Paramètres!$A$1:$I$89,3,0)*0.475*44/12</f>
        <v>0.29672910621413745</v>
      </c>
      <c r="CN94" s="22">
        <f t="shared" si="66"/>
        <v>44.152643702842845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2.8421709430404007E-14</v>
      </c>
      <c r="CU94" s="17">
        <f>CT94*VLOOKUP('Données projet'!$B$13,Paramètres!$A$1:$I$89,3,0)*VLOOKUP('Données projet'!$B$13,Paramètres!$A$1:$I$89,5,0)</f>
        <v>2.4829205358400945E-14</v>
      </c>
      <c r="CV94" s="13">
        <f t="shared" si="95"/>
        <v>4.3867331143352915E-13</v>
      </c>
      <c r="CW94" s="20">
        <f t="shared" si="67"/>
        <v>8.0726688341261168E-13</v>
      </c>
      <c r="CX94" s="59">
        <f t="shared" si="68"/>
        <v>293.33333333333411</v>
      </c>
      <c r="CY94" s="59">
        <f ca="1">AVERAGE(OFFSET($CX$3,0,0,'Données projet'!$E$13+1,1))-AVERAGE(OFFSET($H$3,0,0,'Données projet'!$E$13+1,1))</f>
        <v>261.93797831021766</v>
      </c>
      <c r="CZ94" s="59">
        <f t="shared" si="96"/>
        <v>256.90876395053073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26.529121904016961</v>
      </c>
      <c r="DG94" s="21">
        <f>EXP(-LN(2)/25)*DG93+(1-EXP(-LN(2)/25))/(LN(2)/25)*Calculateur!DB94*Calculateur!DD94*VLOOKUP('Données projet'!$B$13,Paramètres!$A$1:$I$89,3,0)*0.475*44/12</f>
        <v>26.902443380663694</v>
      </c>
      <c r="DH94" s="21">
        <f>EXP(-LN(2)/2)*DH93+(1-EXP(-LN(2)/2))/(LN(2)/2)*DB94*DE94*VLOOKUP('Données projet'!$B$13,Paramètres!$A$1:$I$89,3,0)*0.475*44/12</f>
        <v>1.0042339707777135</v>
      </c>
      <c r="DI94" s="22">
        <f t="shared" si="69"/>
        <v>54.43579925545837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11.283999999999997</v>
      </c>
      <c r="N95" s="13">
        <f>IF('Données projet'!$A$36&gt;35,N94+M95-V94,IF(A95&lt;'Données projet'!$A$36,$K$205^A95,IF(A95='Données projet'!$A$36,'Données projet'!$B$36,N94+M95-V94)))</f>
        <v>425.39800000000002</v>
      </c>
      <c r="O95" s="13">
        <f>N95*VLOOKUP('Données projet'!$B$9,Paramètres!$A$1:$I$89,3,0)*VLOOKUP('Données projet'!$B$9,Paramètres!$A$1:$I$89,5,0)</f>
        <v>384.90011040000002</v>
      </c>
      <c r="P95" s="13">
        <f t="shared" si="87"/>
        <v>88.708572204563708</v>
      </c>
      <c r="Q95" s="20">
        <f t="shared" si="54"/>
        <v>824.86845553628189</v>
      </c>
      <c r="R95" s="59">
        <f t="shared" si="55"/>
        <v>1118.2017888696153</v>
      </c>
      <c r="S95" s="59">
        <f ca="1">AVERAGE(OFFSET($R$3,0,0,'Données projet'!$E$9+1,1))-AVERAGE(OFFSET($H$3,0,0,'Données projet'!$E$9+1,1))</f>
        <v>695.0879239758051</v>
      </c>
      <c r="T95" s="59">
        <f t="shared" si="88"/>
        <v>226.22150997227476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36.964564052656428</v>
      </c>
      <c r="AA95" s="21">
        <f>EXP(-LN(2)/25)*AA94+(1-EXP(-LN(2)/25))/(LN(2)/25)*Calculateur!V95*Calculateur!X95*VLOOKUP('Données projet'!$B$9,Paramètres!$A$1:$I$89,3,0)*0.475*44/12</f>
        <v>33.692131926794282</v>
      </c>
      <c r="AB95" s="21">
        <f>EXP(-LN(2)/2)*AB94+(1-EXP(-LN(2)/2))/(LN(2)/2)*V95*Y95*VLOOKUP('Données projet'!$B$9,Paramètres!$A$1:$I$89,3,0)*0.475*44/12</f>
        <v>3.0941476139753021</v>
      </c>
      <c r="AC95" s="22">
        <f t="shared" si="57"/>
        <v>73.750843593426026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11.216666666666672</v>
      </c>
      <c r="AI95" s="13">
        <f>IF('Données projet'!$A$62&gt;35,AI94+AH95-AQ94,IF(A95&lt;'Données projet'!$A$62,$AF$205^A95,IF(A95='Données projet'!$A$62,'Données projet'!$B$62,AI94+AH95-AQ94)))</f>
        <v>386.71333333333325</v>
      </c>
      <c r="AJ95" s="13">
        <f>AI95*VLOOKUP('Données projet'!$B$10,Paramètres!$A$1:$I$89,3,0)*VLOOKUP('Données projet'!$B$10,Paramètres!$A$1:$I$89,5,0)</f>
        <v>325.76731199999995</v>
      </c>
      <c r="AK95" s="13">
        <f t="shared" si="89"/>
        <v>76.552104731116984</v>
      </c>
      <c r="AL95" s="20">
        <f t="shared" si="58"/>
        <v>700.70631747336199</v>
      </c>
      <c r="AM95" s="59">
        <f t="shared" si="59"/>
        <v>994.03965080669536</v>
      </c>
      <c r="AN95" s="59">
        <f ca="1">AVERAGE(OFFSET($AM$3,0,0,'Données projet'!$E$10+1,1))-AVERAGE(OFFSET($H$3,0,0,'Données projet'!$E$10+1,1))</f>
        <v>424.81155998881928</v>
      </c>
      <c r="AO95" s="59">
        <f t="shared" si="90"/>
        <v>277.34430416544575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52.401275610178082</v>
      </c>
      <c r="AV95" s="21">
        <f>EXP(-LN(2)/25)*AV94+(1-EXP(-LN(2)/25))/(LN(2)/25)*Calculateur!AQ95*Calculateur!AS95*VLOOKUP('Données projet'!$B$10,Paramètres!$A$1:$I$89,3,0)*0.475*44/12</f>
        <v>28.203942246096961</v>
      </c>
      <c r="AW95" s="21">
        <f>EXP(-LN(2)/2)*AW94+(1-EXP(-LN(2)/2))/(LN(2)/2)*AQ95*AT95*VLOOKUP('Données projet'!$B$10,Paramètres!$A$1:$I$89,3,0)*0.475*44/12</f>
        <v>5.5559760368768885E-3</v>
      </c>
      <c r="AX95" s="21">
        <f t="shared" si="60"/>
        <v>80.610773832311921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366.8489760000005</v>
      </c>
      <c r="BF95" s="13">
        <f t="shared" si="91"/>
        <v>85.022339897263734</v>
      </c>
      <c r="BG95" s="20">
        <f t="shared" si="61"/>
        <v>787.00920852106856</v>
      </c>
      <c r="BH95" s="59">
        <f t="shared" si="62"/>
        <v>1080.3425418544018</v>
      </c>
      <c r="BI95" s="59">
        <f ca="1">AVERAGE(OFFSET($BH$3,0,0,'Données projet'!$E$11+1,1))-AVERAGE(OFFSET($H$3,0,0,'Données projet'!$E$11+1,1))</f>
        <v>706.69239849991595</v>
      </c>
      <c r="BJ95" s="59">
        <f t="shared" si="92"/>
        <v>310.59887275116529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21.077769523798587</v>
      </c>
      <c r="BQ95" s="21">
        <f>EXP(-LN(2)/25)*BQ94+(1-EXP(-LN(2)/25))/(LN(2)/25)*Calculateur!BL95*Calculateur!BN95*VLOOKUP('Données projet'!$B$11,Paramètres!$A$1:$I$89,3,0)*0.475*44/12</f>
        <v>26.554144337259334</v>
      </c>
      <c r="BR95" s="21">
        <f>EXP(-LN(2)/2)*BR94+(1-EXP(-LN(2)/2))/(LN(2)/2)*BL95*BO95*VLOOKUP('Données projet'!$B$11,Paramètres!$A$1:$I$89,3,0)*0.475*44/12</f>
        <v>0.40907353892892218</v>
      </c>
      <c r="BS95" s="22">
        <f t="shared" si="63"/>
        <v>48.040987399986847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9.2740000000000009</v>
      </c>
      <c r="BY95" s="12">
        <f>IF('Données projet'!$A$114&gt;35,BY94+BX95-CG94,IF(A95&lt;'Données projet'!$A$114,$BV$205^A95,IF(A95='Données projet'!$A$114,'Données projet'!$B$114,BY94+BX95-CG94)))</f>
        <v>339.59599999999989</v>
      </c>
      <c r="BZ95" s="13">
        <f>BY95*VLOOKUP('Données projet'!$B$12,Paramètres!$A$1:$I$89,3,0)*VLOOKUP('Données projet'!$B$12,Paramètres!$A$1:$I$89,5,0)</f>
        <v>323.15955359999992</v>
      </c>
      <c r="CA95" s="13">
        <f t="shared" si="93"/>
        <v>76.010383841911221</v>
      </c>
      <c r="CB95" s="20">
        <f t="shared" si="64"/>
        <v>695.22097437799528</v>
      </c>
      <c r="CC95" s="59">
        <f t="shared" si="65"/>
        <v>988.55430771132865</v>
      </c>
      <c r="CD95" s="59">
        <f ca="1">AVERAGE(OFFSET($CC$3,0,0,'Données projet'!$E$12+1,1))-AVERAGE(OFFSET($H$3,0,0,'Données projet'!$E$12+1,1))</f>
        <v>449.28947235329758</v>
      </c>
      <c r="CE95" s="59">
        <f t="shared" si="94"/>
        <v>289.36994109443964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22.274341570075759</v>
      </c>
      <c r="CL95" s="21">
        <f>EXP(-LN(2)/25)*CL94+(1-EXP(-LN(2)/25))/(LN(2)/25)*Calculateur!CG95*Calculateur!CI95*VLOOKUP('Données projet'!$B$12,Paramètres!$A$1:$I$89,3,0)*0.475*44/12</f>
        <v>20.558083938136285</v>
      </c>
      <c r="CM95" s="21">
        <f>EXP(-LN(2)/2)*CM94+(1-EXP(-LN(2)/2))/(LN(2)/2)*CG95*CJ95*VLOOKUP('Données projet'!$B$12,Paramètres!$A$1:$I$89,3,0)*0.475*44/12</f>
        <v>0.20981916317943991</v>
      </c>
      <c r="CN95" s="22">
        <f t="shared" si="66"/>
        <v>43.042244671391479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2.8421709430404007E-14</v>
      </c>
      <c r="CU95" s="17">
        <f>CT95*VLOOKUP('Données projet'!$B$13,Paramètres!$A$1:$I$89,3,0)*VLOOKUP('Données projet'!$B$13,Paramètres!$A$1:$I$89,5,0)</f>
        <v>2.4829205358400945E-14</v>
      </c>
      <c r="CV95" s="13">
        <f t="shared" si="95"/>
        <v>4.3867331143352915E-13</v>
      </c>
      <c r="CW95" s="20">
        <f t="shared" si="67"/>
        <v>8.0726688341261168E-13</v>
      </c>
      <c r="CX95" s="59">
        <f t="shared" si="68"/>
        <v>293.33333333333411</v>
      </c>
      <c r="CY95" s="59">
        <f ca="1">AVERAGE(OFFSET($CX$3,0,0,'Données projet'!$E$13+1,1))-AVERAGE(OFFSET($H$3,0,0,'Données projet'!$E$13+1,1))</f>
        <v>261.93797831021766</v>
      </c>
      <c r="CZ95" s="59">
        <f t="shared" si="96"/>
        <v>256.90876395053073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26.00890200464579</v>
      </c>
      <c r="DG95" s="21">
        <f>EXP(-LN(2)/25)*DG94+(1-EXP(-LN(2)/25))/(LN(2)/25)*Calculateur!DB95*Calculateur!DD95*VLOOKUP('Données projet'!$B$13,Paramètres!$A$1:$I$89,3,0)*0.475*44/12</f>
        <v>26.166794651681435</v>
      </c>
      <c r="DH95" s="21">
        <f>EXP(-LN(2)/2)*DH94+(1-EXP(-LN(2)/2))/(LN(2)/2)*DB95*DE95*VLOOKUP('Données projet'!$B$13,Paramètres!$A$1:$I$89,3,0)*0.475*44/12</f>
        <v>0.71010065063481442</v>
      </c>
      <c r="DI95" s="22">
        <f t="shared" si="69"/>
        <v>52.88579730696204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11.283999999999997</v>
      </c>
      <c r="N96" s="13">
        <f>IF('Données projet'!$A$36&gt;35,N95+M96-V95,IF(A96&lt;'Données projet'!$A$36,$K$205^A96,IF(A96='Données projet'!$A$36,'Données projet'!$B$36,N95+M96-V95)))</f>
        <v>436.68200000000002</v>
      </c>
      <c r="O96" s="13">
        <f>N96*VLOOKUP('Données projet'!$B$9,Paramètres!$A$1:$I$89,3,0)*VLOOKUP('Données projet'!$B$9,Paramètres!$A$1:$I$89,5,0)</f>
        <v>395.10987360000001</v>
      </c>
      <c r="P96" s="13">
        <f t="shared" si="87"/>
        <v>90.784558517022006</v>
      </c>
      <c r="Q96" s="20">
        <f t="shared" si="54"/>
        <v>846.26613593714671</v>
      </c>
      <c r="R96" s="59">
        <f t="shared" si="55"/>
        <v>1139.5994692704801</v>
      </c>
      <c r="S96" s="59">
        <f ca="1">AVERAGE(OFFSET($R$3,0,0,'Données projet'!$E$9+1,1))-AVERAGE(OFFSET($H$3,0,0,'Données projet'!$E$9+1,1))</f>
        <v>695.0879239758051</v>
      </c>
      <c r="T96" s="59">
        <f t="shared" si="88"/>
        <v>226.22150997227476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36.239711497741659</v>
      </c>
      <c r="AA96" s="21">
        <f>EXP(-LN(2)/25)*AA95+(1-EXP(-LN(2)/25))/(LN(2)/25)*Calculateur!V96*Calculateur!X96*VLOOKUP('Données projet'!$B$9,Paramètres!$A$1:$I$89,3,0)*0.475*44/12</f>
        <v>32.770818807463876</v>
      </c>
      <c r="AB96" s="21">
        <f>EXP(-LN(2)/2)*AB95+(1-EXP(-LN(2)/2))/(LN(2)/2)*V96*Y96*VLOOKUP('Données projet'!$B$9,Paramètres!$A$1:$I$89,3,0)*0.475*44/12</f>
        <v>2.1878927598341122</v>
      </c>
      <c r="AC96" s="22">
        <f t="shared" si="57"/>
        <v>71.198423065039648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11.216666666666672</v>
      </c>
      <c r="AI96" s="13">
        <f>IF('Données projet'!$A$62&gt;35,AI95+AH96-AQ95,IF(A96&lt;'Données projet'!$A$62,$AF$205^A96,IF(A96='Données projet'!$A$62,'Données projet'!$B$62,AI95+AH96-AQ95)))</f>
        <v>397.92999999999995</v>
      </c>
      <c r="AJ96" s="13">
        <f>AI96*VLOOKUP('Données projet'!$B$10,Paramètres!$A$1:$I$89,3,0)*VLOOKUP('Données projet'!$B$10,Paramètres!$A$1:$I$89,5,0)</f>
        <v>335.21623199999999</v>
      </c>
      <c r="AK96" s="13">
        <f t="shared" si="89"/>
        <v>78.510776061655761</v>
      </c>
      <c r="AL96" s="20">
        <f t="shared" si="58"/>
        <v>720.57453904071701</v>
      </c>
      <c r="AM96" s="59">
        <f t="shared" si="59"/>
        <v>1013.9078723740504</v>
      </c>
      <c r="AN96" s="59">
        <f ca="1">AVERAGE(OFFSET($AM$3,0,0,'Données projet'!$E$10+1,1))-AVERAGE(OFFSET($H$3,0,0,'Données projet'!$E$10+1,1))</f>
        <v>424.81155998881928</v>
      </c>
      <c r="AO96" s="59">
        <f t="shared" si="90"/>
        <v>277.34430416544575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51.373718557084665</v>
      </c>
      <c r="AV96" s="21">
        <f>EXP(-LN(2)/25)*AV95+(1-EXP(-LN(2)/25))/(LN(2)/25)*Calculateur!AQ96*Calculateur!AS96*VLOOKUP('Données projet'!$B$10,Paramètres!$A$1:$I$89,3,0)*0.475*44/12</f>
        <v>27.432703962196577</v>
      </c>
      <c r="AW96" s="21">
        <f>EXP(-LN(2)/2)*AW95+(1-EXP(-LN(2)/2))/(LN(2)/2)*AQ96*AT96*VLOOKUP('Données projet'!$B$10,Paramètres!$A$1:$I$89,3,0)*0.475*44/12</f>
        <v>3.9286683317856074E-3</v>
      </c>
      <c r="AX96" s="21">
        <f t="shared" si="60"/>
        <v>78.810351187613023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376.15039800000056</v>
      </c>
      <c r="BF96" s="13">
        <f t="shared" si="91"/>
        <v>86.92436143722324</v>
      </c>
      <c r="BG96" s="20">
        <f t="shared" si="61"/>
        <v>806.52187268649811</v>
      </c>
      <c r="BH96" s="59">
        <f t="shared" si="62"/>
        <v>1099.8552060198315</v>
      </c>
      <c r="BI96" s="59">
        <f ca="1">AVERAGE(OFFSET($BH$3,0,0,'Données projet'!$E$11+1,1))-AVERAGE(OFFSET($H$3,0,0,'Données projet'!$E$11+1,1))</f>
        <v>706.69239849991595</v>
      </c>
      <c r="BJ96" s="59">
        <f t="shared" si="92"/>
        <v>310.59887275116529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20.664447319606865</v>
      </c>
      <c r="BQ96" s="21">
        <f>EXP(-LN(2)/25)*BQ95+(1-EXP(-LN(2)/25))/(LN(2)/25)*Calculateur!BL96*Calculateur!BN96*VLOOKUP('Données projet'!$B$11,Paramètres!$A$1:$I$89,3,0)*0.475*44/12</f>
        <v>25.828019863935218</v>
      </c>
      <c r="BR96" s="21">
        <f>EXP(-LN(2)/2)*BR95+(1-EXP(-LN(2)/2))/(LN(2)/2)*BL96*BO96*VLOOKUP('Données projet'!$B$11,Paramètres!$A$1:$I$89,3,0)*0.475*44/12</f>
        <v>0.28925867338062</v>
      </c>
      <c r="BS96" s="22">
        <f t="shared" si="63"/>
        <v>46.781725856922705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348.87</v>
      </c>
      <c r="BW96" s="12">
        <f>VLOOKUP(A96,'Données projet'!$A$113:$I$133,9,0)</f>
        <v>9.2740000000000009</v>
      </c>
      <c r="BX96" s="12">
        <f t="array" ref="BX96">INDEX(BW:BW,MIN(IF(ISNUMBER(BW96:BW292),ROW(BW96:BW292),"")))</f>
        <v>9.2740000000000009</v>
      </c>
      <c r="BY96" s="12">
        <f>IF('Données projet'!$A$114&gt;35,BY95+BX96-CG95,IF(A96&lt;'Données projet'!$A$114,$BV$205^A96,IF(A96='Données projet'!$A$114,'Données projet'!$B$114,BY95+BX96-CG95)))</f>
        <v>348.86999999999989</v>
      </c>
      <c r="BZ96" s="13">
        <f>BY96*VLOOKUP('Données projet'!$B$12,Paramètres!$A$1:$I$89,3,0)*VLOOKUP('Données projet'!$B$12,Paramètres!$A$1:$I$89,5,0)</f>
        <v>331.98469199999994</v>
      </c>
      <c r="CA96" s="13">
        <f t="shared" si="93"/>
        <v>77.841640752593847</v>
      </c>
      <c r="CB96" s="20">
        <f t="shared" si="64"/>
        <v>713.78086287743406</v>
      </c>
      <c r="CC96" s="59">
        <f t="shared" si="65"/>
        <v>1007.1141962107674</v>
      </c>
      <c r="CD96" s="59">
        <f ca="1">AVERAGE(OFFSET($CC$3,0,0,'Données projet'!$E$12+1,1))-AVERAGE(OFFSET($H$3,0,0,'Données projet'!$E$12+1,1))</f>
        <v>449.28947235329758</v>
      </c>
      <c r="CE96" s="59">
        <f t="shared" si="94"/>
        <v>289.36994109443964</v>
      </c>
      <c r="CF96" s="15">
        <f>IF(ISNA(VLOOKUP(A96,'Données projet'!$A$113:$I$133,3,0)),0,VLOOKUP(A96,'Données projet'!$A$113:$I$133,3,0))</f>
        <v>8</v>
      </c>
      <c r="CG96" s="15">
        <f>IF(ISNA(VLOOKUP(A96,'Données projet'!$A$113:$I$133,4,0)),0,VLOOKUP(A96,'Données projet'!$A$113:$I$133,4,0))</f>
        <v>67.45999999999998</v>
      </c>
      <c r="CH96" s="16">
        <f>IF(ISNA(VLOOKUP(A96,'Données projet'!$A$113:$I$133,5,0)),0%,VLOOKUP(A96,'Données projet'!$A$113:$I$133,5,0)*VLOOKUP('Données projet'!$B$12,Paramètres!$A$1:$I$89,7,0))</f>
        <v>0.215</v>
      </c>
      <c r="CI96" s="16">
        <f>IF(ISNA(VLOOKUP(A96,'Données projet'!$A$113:$I$133,6,0)),0%,VLOOKUP(A96,'Données projet'!$A$113:$I$133,6,0)*VLOOKUP('Données projet'!$B$12,Paramètres!$A$1:$I$89,7,0))</f>
        <v>8.6000000000000007E-2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37.095159374656312</v>
      </c>
      <c r="CL96" s="21">
        <f>EXP(-LN(2)/25)*CL95+(1-EXP(-LN(2)/25))/(LN(2)/25)*Calculateur!CG96*Calculateur!CI96*VLOOKUP('Données projet'!$B$12,Paramètres!$A$1:$I$89,3,0)*0.475*44/12</f>
        <v>26.074933674140695</v>
      </c>
      <c r="CM96" s="21">
        <f>EXP(-LN(2)/2)*CM95+(1-EXP(-LN(2)/2))/(LN(2)/2)*CG96*CJ96*VLOOKUP('Données projet'!$B$12,Paramètres!$A$1:$I$89,3,0)*0.475*44/12</f>
        <v>0.14836455310706873</v>
      </c>
      <c r="CN96" s="22">
        <f t="shared" si="66"/>
        <v>63.318457601904079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2.8421709430404007E-14</v>
      </c>
      <c r="CU96" s="17">
        <f>CT96*VLOOKUP('Données projet'!$B$13,Paramètres!$A$1:$I$89,3,0)*VLOOKUP('Données projet'!$B$13,Paramètres!$A$1:$I$89,5,0)</f>
        <v>2.4829205358400945E-14</v>
      </c>
      <c r="CV96" s="13">
        <f t="shared" si="95"/>
        <v>4.3867331143352915E-13</v>
      </c>
      <c r="CW96" s="20">
        <f t="shared" si="67"/>
        <v>8.0726688341261168E-13</v>
      </c>
      <c r="CX96" s="59">
        <f t="shared" si="68"/>
        <v>293.33333333333411</v>
      </c>
      <c r="CY96" s="59">
        <f ca="1">AVERAGE(OFFSET($CX$3,0,0,'Données projet'!$E$13+1,1))-AVERAGE(OFFSET($H$3,0,0,'Données projet'!$E$13+1,1))</f>
        <v>261.93797831021766</v>
      </c>
      <c r="CZ96" s="59">
        <f t="shared" si="96"/>
        <v>256.90876395053073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25.498883300198482</v>
      </c>
      <c r="DG96" s="21">
        <f>EXP(-LN(2)/25)*DG95+(1-EXP(-LN(2)/25))/(LN(2)/25)*Calculateur!DB96*Calculateur!DD96*VLOOKUP('Données projet'!$B$13,Paramètres!$A$1:$I$89,3,0)*0.475*44/12</f>
        <v>25.45126227587928</v>
      </c>
      <c r="DH96" s="21">
        <f>EXP(-LN(2)/2)*DH95+(1-EXP(-LN(2)/2))/(LN(2)/2)*DB96*DE96*VLOOKUP('Données projet'!$B$13,Paramètres!$A$1:$I$89,3,0)*0.475*44/12</f>
        <v>0.50211698538885674</v>
      </c>
      <c r="DI96" s="22">
        <f t="shared" si="69"/>
        <v>51.452262561466618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11.283999999999997</v>
      </c>
      <c r="N97" s="13">
        <f>IF('Données projet'!$A$36&gt;35,N96+M97-V96,IF(A97&lt;'Données projet'!$A$36,$K$205^A97,IF(A97='Données projet'!$A$36,'Données projet'!$B$36,N96+M97-V96)))</f>
        <v>447.96600000000001</v>
      </c>
      <c r="O97" s="13">
        <f>N97*VLOOKUP('Données projet'!$B$9,Paramètres!$A$1:$I$89,3,0)*VLOOKUP('Données projet'!$B$9,Paramètres!$A$1:$I$89,5,0)</f>
        <v>405.31963679999996</v>
      </c>
      <c r="P97" s="13">
        <f t="shared" si="87"/>
        <v>92.854309299710778</v>
      </c>
      <c r="Q97" s="20">
        <f t="shared" si="54"/>
        <v>867.65295612366288</v>
      </c>
      <c r="R97" s="59">
        <f t="shared" si="55"/>
        <v>1160.9862894569962</v>
      </c>
      <c r="S97" s="59">
        <f ca="1">AVERAGE(OFFSET($R$3,0,0,'Données projet'!$E$9+1,1))-AVERAGE(OFFSET($H$3,0,0,'Données projet'!$E$9+1,1))</f>
        <v>695.0879239758051</v>
      </c>
      <c r="T97" s="59">
        <f t="shared" si="88"/>
        <v>226.22150997227476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35.529072859312365</v>
      </c>
      <c r="AA97" s="21">
        <f>EXP(-LN(2)/25)*AA96+(1-EXP(-LN(2)/25))/(LN(2)/25)*Calculateur!V97*Calculateur!X97*VLOOKUP('Données projet'!$B$9,Paramètres!$A$1:$I$89,3,0)*0.475*44/12</f>
        <v>31.874699043831313</v>
      </c>
      <c r="AB97" s="21">
        <f>EXP(-LN(2)/2)*AB96+(1-EXP(-LN(2)/2))/(LN(2)/2)*V97*Y97*VLOOKUP('Données projet'!$B$9,Paramètres!$A$1:$I$89,3,0)*0.475*44/12</f>
        <v>1.5470738069876513</v>
      </c>
      <c r="AC97" s="22">
        <f t="shared" si="57"/>
        <v>68.950845710131333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11.216666666666672</v>
      </c>
      <c r="AI97" s="13">
        <f>IF('Données projet'!$A$62&gt;35,AI96+AH97-AQ96,IF(A97&lt;'Données projet'!$A$62,$AF$205^A97,IF(A97='Données projet'!$A$62,'Données projet'!$B$62,AI96+AH97-AQ96)))</f>
        <v>409.14666666666665</v>
      </c>
      <c r="AJ97" s="13">
        <f>AI97*VLOOKUP('Données projet'!$B$10,Paramètres!$A$1:$I$89,3,0)*VLOOKUP('Données projet'!$B$10,Paramètres!$A$1:$I$89,5,0)</f>
        <v>344.66515200000003</v>
      </c>
      <c r="AK97" s="13">
        <f t="shared" si="89"/>
        <v>80.46303056740787</v>
      </c>
      <c r="AL97" s="20">
        <f t="shared" si="58"/>
        <v>740.43158463823545</v>
      </c>
      <c r="AM97" s="59">
        <f t="shared" si="59"/>
        <v>1033.7649179715688</v>
      </c>
      <c r="AN97" s="59">
        <f ca="1">AVERAGE(OFFSET($AM$3,0,0,'Données projet'!$E$10+1,1))-AVERAGE(OFFSET($H$3,0,0,'Données projet'!$E$10+1,1))</f>
        <v>424.81155998881928</v>
      </c>
      <c r="AO97" s="59">
        <f t="shared" si="90"/>
        <v>277.34430416544575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50.366311271054492</v>
      </c>
      <c r="AV97" s="21">
        <f>EXP(-LN(2)/25)*AV96+(1-EXP(-LN(2)/25))/(LN(2)/25)*Calculateur!AQ97*Calculateur!AS97*VLOOKUP('Données projet'!$B$10,Paramètres!$A$1:$I$89,3,0)*0.475*44/12</f>
        <v>26.682555229727107</v>
      </c>
      <c r="AW97" s="21">
        <f>EXP(-LN(2)/2)*AW96+(1-EXP(-LN(2)/2))/(LN(2)/2)*AQ97*AT97*VLOOKUP('Données projet'!$B$10,Paramètres!$A$1:$I$89,3,0)*0.475*44/12</f>
        <v>2.7779880184384442E-3</v>
      </c>
      <c r="AX97" s="21">
        <f t="shared" si="60"/>
        <v>77.051644488800036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385.45182000000051</v>
      </c>
      <c r="BF97" s="13">
        <f t="shared" si="91"/>
        <v>88.820915611280114</v>
      </c>
      <c r="BG97" s="20">
        <f t="shared" si="61"/>
        <v>826.02501452298031</v>
      </c>
      <c r="BH97" s="59">
        <f t="shared" si="62"/>
        <v>1119.3583478563137</v>
      </c>
      <c r="BI97" s="59">
        <f ca="1">AVERAGE(OFFSET($BH$3,0,0,'Données projet'!$E$11+1,1))-AVERAGE(OFFSET($H$3,0,0,'Données projet'!$E$11+1,1))</f>
        <v>706.69239849991595</v>
      </c>
      <c r="BJ97" s="59">
        <f t="shared" si="92"/>
        <v>310.59887275116529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31.62134471313977</v>
      </c>
      <c r="BQ97" s="21">
        <f>EXP(-LN(2)/25)*BQ96+(1-EXP(-LN(2)/25))/(LN(2)/25)*Calculateur!BL97*Calculateur!BN97*VLOOKUP('Données projet'!$B$11,Paramètres!$A$1:$I$89,3,0)*0.475*44/12</f>
        <v>31.588824232182965</v>
      </c>
      <c r="BR97" s="21">
        <f>EXP(-LN(2)/2)*BR96+(1-EXP(-LN(2)/2))/(LN(2)/2)*BL97*BO97*VLOOKUP('Données projet'!$B$11,Paramètres!$A$1:$I$89,3,0)*0.475*44/12</f>
        <v>6.6481556921098957</v>
      </c>
      <c r="BS97" s="22">
        <f t="shared" si="63"/>
        <v>69.858324637432631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8.9989999999999952</v>
      </c>
      <c r="BY97" s="12">
        <f>IF('Données projet'!$A$114&gt;35,BY96+BX97-CG96,IF(A97&lt;'Données projet'!$A$114,$BV$205^A97,IF(A97='Données projet'!$A$114,'Données projet'!$B$114,BY96+BX97-CG96)))</f>
        <v>290.40899999999993</v>
      </c>
      <c r="BZ97" s="13">
        <f>BY97*VLOOKUP('Données projet'!$B$12,Paramètres!$A$1:$I$89,3,0)*VLOOKUP('Données projet'!$B$12,Paramètres!$A$1:$I$89,5,0)</f>
        <v>276.35320439999992</v>
      </c>
      <c r="CA97" s="13">
        <f t="shared" si="93"/>
        <v>66.195749107226092</v>
      </c>
      <c r="CB97" s="20">
        <f t="shared" si="64"/>
        <v>596.60609402508533</v>
      </c>
      <c r="CC97" s="59">
        <f t="shared" si="65"/>
        <v>889.9394273584187</v>
      </c>
      <c r="CD97" s="59">
        <f ca="1">AVERAGE(OFFSET($CC$3,0,0,'Données projet'!$E$12+1,1))-AVERAGE(OFFSET($H$3,0,0,'Données projet'!$E$12+1,1))</f>
        <v>449.28947235329758</v>
      </c>
      <c r="CE97" s="59">
        <f t="shared" si="94"/>
        <v>289.36994109443964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36.367745925132404</v>
      </c>
      <c r="CL97" s="21">
        <f>EXP(-LN(2)/25)*CL96+(1-EXP(-LN(2)/25))/(LN(2)/25)*Calculateur!CG97*Calculateur!CI97*VLOOKUP('Données projet'!$B$12,Paramètres!$A$1:$I$89,3,0)*0.475*44/12</f>
        <v>25.361913241600149</v>
      </c>
      <c r="CM97" s="21">
        <f>EXP(-LN(2)/2)*CM96+(1-EXP(-LN(2)/2))/(LN(2)/2)*CG97*CJ97*VLOOKUP('Données projet'!$B$12,Paramètres!$A$1:$I$89,3,0)*0.475*44/12</f>
        <v>0.10490958158971996</v>
      </c>
      <c r="CN97" s="22">
        <f t="shared" si="66"/>
        <v>61.834568748322276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2.8421709430404007E-14</v>
      </c>
      <c r="CU97" s="17">
        <f>CT97*VLOOKUP('Données projet'!$B$13,Paramètres!$A$1:$I$89,3,0)*VLOOKUP('Données projet'!$B$13,Paramètres!$A$1:$I$89,5,0)</f>
        <v>2.4829205358400945E-14</v>
      </c>
      <c r="CV97" s="13">
        <f t="shared" si="95"/>
        <v>4.3867331143352915E-13</v>
      </c>
      <c r="CW97" s="20">
        <f t="shared" si="67"/>
        <v>8.0726688341261168E-13</v>
      </c>
      <c r="CX97" s="59">
        <f t="shared" si="68"/>
        <v>293.33333333333411</v>
      </c>
      <c r="CY97" s="59">
        <f ca="1">AVERAGE(OFFSET($CX$3,0,0,'Données projet'!$E$13+1,1))-AVERAGE(OFFSET($H$3,0,0,'Données projet'!$E$13+1,1))</f>
        <v>261.93797831021766</v>
      </c>
      <c r="CZ97" s="59">
        <f t="shared" si="96"/>
        <v>256.90876395053073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24.998865751464692</v>
      </c>
      <c r="DG97" s="21">
        <f>EXP(-LN(2)/25)*DG96+(1-EXP(-LN(2)/25))/(LN(2)/25)*Calculateur!DB97*Calculateur!DD97*VLOOKUP('Données projet'!$B$13,Paramètres!$A$1:$I$89,3,0)*0.475*44/12</f>
        <v>24.755296170521646</v>
      </c>
      <c r="DH97" s="21">
        <f>EXP(-LN(2)/2)*DH96+(1-EXP(-LN(2)/2))/(LN(2)/2)*DB97*DE97*VLOOKUP('Données projet'!$B$13,Paramètres!$A$1:$I$89,3,0)*0.475*44/12</f>
        <v>0.35505032531740721</v>
      </c>
      <c r="DI97" s="22">
        <f t="shared" si="69"/>
        <v>50.109212247303745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11.283999999999997</v>
      </c>
      <c r="N98" s="13">
        <f>IF('Données projet'!$A$36&gt;35,N97+M98-V97,IF(A98&lt;'Données projet'!$A$36,$K$205^A98,IF(A98='Données projet'!$A$36,'Données projet'!$B$36,N97+M98-V97)))</f>
        <v>459.25</v>
      </c>
      <c r="O98" s="13">
        <f>N98*VLOOKUP('Données projet'!$B$9,Paramètres!$A$1:$I$89,3,0)*VLOOKUP('Données projet'!$B$9,Paramètres!$A$1:$I$89,5,0)</f>
        <v>415.52940000000001</v>
      </c>
      <c r="P98" s="13">
        <f t="shared" si="87"/>
        <v>94.917999685477398</v>
      </c>
      <c r="Q98" s="20">
        <f t="shared" si="54"/>
        <v>889.02922111887312</v>
      </c>
      <c r="R98" s="59">
        <f t="shared" si="55"/>
        <v>1182.3625544522065</v>
      </c>
      <c r="S98" s="59">
        <f ca="1">AVERAGE(OFFSET($R$3,0,0,'Données projet'!$E$9+1,1))-AVERAGE(OFFSET($H$3,0,0,'Données projet'!$E$9+1,1))</f>
        <v>695.0879239758051</v>
      </c>
      <c r="T98" s="59">
        <f t="shared" si="88"/>
        <v>226.22150997227476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34.8323694111359</v>
      </c>
      <c r="AA98" s="21">
        <f>EXP(-LN(2)/25)*AA97+(1-EXP(-LN(2)/25))/(LN(2)/25)*Calculateur!V98*Calculateur!X98*VLOOKUP('Données projet'!$B$9,Paramètres!$A$1:$I$89,3,0)*0.475*44/12</f>
        <v>31.003083722260175</v>
      </c>
      <c r="AB98" s="21">
        <f>EXP(-LN(2)/2)*AB97+(1-EXP(-LN(2)/2))/(LN(2)/2)*V98*Y98*VLOOKUP('Données projet'!$B$9,Paramètres!$A$1:$I$89,3,0)*0.475*44/12</f>
        <v>1.0939463799170563</v>
      </c>
      <c r="AC98" s="22">
        <f t="shared" si="57"/>
        <v>66.929399513313129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11.216666666666672</v>
      </c>
      <c r="AI98" s="13">
        <f>IF('Données projet'!$A$62&gt;35,AI97+AH98-AQ97,IF(A98&lt;'Données projet'!$A$62,$AF$205^A98,IF(A98='Données projet'!$A$62,'Données projet'!$B$62,AI97+AH98-AQ97)))</f>
        <v>420.36333333333334</v>
      </c>
      <c r="AJ98" s="13">
        <f>AI98*VLOOKUP('Données projet'!$B$10,Paramètres!$A$1:$I$89,3,0)*VLOOKUP('Données projet'!$B$10,Paramètres!$A$1:$I$89,5,0)</f>
        <v>354.11407200000002</v>
      </c>
      <c r="AK98" s="13">
        <f t="shared" si="89"/>
        <v>82.409064377569791</v>
      </c>
      <c r="AL98" s="20">
        <f t="shared" si="58"/>
        <v>760.27779585760072</v>
      </c>
      <c r="AM98" s="59">
        <f t="shared" si="59"/>
        <v>1053.611129190934</v>
      </c>
      <c r="AN98" s="59">
        <f ca="1">AVERAGE(OFFSET($AM$3,0,0,'Données projet'!$E$10+1,1))-AVERAGE(OFFSET($H$3,0,0,'Données projet'!$E$10+1,1))</f>
        <v>424.81155998881928</v>
      </c>
      <c r="AO98" s="59">
        <f t="shared" si="90"/>
        <v>277.34430416544575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49.378658627445603</v>
      </c>
      <c r="AV98" s="21">
        <f>EXP(-LN(2)/25)*AV97+(1-EXP(-LN(2)/25))/(LN(2)/25)*Calculateur!AQ98*Calculateur!AS98*VLOOKUP('Données projet'!$B$10,Paramètres!$A$1:$I$89,3,0)*0.475*44/12</f>
        <v>25.952919353795625</v>
      </c>
      <c r="AW98" s="21">
        <f>EXP(-LN(2)/2)*AW97+(1-EXP(-LN(2)/2))/(LN(2)/2)*AQ98*AT98*VLOOKUP('Données projet'!$B$10,Paramètres!$A$1:$I$89,3,0)*0.475*44/12</f>
        <v>1.9643341658928037E-3</v>
      </c>
      <c r="AX98" s="21">
        <f t="shared" si="60"/>
        <v>75.333542315407115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326.22610800000052</v>
      </c>
      <c r="BF98" s="13">
        <f t="shared" si="91"/>
        <v>76.647360081996098</v>
      </c>
      <c r="BG98" s="20">
        <f t="shared" si="61"/>
        <v>701.67129024281076</v>
      </c>
      <c r="BH98" s="59">
        <f t="shared" si="62"/>
        <v>995.00462357614401</v>
      </c>
      <c r="BI98" s="59">
        <f ca="1">AVERAGE(OFFSET($BH$3,0,0,'Données projet'!$E$11+1,1))-AVERAGE(OFFSET($H$3,0,0,'Données projet'!$E$11+1,1))</f>
        <v>706.69239849991595</v>
      </c>
      <c r="BJ98" s="59">
        <f t="shared" si="92"/>
        <v>310.59887275116529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31.001269430430931</v>
      </c>
      <c r="BQ98" s="21">
        <f>EXP(-LN(2)/25)*BQ97+(1-EXP(-LN(2)/25))/(LN(2)/25)*Calculateur!BL98*Calculateur!BN98*VLOOKUP('Données projet'!$B$11,Paramètres!$A$1:$I$89,3,0)*0.475*44/12</f>
        <v>30.725026172369851</v>
      </c>
      <c r="BR98" s="21">
        <f>EXP(-LN(2)/2)*BR97+(1-EXP(-LN(2)/2))/(LN(2)/2)*BL98*BO98*VLOOKUP('Données projet'!$B$11,Paramètres!$A$1:$I$89,3,0)*0.475*44/12</f>
        <v>4.7009559722748531</v>
      </c>
      <c r="BS98" s="22">
        <f t="shared" si="63"/>
        <v>66.42725157507563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8.9989999999999952</v>
      </c>
      <c r="BY98" s="12">
        <f>IF('Données projet'!$A$114&gt;35,BY97+BX98-CG97,IF(A98&lt;'Données projet'!$A$114,$BV$205^A98,IF(A98='Données projet'!$A$114,'Données projet'!$B$114,BY97+BX98-CG97)))</f>
        <v>299.4079999999999</v>
      </c>
      <c r="BZ98" s="13">
        <f>BY98*VLOOKUP('Données projet'!$B$12,Paramètres!$A$1:$I$89,3,0)*VLOOKUP('Données projet'!$B$12,Paramètres!$A$1:$I$89,5,0)</f>
        <v>284.91665279999989</v>
      </c>
      <c r="CA98" s="13">
        <f t="shared" si="93"/>
        <v>68.004983981001502</v>
      </c>
      <c r="CB98" s="20">
        <f t="shared" si="64"/>
        <v>614.67185072691063</v>
      </c>
      <c r="CC98" s="59">
        <f t="shared" si="65"/>
        <v>908.00518406024389</v>
      </c>
      <c r="CD98" s="59">
        <f ca="1">AVERAGE(OFFSET($CC$3,0,0,'Données projet'!$E$12+1,1))-AVERAGE(OFFSET($H$3,0,0,'Données projet'!$E$12+1,1))</f>
        <v>449.28947235329758</v>
      </c>
      <c r="CE98" s="59">
        <f t="shared" si="94"/>
        <v>289.36994109443964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35.654596609675266</v>
      </c>
      <c r="CL98" s="21">
        <f>EXP(-LN(2)/25)*CL97+(1-EXP(-LN(2)/25))/(LN(2)/25)*Calculateur!CG98*Calculateur!CI98*VLOOKUP('Données projet'!$B$12,Paramètres!$A$1:$I$89,3,0)*0.475*44/12</f>
        <v>24.668390390283541</v>
      </c>
      <c r="CM98" s="21">
        <f>EXP(-LN(2)/2)*CM97+(1-EXP(-LN(2)/2))/(LN(2)/2)*CG98*CJ98*VLOOKUP('Données projet'!$B$12,Paramètres!$A$1:$I$89,3,0)*0.475*44/12</f>
        <v>7.4182276553534363E-2</v>
      </c>
      <c r="CN98" s="22">
        <f t="shared" si="66"/>
        <v>60.397169276512344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2.8421709430404007E-14</v>
      </c>
      <c r="CU98" s="17">
        <f>CT98*VLOOKUP('Données projet'!$B$13,Paramètres!$A$1:$I$89,3,0)*VLOOKUP('Données projet'!$B$13,Paramètres!$A$1:$I$89,5,0)</f>
        <v>2.4829205358400945E-14</v>
      </c>
      <c r="CV98" s="13">
        <f t="shared" si="95"/>
        <v>4.3867331143352915E-13</v>
      </c>
      <c r="CW98" s="20">
        <f t="shared" si="67"/>
        <v>8.0726688341261168E-13</v>
      </c>
      <c r="CX98" s="59">
        <f t="shared" si="68"/>
        <v>293.33333333333411</v>
      </c>
      <c r="CY98" s="59">
        <f ca="1">AVERAGE(OFFSET($CX$3,0,0,'Données projet'!$E$13+1,1))-AVERAGE(OFFSET($H$3,0,0,'Données projet'!$E$13+1,1))</f>
        <v>261.93797831021766</v>
      </c>
      <c r="CZ98" s="59">
        <f t="shared" si="96"/>
        <v>256.90876395053073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24.508653241880982</v>
      </c>
      <c r="DG98" s="21">
        <f>EXP(-LN(2)/25)*DG97+(1-EXP(-LN(2)/25))/(LN(2)/25)*Calculateur!DB98*Calculateur!DD98*VLOOKUP('Données projet'!$B$13,Paramètres!$A$1:$I$89,3,0)*0.475*44/12</f>
        <v>24.078361294914284</v>
      </c>
      <c r="DH98" s="21">
        <f>EXP(-LN(2)/2)*DH97+(1-EXP(-LN(2)/2))/(LN(2)/2)*DB98*DE98*VLOOKUP('Données projet'!$B$13,Paramètres!$A$1:$I$89,3,0)*0.475*44/12</f>
        <v>0.25105849269442837</v>
      </c>
      <c r="DI98" s="22">
        <f t="shared" si="69"/>
        <v>48.838073029489692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11.283999999999997</v>
      </c>
      <c r="N99" s="13">
        <f>IF('Données projet'!$A$36&gt;35,N98+M99-V98,IF(A99&lt;'Données projet'!$A$36,$K$205^A99,IF(A99='Données projet'!$A$36,'Données projet'!$B$36,N98+M99-V98)))</f>
        <v>470.53399999999999</v>
      </c>
      <c r="O99" s="13">
        <f>N99*VLOOKUP('Données projet'!$B$9,Paramètres!$A$1:$I$89,3,0)*VLOOKUP('Données projet'!$B$9,Paramètres!$A$1:$I$89,5,0)</f>
        <v>425.73916320000001</v>
      </c>
      <c r="P99" s="13">
        <f t="shared" si="87"/>
        <v>96.975795710339128</v>
      </c>
      <c r="Q99" s="20">
        <f t="shared" ref="Q99:Q130" si="107">(O99+P99)*0.475*44/12</f>
        <v>910.39522010217399</v>
      </c>
      <c r="R99" s="59">
        <f t="shared" si="55"/>
        <v>1203.7285534355074</v>
      </c>
      <c r="S99" s="59">
        <f ca="1">AVERAGE(OFFSET($R$3,0,0,'Données projet'!$E$9+1,1))-AVERAGE(OFFSET($H$3,0,0,'Données projet'!$E$9+1,1))</f>
        <v>695.0879239758051</v>
      </c>
      <c r="T99" s="59">
        <f t="shared" si="88"/>
        <v>226.22150997227476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34.149327892631035</v>
      </c>
      <c r="AA99" s="21">
        <f>EXP(-LN(2)/25)*AA98+(1-EXP(-LN(2)/25))/(LN(2)/25)*Calculateur!V99*Calculateur!X99*VLOOKUP('Données projet'!$B$9,Paramètres!$A$1:$I$89,3,0)*0.475*44/12</f>
        <v>30.155302767493655</v>
      </c>
      <c r="AB99" s="21">
        <f>EXP(-LN(2)/2)*AB98+(1-EXP(-LN(2)/2))/(LN(2)/2)*V99*Y99*VLOOKUP('Données projet'!$B$9,Paramètres!$A$1:$I$89,3,0)*0.475*44/12</f>
        <v>0.77353690349382576</v>
      </c>
      <c r="AC99" s="22">
        <f t="shared" si="57"/>
        <v>65.078167563618507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11.216666666666672</v>
      </c>
      <c r="AI99" s="13">
        <f>IF('Données projet'!$A$62&gt;35,AI98+AH99-AQ98,IF(A99&lt;'Données projet'!$A$62,$AF$205^A99,IF(A99='Données projet'!$A$62,'Données projet'!$B$62,AI98+AH99-AQ98)))</f>
        <v>431.58000000000004</v>
      </c>
      <c r="AJ99" s="13">
        <f>AI99*VLOOKUP('Données projet'!$B$10,Paramètres!$A$1:$I$89,3,0)*VLOOKUP('Données projet'!$B$10,Paramètres!$A$1:$I$89,5,0)</f>
        <v>363.56299200000007</v>
      </c>
      <c r="AK99" s="13">
        <f t="shared" si="89"/>
        <v>84.349062558657408</v>
      </c>
      <c r="AL99" s="20">
        <f t="shared" si="58"/>
        <v>780.11349502299515</v>
      </c>
      <c r="AM99" s="59">
        <f t="shared" si="59"/>
        <v>1073.4468283563285</v>
      </c>
      <c r="AN99" s="59">
        <f ca="1">AVERAGE(OFFSET($AM$3,0,0,'Données projet'!$E$10+1,1))-AVERAGE(OFFSET($H$3,0,0,'Données projet'!$E$10+1,1))</f>
        <v>424.81155998881928</v>
      </c>
      <c r="AO99" s="59">
        <f t="shared" si="90"/>
        <v>277.34430416544575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48.41037324976925</v>
      </c>
      <c r="AV99" s="21">
        <f>EXP(-LN(2)/25)*AV98+(1-EXP(-LN(2)/25))/(LN(2)/25)*Calculateur!AQ99*Calculateur!AS99*VLOOKUP('Données projet'!$B$10,Paramètres!$A$1:$I$89,3,0)*0.475*44/12</f>
        <v>25.24323540926137</v>
      </c>
      <c r="AW99" s="21">
        <f>EXP(-LN(2)/2)*AW98+(1-EXP(-LN(2)/2))/(LN(2)/2)*AQ99*AT99*VLOOKUP('Données projet'!$B$10,Paramètres!$A$1:$I$89,3,0)*0.475*44/12</f>
        <v>1.3889940092192221E-3</v>
      </c>
      <c r="AX99" s="21">
        <f t="shared" si="60"/>
        <v>73.654997653039842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335.29329600000057</v>
      </c>
      <c r="BF99" s="13">
        <f t="shared" si="91"/>
        <v>78.526724041362712</v>
      </c>
      <c r="BG99" s="20">
        <f t="shared" si="61"/>
        <v>720.73653490537436</v>
      </c>
      <c r="BH99" s="59">
        <f t="shared" si="62"/>
        <v>1014.0698682387076</v>
      </c>
      <c r="BI99" s="59">
        <f ca="1">AVERAGE(OFFSET($BH$3,0,0,'Données projet'!$E$11+1,1))-AVERAGE(OFFSET($H$3,0,0,'Données projet'!$E$11+1,1))</f>
        <v>706.69239849991595</v>
      </c>
      <c r="BJ99" s="59">
        <f t="shared" si="92"/>
        <v>310.59887275116529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30.393353445807435</v>
      </c>
      <c r="BQ99" s="21">
        <f>EXP(-LN(2)/25)*BQ98+(1-EXP(-LN(2)/25))/(LN(2)/25)*Calculateur!BL99*Calculateur!BN99*VLOOKUP('Données projet'!$B$11,Paramètres!$A$1:$I$89,3,0)*0.475*44/12</f>
        <v>29.884848715927493</v>
      </c>
      <c r="BR99" s="21">
        <f>EXP(-LN(2)/2)*BR98+(1-EXP(-LN(2)/2))/(LN(2)/2)*BL99*BO99*VLOOKUP('Données projet'!$B$11,Paramètres!$A$1:$I$89,3,0)*0.475*44/12</f>
        <v>3.3240778460549487</v>
      </c>
      <c r="BS99" s="22">
        <f t="shared" si="63"/>
        <v>63.602280007789872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8.9989999999999952</v>
      </c>
      <c r="BY99" s="12">
        <f>IF('Données projet'!$A$114&gt;35,BY98+BX99-CG98,IF(A99&lt;'Données projet'!$A$114,$BV$205^A99,IF(A99='Données projet'!$A$114,'Données projet'!$B$114,BY98+BX99-CG98)))</f>
        <v>308.40699999999993</v>
      </c>
      <c r="BZ99" s="13">
        <f>BY99*VLOOKUP('Données projet'!$B$12,Paramètres!$A$1:$I$89,3,0)*VLOOKUP('Données projet'!$B$12,Paramètres!$A$1:$I$89,5,0)</f>
        <v>293.48010119999992</v>
      </c>
      <c r="CA99" s="13">
        <f t="shared" si="93"/>
        <v>69.807899272049525</v>
      </c>
      <c r="CB99" s="20">
        <f t="shared" si="64"/>
        <v>632.72660082215282</v>
      </c>
      <c r="CC99" s="59">
        <f t="shared" si="65"/>
        <v>926.05993415548619</v>
      </c>
      <c r="CD99" s="59">
        <f ca="1">AVERAGE(OFFSET($CC$3,0,0,'Données projet'!$E$12+1,1))-AVERAGE(OFFSET($H$3,0,0,'Données projet'!$E$12+1,1))</f>
        <v>449.28947235329758</v>
      </c>
      <c r="CE99" s="59">
        <f t="shared" si="94"/>
        <v>289.36994109443964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34.95543171731611</v>
      </c>
      <c r="CL99" s="21">
        <f>EXP(-LN(2)/25)*CL98+(1-EXP(-LN(2)/25))/(LN(2)/25)*Calculateur!CG99*Calculateur!CI99*VLOOKUP('Données projet'!$B$12,Paramètres!$A$1:$I$89,3,0)*0.475*44/12</f>
        <v>23.993831957806968</v>
      </c>
      <c r="CM99" s="21">
        <f>EXP(-LN(2)/2)*CM98+(1-EXP(-LN(2)/2))/(LN(2)/2)*CG99*CJ99*VLOOKUP('Données projet'!$B$12,Paramètres!$A$1:$I$89,3,0)*0.475*44/12</f>
        <v>5.2454790794859978E-2</v>
      </c>
      <c r="CN99" s="22">
        <f t="shared" si="66"/>
        <v>59.001718465917939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2.8421709430404007E-14</v>
      </c>
      <c r="CU99" s="17">
        <f>CT99*VLOOKUP('Données projet'!$B$13,Paramètres!$A$1:$I$89,3,0)*VLOOKUP('Données projet'!$B$13,Paramètres!$A$1:$I$89,5,0)</f>
        <v>2.4829205358400945E-14</v>
      </c>
      <c r="CV99" s="13">
        <f t="shared" si="95"/>
        <v>4.3867331143352915E-13</v>
      </c>
      <c r="CW99" s="20">
        <f t="shared" si="67"/>
        <v>8.0726688341261168E-13</v>
      </c>
      <c r="CX99" s="59">
        <f t="shared" si="68"/>
        <v>293.33333333333411</v>
      </c>
      <c r="CY99" s="59">
        <f ca="1">AVERAGE(OFFSET($CX$3,0,0,'Données projet'!$E$13+1,1))-AVERAGE(OFFSET($H$3,0,0,'Données projet'!$E$13+1,1))</f>
        <v>261.93797831021766</v>
      </c>
      <c r="CZ99" s="59">
        <f t="shared" si="96"/>
        <v>256.90876395053073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24.028053500610103</v>
      </c>
      <c r="DG99" s="21">
        <f>EXP(-LN(2)/25)*DG98+(1-EXP(-LN(2)/25))/(LN(2)/25)*Calculateur!DB99*Calculateur!DD99*VLOOKUP('Données projet'!$B$13,Paramètres!$A$1:$I$89,3,0)*0.475*44/12</f>
        <v>23.419937239078866</v>
      </c>
      <c r="DH99" s="21">
        <f>EXP(-LN(2)/2)*DH98+(1-EXP(-LN(2)/2))/(LN(2)/2)*DB99*DE99*VLOOKUP('Données projet'!$B$13,Paramètres!$A$1:$I$89,3,0)*0.475*44/12</f>
        <v>0.17752516265870361</v>
      </c>
      <c r="DI99" s="22">
        <f t="shared" si="69"/>
        <v>47.625515902347672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11.283999999999997</v>
      </c>
      <c r="N100" s="13">
        <f>IF('Données projet'!$A$36&gt;35,N99+M100-V99,IF(A100&lt;'Données projet'!$A$36,$K$205^A100,IF(A100='Données projet'!$A$36,'Données projet'!$B$36,N99+M100-V99)))</f>
        <v>481.81799999999998</v>
      </c>
      <c r="O100" s="13">
        <f>N100*VLOOKUP('Données projet'!$B$9,Paramètres!$A$1:$I$89,3,0)*VLOOKUP('Données projet'!$B$9,Paramètres!$A$1:$I$89,5,0)</f>
        <v>435.9489264</v>
      </c>
      <c r="P100" s="13">
        <f t="shared" si="87"/>
        <v>99.0278549926512</v>
      </c>
      <c r="Q100" s="20">
        <f t="shared" si="107"/>
        <v>931.75122759220085</v>
      </c>
      <c r="R100" s="59">
        <f t="shared" si="55"/>
        <v>1225.0845609255341</v>
      </c>
      <c r="S100" s="59">
        <f ca="1">AVERAGE(OFFSET($R$3,0,0,'Données projet'!$E$9+1,1))-AVERAGE(OFFSET($H$3,0,0,'Données projet'!$E$9+1,1))</f>
        <v>695.0879239758051</v>
      </c>
      <c r="T100" s="59">
        <f t="shared" si="88"/>
        <v>226.22150997227476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33.479680401689862</v>
      </c>
      <c r="AA100" s="21">
        <f>EXP(-LN(2)/25)*AA99+(1-EXP(-LN(2)/25))/(LN(2)/25)*Calculateur!V100*Calculateur!X100*VLOOKUP('Données projet'!$B$9,Paramètres!$A$1:$I$89,3,0)*0.475*44/12</f>
        <v>29.330704427518089</v>
      </c>
      <c r="AB100" s="21">
        <f>EXP(-LN(2)/2)*AB99+(1-EXP(-LN(2)/2))/(LN(2)/2)*V100*Y100*VLOOKUP('Données projet'!$B$9,Paramètres!$A$1:$I$89,3,0)*0.475*44/12</f>
        <v>0.54697318995852817</v>
      </c>
      <c r="AC100" s="22">
        <f t="shared" si="57"/>
        <v>63.357358019166476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11.216666666666672</v>
      </c>
      <c r="AI100" s="13">
        <f>IF('Données projet'!$A$62&gt;35,AI99+AH100-AQ99,IF(A100&lt;'Données projet'!$A$62,$AF$205^A100,IF(A100='Données projet'!$A$62,'Données projet'!$B$62,AI99+AH100-AQ99)))</f>
        <v>442.79666666666674</v>
      </c>
      <c r="AJ100" s="13">
        <f>AI100*VLOOKUP('Données projet'!$B$10,Paramètres!$A$1:$I$89,3,0)*VLOOKUP('Données projet'!$B$10,Paramètres!$A$1:$I$89,5,0)</f>
        <v>373.01191200000011</v>
      </c>
      <c r="AK100" s="13">
        <f t="shared" si="89"/>
        <v>86.283200009575495</v>
      </c>
      <c r="AL100" s="20">
        <f t="shared" si="58"/>
        <v>799.93898675001083</v>
      </c>
      <c r="AM100" s="59">
        <f t="shared" si="59"/>
        <v>1093.2723200833441</v>
      </c>
      <c r="AN100" s="59">
        <f ca="1">AVERAGE(OFFSET($AM$3,0,0,'Données projet'!$E$10+1,1))-AVERAGE(OFFSET($H$3,0,0,'Données projet'!$E$10+1,1))</f>
        <v>424.81155998881928</v>
      </c>
      <c r="AO100" s="59">
        <f t="shared" si="90"/>
        <v>277.34430416544575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47.461075357753366</v>
      </c>
      <c r="AV100" s="21">
        <f>EXP(-LN(2)/25)*AV99+(1-EXP(-LN(2)/25))/(LN(2)/25)*Calculateur!AQ100*Calculateur!AS100*VLOOKUP('Données projet'!$B$10,Paramètres!$A$1:$I$89,3,0)*0.475*44/12</f>
        <v>24.55295780951106</v>
      </c>
      <c r="AW100" s="21">
        <f>EXP(-LN(2)/2)*AW99+(1-EXP(-LN(2)/2))/(LN(2)/2)*AQ100*AT100*VLOOKUP('Données projet'!$B$10,Paramètres!$A$1:$I$89,3,0)*0.475*44/12</f>
        <v>9.8216708294640185E-4</v>
      </c>
      <c r="AX100" s="21">
        <f t="shared" si="60"/>
        <v>72.015015334347382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344.36048400000055</v>
      </c>
      <c r="BF100" s="13">
        <f t="shared" si="91"/>
        <v>80.400180766145681</v>
      </c>
      <c r="BG100" s="20">
        <f t="shared" si="61"/>
        <v>739.79149113437143</v>
      </c>
      <c r="BH100" s="59">
        <f t="shared" si="62"/>
        <v>1033.1248244677047</v>
      </c>
      <c r="BI100" s="59">
        <f ca="1">AVERAGE(OFFSET($BH$3,0,0,'Données projet'!$E$11+1,1))-AVERAGE(OFFSET($H$3,0,0,'Données projet'!$E$11+1,1))</f>
        <v>706.69239849991595</v>
      </c>
      <c r="BJ100" s="59">
        <f t="shared" si="92"/>
        <v>310.59887275116529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29.797358322850265</v>
      </c>
      <c r="BQ100" s="21">
        <f>EXP(-LN(2)/25)*BQ99+(1-EXP(-LN(2)/25))/(LN(2)/25)*Calculateur!BL100*Calculateur!BN100*VLOOKUP('Données projet'!$B$11,Paramètres!$A$1:$I$89,3,0)*0.475*44/12</f>
        <v>29.067645956214566</v>
      </c>
      <c r="BR100" s="21">
        <f>EXP(-LN(2)/2)*BR99+(1-EXP(-LN(2)/2))/(LN(2)/2)*BL100*BO100*VLOOKUP('Données projet'!$B$11,Paramètres!$A$1:$I$89,3,0)*0.475*44/12</f>
        <v>2.350477986137427</v>
      </c>
      <c r="BS100" s="22">
        <f t="shared" si="63"/>
        <v>61.215482265202262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8.9989999999999952</v>
      </c>
      <c r="BY100" s="12">
        <f>IF('Données projet'!$A$114&gt;35,BY99+BX100-CG99,IF(A100&lt;'Données projet'!$A$114,$BV$205^A100,IF(A100='Données projet'!$A$114,'Données projet'!$B$114,BY99+BX100-CG99)))</f>
        <v>317.40599999999995</v>
      </c>
      <c r="BZ100" s="13">
        <f>BY100*VLOOKUP('Données projet'!$B$12,Paramètres!$A$1:$I$89,3,0)*VLOOKUP('Données projet'!$B$12,Paramètres!$A$1:$I$89,5,0)</f>
        <v>302.04354959999995</v>
      </c>
      <c r="CA100" s="13">
        <f t="shared" si="93"/>
        <v>71.604700553278462</v>
      </c>
      <c r="CB100" s="20">
        <f t="shared" si="64"/>
        <v>650.77070235029328</v>
      </c>
      <c r="CC100" s="59">
        <f t="shared" si="65"/>
        <v>944.10403568362653</v>
      </c>
      <c r="CD100" s="59">
        <f ca="1">AVERAGE(OFFSET($CC$3,0,0,'Données projet'!$E$12+1,1))-AVERAGE(OFFSET($H$3,0,0,'Données projet'!$E$12+1,1))</f>
        <v>449.28947235329758</v>
      </c>
      <c r="CE100" s="59">
        <f t="shared" si="94"/>
        <v>289.36994109443964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34.269977022047641</v>
      </c>
      <c r="CL100" s="21">
        <f>EXP(-LN(2)/25)*CL99+(1-EXP(-LN(2)/25))/(LN(2)/25)*Calculateur!CG100*Calculateur!CI100*VLOOKUP('Données projet'!$B$12,Paramètres!$A$1:$I$89,3,0)*0.475*44/12</f>
        <v>23.337719361139953</v>
      </c>
      <c r="CM100" s="21">
        <f>EXP(-LN(2)/2)*CM99+(1-EXP(-LN(2)/2))/(LN(2)/2)*CG100*CJ100*VLOOKUP('Données projet'!$B$12,Paramètres!$A$1:$I$89,3,0)*0.475*44/12</f>
        <v>3.7091138276767181E-2</v>
      </c>
      <c r="CN100" s="22">
        <f t="shared" si="66"/>
        <v>57.644787521464359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2.8421709430404007E-14</v>
      </c>
      <c r="CU100" s="17">
        <f>CT100*VLOOKUP('Données projet'!$B$13,Paramètres!$A$1:$I$89,3,0)*VLOOKUP('Données projet'!$B$13,Paramètres!$A$1:$I$89,5,0)</f>
        <v>2.4829205358400945E-14</v>
      </c>
      <c r="CV100" s="13">
        <f t="shared" si="95"/>
        <v>4.3867331143352915E-13</v>
      </c>
      <c r="CW100" s="20">
        <f t="shared" si="67"/>
        <v>8.0726688341261168E-13</v>
      </c>
      <c r="CX100" s="59">
        <f t="shared" si="68"/>
        <v>293.33333333333411</v>
      </c>
      <c r="CY100" s="59">
        <f ca="1">AVERAGE(OFFSET($CX$3,0,0,'Données projet'!$E$13+1,1))-AVERAGE(OFFSET($H$3,0,0,'Données projet'!$E$13+1,1))</f>
        <v>261.93797831021766</v>
      </c>
      <c r="CZ100" s="59">
        <f t="shared" si="96"/>
        <v>256.90876395053073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23.556878027128647</v>
      </c>
      <c r="DG100" s="21">
        <f>EXP(-LN(2)/25)*DG99+(1-EXP(-LN(2)/25))/(LN(2)/25)*Calculateur!DB100*Calculateur!DD100*VLOOKUP('Données projet'!$B$13,Paramètres!$A$1:$I$89,3,0)*0.475*44/12</f>
        <v>22.779517823675281</v>
      </c>
      <c r="DH100" s="21">
        <f>EXP(-LN(2)/2)*DH99+(1-EXP(-LN(2)/2))/(LN(2)/2)*DB100*DE100*VLOOKUP('Données projet'!$B$13,Paramètres!$A$1:$I$89,3,0)*0.475*44/12</f>
        <v>0.12552924634721419</v>
      </c>
      <c r="DI100" s="22">
        <f t="shared" si="69"/>
        <v>46.461925097151138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11.283999999999997</v>
      </c>
      <c r="N101" s="13">
        <f>IF('Données projet'!$A$36&gt;35,N100+M101-V100,IF(A101&lt;'Données projet'!$A$36,$K$205^A101,IF(A101='Données projet'!$A$36,'Données projet'!$B$36,N100+M101-V100)))</f>
        <v>493.10199999999998</v>
      </c>
      <c r="O101" s="13">
        <f>N101*VLOOKUP('Données projet'!$B$9,Paramètres!$A$1:$I$89,3,0)*VLOOKUP('Données projet'!$B$9,Paramètres!$A$1:$I$89,5,0)</f>
        <v>446.15868959999995</v>
      </c>
      <c r="P101" s="13">
        <f t="shared" si="87"/>
        <v>101.07432734685769</v>
      </c>
      <c r="Q101" s="20">
        <f t="shared" si="107"/>
        <v>953.09750451577702</v>
      </c>
      <c r="R101" s="59">
        <f t="shared" si="55"/>
        <v>1246.4308378491103</v>
      </c>
      <c r="S101" s="59">
        <f ca="1">AVERAGE(OFFSET($R$3,0,0,'Données projet'!$E$9+1,1))-AVERAGE(OFFSET($H$3,0,0,'Données projet'!$E$9+1,1))</f>
        <v>695.0879239758051</v>
      </c>
      <c r="T101" s="59">
        <f t="shared" si="88"/>
        <v>226.22150997227476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32.823164289601401</v>
      </c>
      <c r="AA101" s="21">
        <f>EXP(-LN(2)/25)*AA100+(1-EXP(-LN(2)/25))/(LN(2)/25)*Calculateur!V101*Calculateur!X101*VLOOKUP('Données projet'!$B$9,Paramètres!$A$1:$I$89,3,0)*0.475*44/12</f>
        <v>28.528654772512898</v>
      </c>
      <c r="AB101" s="21">
        <f>EXP(-LN(2)/2)*AB100+(1-EXP(-LN(2)/2))/(LN(2)/2)*V101*Y101*VLOOKUP('Données projet'!$B$9,Paramètres!$A$1:$I$89,3,0)*0.475*44/12</f>
        <v>0.38676845174691288</v>
      </c>
      <c r="AC101" s="22">
        <f t="shared" si="57"/>
        <v>61.738587513861212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11.216666666666672</v>
      </c>
      <c r="AI101" s="13">
        <f>IF('Données projet'!$A$62&gt;35,AI100+AH101-AQ100,IF(A101&lt;'Données projet'!$A$62,$AF$205^A101,IF(A101='Données projet'!$A$62,'Données projet'!$B$62,AI100+AH101-AQ100)))</f>
        <v>454.01333333333343</v>
      </c>
      <c r="AJ101" s="13">
        <f>AI101*VLOOKUP('Données projet'!$B$10,Paramètres!$A$1:$I$89,3,0)*VLOOKUP('Données projet'!$B$10,Paramètres!$A$1:$I$89,5,0)</f>
        <v>382.4608320000001</v>
      </c>
      <c r="AK101" s="13">
        <f t="shared" si="89"/>
        <v>88.211642263441533</v>
      </c>
      <c r="AL101" s="20">
        <f t="shared" si="58"/>
        <v>819.75455934216086</v>
      </c>
      <c r="AM101" s="59">
        <f t="shared" si="59"/>
        <v>1113.0878926754942</v>
      </c>
      <c r="AN101" s="59">
        <f ca="1">AVERAGE(OFFSET($AM$3,0,0,'Données projet'!$E$10+1,1))-AVERAGE(OFFSET($H$3,0,0,'Données projet'!$E$10+1,1))</f>
        <v>424.81155998881928</v>
      </c>
      <c r="AO101" s="59">
        <f t="shared" si="90"/>
        <v>277.34430416544575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46.53039261838537</v>
      </c>
      <c r="AV101" s="21">
        <f>EXP(-LN(2)/25)*AV100+(1-EXP(-LN(2)/25))/(LN(2)/25)*Calculateur!AQ101*Calculateur!AS101*VLOOKUP('Données projet'!$B$10,Paramètres!$A$1:$I$89,3,0)*0.475*44/12</f>
        <v>23.881555887026046</v>
      </c>
      <c r="AW101" s="21">
        <f>EXP(-LN(2)/2)*AW100+(1-EXP(-LN(2)/2))/(LN(2)/2)*AQ101*AT101*VLOOKUP('Données projet'!$B$10,Paramètres!$A$1:$I$89,3,0)*0.475*44/12</f>
        <v>6.9449700460961106E-4</v>
      </c>
      <c r="AX101" s="21">
        <f t="shared" si="60"/>
        <v>70.412643002416033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353.42767200000054</v>
      </c>
      <c r="BF101" s="13">
        <f t="shared" si="91"/>
        <v>82.26790367650959</v>
      </c>
      <c r="BG101" s="20">
        <f t="shared" si="61"/>
        <v>758.83646096992186</v>
      </c>
      <c r="BH101" s="59">
        <f t="shared" si="62"/>
        <v>1052.1697943032552</v>
      </c>
      <c r="BI101" s="59">
        <f ca="1">AVERAGE(OFFSET($BH$3,0,0,'Données projet'!$E$11+1,1))-AVERAGE(OFFSET($H$3,0,0,'Données projet'!$E$11+1,1))</f>
        <v>706.69239849991595</v>
      </c>
      <c r="BJ101" s="59">
        <f t="shared" si="92"/>
        <v>310.59887275116529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29.213050300733155</v>
      </c>
      <c r="BQ101" s="21">
        <f>EXP(-LN(2)/25)*BQ100+(1-EXP(-LN(2)/25))/(LN(2)/25)*Calculateur!BL101*Calculateur!BN101*VLOOKUP('Données projet'!$B$11,Paramètres!$A$1:$I$89,3,0)*0.475*44/12</f>
        <v>28.272789648940812</v>
      </c>
      <c r="BR101" s="21">
        <f>EXP(-LN(2)/2)*BR100+(1-EXP(-LN(2)/2))/(LN(2)/2)*BL101*BO101*VLOOKUP('Données projet'!$B$11,Paramètres!$A$1:$I$89,3,0)*0.475*44/12</f>
        <v>1.6620389230274746</v>
      </c>
      <c r="BS101" s="22">
        <f t="shared" si="63"/>
        <v>59.14787887270144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8.9989999999999952</v>
      </c>
      <c r="BY101" s="12">
        <f>IF('Données projet'!$A$114&gt;35,BY100+BX101-CG100,IF(A101&lt;'Données projet'!$A$114,$BV$205^A101,IF(A101='Données projet'!$A$114,'Données projet'!$B$114,BY100+BX101-CG100)))</f>
        <v>326.40499999999997</v>
      </c>
      <c r="BZ101" s="13">
        <f>BY101*VLOOKUP('Données projet'!$B$12,Paramètres!$A$1:$I$89,3,0)*VLOOKUP('Données projet'!$B$12,Paramètres!$A$1:$I$89,5,0)</f>
        <v>310.60699799999998</v>
      </c>
      <c r="CA101" s="13">
        <f t="shared" si="93"/>
        <v>73.395581077832844</v>
      </c>
      <c r="CB101" s="20">
        <f t="shared" si="64"/>
        <v>668.80449189389219</v>
      </c>
      <c r="CC101" s="59">
        <f t="shared" si="65"/>
        <v>962.13782522722545</v>
      </c>
      <c r="CD101" s="59">
        <f ca="1">AVERAGE(OFFSET($CC$3,0,0,'Données projet'!$E$12+1,1))-AVERAGE(OFFSET($H$3,0,0,'Données projet'!$E$12+1,1))</f>
        <v>449.28947235329758</v>
      </c>
      <c r="CE101" s="59">
        <f t="shared" si="94"/>
        <v>289.36994109443964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33.597963675267309</v>
      </c>
      <c r="CL101" s="21">
        <f>EXP(-LN(2)/25)*CL100+(1-EXP(-LN(2)/25))/(LN(2)/25)*Calculateur!CG101*Calculateur!CI101*VLOOKUP('Données projet'!$B$12,Paramètres!$A$1:$I$89,3,0)*0.475*44/12</f>
        <v>22.699548197932259</v>
      </c>
      <c r="CM101" s="21">
        <f>EXP(-LN(2)/2)*CM100+(1-EXP(-LN(2)/2))/(LN(2)/2)*CG101*CJ101*VLOOKUP('Données projet'!$B$12,Paramètres!$A$1:$I$89,3,0)*0.475*44/12</f>
        <v>2.6227395397429989E-2</v>
      </c>
      <c r="CN101" s="22">
        <f t="shared" si="66"/>
        <v>56.323739268596995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2.8421709430404007E-14</v>
      </c>
      <c r="CU101" s="17">
        <f>CT101*VLOOKUP('Données projet'!$B$13,Paramètres!$A$1:$I$89,3,0)*VLOOKUP('Données projet'!$B$13,Paramètres!$A$1:$I$89,5,0)</f>
        <v>2.4829205358400945E-14</v>
      </c>
      <c r="CV101" s="13">
        <f t="shared" si="95"/>
        <v>4.3867331143352915E-13</v>
      </c>
      <c r="CW101" s="20">
        <f t="shared" si="67"/>
        <v>8.0726688341261168E-13</v>
      </c>
      <c r="CX101" s="59">
        <f t="shared" si="68"/>
        <v>293.33333333333411</v>
      </c>
      <c r="CY101" s="59">
        <f ca="1">AVERAGE(OFFSET($CX$3,0,0,'Données projet'!$E$13+1,1))-AVERAGE(OFFSET($H$3,0,0,'Données projet'!$E$13+1,1))</f>
        <v>261.93797831021766</v>
      </c>
      <c r="CZ101" s="59">
        <f t="shared" si="96"/>
        <v>256.90876395053073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23.094942017293501</v>
      </c>
      <c r="DG101" s="21">
        <f>EXP(-LN(2)/25)*DG100+(1-EXP(-LN(2)/25))/(LN(2)/25)*Calculateur!DB101*Calculateur!DD101*VLOOKUP('Données projet'!$B$13,Paramètres!$A$1:$I$89,3,0)*0.475*44/12</f>
        <v>22.156610710864101</v>
      </c>
      <c r="DH101" s="21">
        <f>EXP(-LN(2)/2)*DH100+(1-EXP(-LN(2)/2))/(LN(2)/2)*DB101*DE101*VLOOKUP('Données projet'!$B$13,Paramètres!$A$1:$I$89,3,0)*0.475*44/12</f>
        <v>8.8762581329351803E-2</v>
      </c>
      <c r="DI101" s="22">
        <f t="shared" si="69"/>
        <v>45.340315309486961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11.283999999999997</v>
      </c>
      <c r="N102" s="13">
        <f>IF('Données projet'!$A$36&gt;35,N101+M102-V101,IF(A102&lt;'Données projet'!$A$36,$K$205^A102,IF(A102='Données projet'!$A$36,'Données projet'!$B$36,N101+M102-V101)))</f>
        <v>504.38599999999997</v>
      </c>
      <c r="O102" s="13">
        <f>N102*VLOOKUP('Données projet'!$B$9,Paramètres!$A$1:$I$89,3,0)*VLOOKUP('Données projet'!$B$9,Paramètres!$A$1:$I$89,5,0)</f>
        <v>456.36845279999994</v>
      </c>
      <c r="P102" s="13">
        <f t="shared" si="87"/>
        <v>103.11535533948117</v>
      </c>
      <c r="Q102" s="20">
        <f t="shared" si="107"/>
        <v>974.43429917626281</v>
      </c>
      <c r="R102" s="59">
        <f t="shared" si="55"/>
        <v>1267.7676325095961</v>
      </c>
      <c r="S102" s="59">
        <f ca="1">AVERAGE(OFFSET($R$3,0,0,'Données projet'!$E$9+1,1))-AVERAGE(OFFSET($H$3,0,0,'Données projet'!$E$9+1,1))</f>
        <v>695.0879239758051</v>
      </c>
      <c r="T102" s="59">
        <f t="shared" si="88"/>
        <v>226.22150997227476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32.179522058035708</v>
      </c>
      <c r="AA102" s="21">
        <f>EXP(-LN(2)/25)*AA101+(1-EXP(-LN(2)/25))/(LN(2)/25)*Calculateur!V102*Calculateur!X102*VLOOKUP('Données projet'!$B$9,Paramètres!$A$1:$I$89,3,0)*0.475*44/12</f>
        <v>27.74853720750178</v>
      </c>
      <c r="AB102" s="21">
        <f>EXP(-LN(2)/2)*AB101+(1-EXP(-LN(2)/2))/(LN(2)/2)*V102*Y102*VLOOKUP('Données projet'!$B$9,Paramètres!$A$1:$I$89,3,0)*0.475*44/12</f>
        <v>0.27348659497926409</v>
      </c>
      <c r="AC102" s="22">
        <f t="shared" si="57"/>
        <v>60.201545860516745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465.23</v>
      </c>
      <c r="AG102" s="12">
        <f>VLOOKUP(A102,'Données projet'!$A$61:$I$81,9,0)</f>
        <v>11.216666666666672</v>
      </c>
      <c r="AH102" s="12">
        <f t="array" ref="AH102">INDEX(AG:AG,MIN(IF(ISNUMBER(AG102:AG298),ROW(AG102:AG298),"")))</f>
        <v>11.216666666666672</v>
      </c>
      <c r="AI102" s="13">
        <f>IF('Données projet'!$A$62&gt;35,AI101+AH102-AQ101,IF(A102&lt;'Données projet'!$A$62,$AF$205^A102,IF(A102='Données projet'!$A$62,'Données projet'!$B$62,AI101+AH102-AQ101)))</f>
        <v>465.23000000000013</v>
      </c>
      <c r="AJ102" s="13">
        <f>AI102*VLOOKUP('Données projet'!$B$10,Paramètres!$A$1:$I$89,3,0)*VLOOKUP('Données projet'!$B$10,Paramètres!$A$1:$I$89,5,0)</f>
        <v>391.90975200000014</v>
      </c>
      <c r="AK102" s="13">
        <f t="shared" si="89"/>
        <v>90.134546207940858</v>
      </c>
      <c r="AL102" s="20">
        <f t="shared" si="58"/>
        <v>839.56048604549721</v>
      </c>
      <c r="AM102" s="59">
        <f t="shared" si="59"/>
        <v>1132.8938193788306</v>
      </c>
      <c r="AN102" s="59">
        <f ca="1">AVERAGE(OFFSET($AM$3,0,0,'Données projet'!$E$10+1,1))-AVERAGE(OFFSET($H$3,0,0,'Données projet'!$E$10+1,1))</f>
        <v>424.81155998881928</v>
      </c>
      <c r="AO102" s="59">
        <f t="shared" si="90"/>
        <v>277.34430416544575</v>
      </c>
      <c r="AP102" s="15">
        <f>IF(ISNA(VLOOKUP(A102,'Données projet'!$A$61:$I$81,3,0)),0,VLOOKUP(A102,'Données projet'!$A$61:$I$81,3,0))</f>
        <v>10</v>
      </c>
      <c r="AQ102" s="15">
        <f>IF(ISNA(VLOOKUP(A102,'Données projet'!$A$61:$I$81,4,0)),0,VLOOKUP(A102,'Données projet'!$A$61:$I$81,4,0))</f>
        <v>226.42000000000002</v>
      </c>
      <c r="AR102" s="16">
        <f>IF(ISNA(VLOOKUP(A102,'Données projet'!$A$61:$I$81,5,0)),0%,VLOOKUP(A102,'Données projet'!$A$61:$I$81,5,0)*VLOOKUP('Données projet'!$B$10,Paramètres!$A$1:$I$89,7,0))</f>
        <v>0.19350000000000001</v>
      </c>
      <c r="AS102" s="16">
        <f>IF(ISNA(VLOOKUP(A102,'Données projet'!$A$61:$I$81,6,0)),0%,VLOOKUP(A102,'Données projet'!$A$61:$I$81,6,0)*VLOOKUP('Données projet'!$B$10,Paramètres!$A$1:$I$89,7,0))</f>
        <v>2.1500000000000002E-2</v>
      </c>
      <c r="AT102" s="16">
        <f>IF(ISNA(VLOOKUP(A102,'Données projet'!$A$61:$I$81,7,0)),0%,VLOOKUP(A102,'Données projet'!$A$61:$I$81,7,0))</f>
        <v>0.05</v>
      </c>
      <c r="AU102" s="21">
        <f>EXP(-LN(2)/35)*AU101+(1-EXP(-LN(2)/35))/(LN(2)/35)*AQ102*AR102*VLOOKUP('Données projet'!$B$10,Paramètres!$A$1:$I$89,3,0)*0.475*44/12</f>
        <v>86.418059665948277</v>
      </c>
      <c r="AV102" s="21">
        <f>EXP(-LN(2)/25)*AV101+(1-EXP(-LN(2)/25))/(LN(2)/25)*Calculateur!AQ102*Calculateur!AS102*VLOOKUP('Données projet'!$B$10,Paramètres!$A$1:$I$89,3,0)*0.475*44/12</f>
        <v>27.744008388488901</v>
      </c>
      <c r="AW102" s="21">
        <f>EXP(-LN(2)/2)*AW101+(1-EXP(-LN(2)/2))/(LN(2)/2)*AQ102*AT102*VLOOKUP('Données projet'!$B$10,Paramètres!$A$1:$I$89,3,0)*0.475*44/12</f>
        <v>8.9987283754300513</v>
      </c>
      <c r="AX102" s="21">
        <f t="shared" si="60"/>
        <v>123.16079642986723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362.49486000000059</v>
      </c>
      <c r="BF102" s="13">
        <f t="shared" si="91"/>
        <v>84.130056787487845</v>
      </c>
      <c r="BG102" s="20">
        <f t="shared" si="61"/>
        <v>777.87173007154217</v>
      </c>
      <c r="BH102" s="59">
        <f t="shared" si="62"/>
        <v>1071.2050634048755</v>
      </c>
      <c r="BI102" s="59">
        <f ca="1">AVERAGE(OFFSET($BH$3,0,0,'Données projet'!$E$11+1,1))-AVERAGE(OFFSET($H$3,0,0,'Données projet'!$E$11+1,1))</f>
        <v>706.69239849991595</v>
      </c>
      <c r="BJ102" s="59">
        <f t="shared" si="92"/>
        <v>310.59887275116529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28.640200202537059</v>
      </c>
      <c r="BQ102" s="21">
        <f>EXP(-LN(2)/25)*BQ101+(1-EXP(-LN(2)/25))/(LN(2)/25)*Calculateur!BL102*Calculateur!BN102*VLOOKUP('Données projet'!$B$11,Paramètres!$A$1:$I$89,3,0)*0.475*44/12</f>
        <v>27.499668729189136</v>
      </c>
      <c r="BR102" s="21">
        <f>EXP(-LN(2)/2)*BR101+(1-EXP(-LN(2)/2))/(LN(2)/2)*BL102*BO102*VLOOKUP('Données projet'!$B$11,Paramètres!$A$1:$I$89,3,0)*0.475*44/12</f>
        <v>1.1752389930687137</v>
      </c>
      <c r="BS102" s="22">
        <f t="shared" si="63"/>
        <v>57.315107924794916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8.9989999999999952</v>
      </c>
      <c r="BY102" s="12">
        <f>IF('Données projet'!$A$114&gt;35,BY101+BX102-CG101,IF(A102&lt;'Données projet'!$A$114,$BV$205^A102,IF(A102='Données projet'!$A$114,'Données projet'!$B$114,BY101+BX102-CG101)))</f>
        <v>335.404</v>
      </c>
      <c r="BZ102" s="13">
        <f>BY102*VLOOKUP('Données projet'!$B$12,Paramètres!$A$1:$I$89,3,0)*VLOOKUP('Données projet'!$B$12,Paramètres!$A$1:$I$89,5,0)</f>
        <v>319.1704464</v>
      </c>
      <c r="CA102" s="13">
        <f t="shared" si="93"/>
        <v>75.180722836444687</v>
      </c>
      <c r="CB102" s="20">
        <f t="shared" si="64"/>
        <v>686.82828642014101</v>
      </c>
      <c r="CC102" s="59">
        <f t="shared" si="65"/>
        <v>980.16161975347427</v>
      </c>
      <c r="CD102" s="59">
        <f ca="1">AVERAGE(OFFSET($CC$3,0,0,'Données projet'!$E$12+1,1))-AVERAGE(OFFSET($H$3,0,0,'Données projet'!$E$12+1,1))</f>
        <v>449.28947235329758</v>
      </c>
      <c r="CE102" s="59">
        <f t="shared" si="94"/>
        <v>289.36994109443964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32.939128100329668</v>
      </c>
      <c r="CL102" s="21">
        <f>EXP(-LN(2)/25)*CL101+(1-EXP(-LN(2)/25))/(LN(2)/25)*Calculateur!CG102*Calculateur!CI102*VLOOKUP('Données projet'!$B$12,Paramètres!$A$1:$I$89,3,0)*0.475*44/12</f>
        <v>22.078827858742443</v>
      </c>
      <c r="CM102" s="21">
        <f>EXP(-LN(2)/2)*CM101+(1-EXP(-LN(2)/2))/(LN(2)/2)*CG102*CJ102*VLOOKUP('Données projet'!$B$12,Paramètres!$A$1:$I$89,3,0)*0.475*44/12</f>
        <v>1.8545569138383591E-2</v>
      </c>
      <c r="CN102" s="22">
        <f t="shared" si="66"/>
        <v>55.036501528210493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2.8421709430404007E-14</v>
      </c>
      <c r="CU102" s="17">
        <f>CT102*VLOOKUP('Données projet'!$B$13,Paramètres!$A$1:$I$89,3,0)*VLOOKUP('Données projet'!$B$13,Paramètres!$A$1:$I$89,5,0)</f>
        <v>2.4829205358400945E-14</v>
      </c>
      <c r="CV102" s="13">
        <f t="shared" si="95"/>
        <v>4.3867331143352915E-13</v>
      </c>
      <c r="CW102" s="20">
        <f t="shared" si="67"/>
        <v>8.0726688341261168E-13</v>
      </c>
      <c r="CX102" s="59">
        <f t="shared" si="68"/>
        <v>293.33333333333411</v>
      </c>
      <c r="CY102" s="59">
        <f ca="1">AVERAGE(OFFSET($CX$3,0,0,'Données projet'!$E$13+1,1))-AVERAGE(OFFSET($H$3,0,0,'Données projet'!$E$13+1,1))</f>
        <v>261.93797831021766</v>
      </c>
      <c r="CZ102" s="59">
        <f t="shared" si="96"/>
        <v>256.90876395053073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22.642064290858077</v>
      </c>
      <c r="DG102" s="21">
        <f>EXP(-LN(2)/25)*DG101+(1-EXP(-LN(2)/25))/(LN(2)/25)*Calculateur!DB102*Calculateur!DD102*VLOOKUP('Données projet'!$B$13,Paramètres!$A$1:$I$89,3,0)*0.475*44/12</f>
        <v>21.550737025810005</v>
      </c>
      <c r="DH102" s="21">
        <f>EXP(-LN(2)/2)*DH101+(1-EXP(-LN(2)/2))/(LN(2)/2)*DB102*DE102*VLOOKUP('Données projet'!$B$13,Paramètres!$A$1:$I$89,3,0)*0.475*44/12</f>
        <v>6.2764623173607093E-2</v>
      </c>
      <c r="DI102" s="22">
        <f t="shared" si="69"/>
        <v>44.255565939841688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11.283999999999997</v>
      </c>
      <c r="M103" s="12">
        <f t="array" ref="M103">INDEX(L:L,MIN(IF(ISNUMBER(L103:L299),ROW(L103:L299),"")))</f>
        <v>11.283999999999997</v>
      </c>
      <c r="N103" s="13">
        <f>IF('Données projet'!$A$36&gt;35,N102+M103-V102,IF(A103&lt;'Données projet'!$A$36,$K$205^A103,IF(A103='Données projet'!$A$36,'Données projet'!$B$36,N102+M103-V102)))</f>
        <v>515.66999999999996</v>
      </c>
      <c r="O103" s="13">
        <f>N103*VLOOKUP('Données projet'!$B$9,Paramètres!$A$1:$I$89,3,0)*VLOOKUP('Données projet'!$B$9,Paramètres!$A$1:$I$89,5,0)</f>
        <v>466.57821599999988</v>
      </c>
      <c r="P103" s="13">
        <f t="shared" si="87"/>
        <v>105.15107479395371</v>
      </c>
      <c r="Q103" s="20">
        <f t="shared" si="107"/>
        <v>995.76184813280258</v>
      </c>
      <c r="R103" s="59">
        <f t="shared" si="55"/>
        <v>1289.095181466136</v>
      </c>
      <c r="S103" s="59">
        <f ca="1">AVERAGE(OFFSET($R$3,0,0,'Données projet'!$E$9+1,1))-AVERAGE(OFFSET($H$3,0,0,'Données projet'!$E$9+1,1))</f>
        <v>695.0879239758051</v>
      </c>
      <c r="T103" s="59">
        <f t="shared" si="88"/>
        <v>226.22150997227476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93.039999999999964</v>
      </c>
      <c r="W103" s="16">
        <f>IF(ISNA(VLOOKUP(A103,'Données projet'!$A$35:$I$55,5,0)),0%,VLOOKUP(A103,'Données projet'!$A$35:$I$55,5,0)*VLOOKUP('Données projet'!$B$9,Paramètres!$A$1:$I$89,7,0))</f>
        <v>0.215</v>
      </c>
      <c r="X103" s="16">
        <f>IF(ISNA(VLOOKUP(A103,'Données projet'!$A$35:$I$55,6,0)),0%,VLOOKUP(A103,'Données projet'!$A$35:$I$55,6,0)*VLOOKUP('Données projet'!$B$9,Paramètres!$A$1:$I$89,7,0))</f>
        <v>8.6000000000000007E-2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51.556694072634123</v>
      </c>
      <c r="AA103" s="21">
        <f>EXP(-LN(2)/25)*AA102+(1-EXP(-LN(2)/25))/(LN(2)/25)*Calculateur!V103*Calculateur!X103*VLOOKUP('Données projet'!$B$9,Paramètres!$A$1:$I$89,3,0)*0.475*44/12</f>
        <v>34.961517172632867</v>
      </c>
      <c r="AB103" s="21">
        <f>EXP(-LN(2)/2)*AB102+(1-EXP(-LN(2)/2))/(LN(2)/2)*V103*Y103*VLOOKUP('Données projet'!$B$9,Paramètres!$A$1:$I$89,3,0)*0.475*44/12</f>
        <v>0.19338422587345644</v>
      </c>
      <c r="AC103" s="22">
        <f t="shared" si="57"/>
        <v>86.711595471140456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7.0300000000000011</v>
      </c>
      <c r="AI103" s="13">
        <f>IF('Données projet'!$A$62&gt;35,AI102+AH103-AQ102,IF(A103&lt;'Données projet'!$A$62,$AF$205^A103,IF(A103='Données projet'!$A$62,'Données projet'!$B$62,AI102+AH103-AQ102)))</f>
        <v>245.84000000000009</v>
      </c>
      <c r="AJ103" s="13">
        <f>AI103*VLOOKUP('Données projet'!$B$10,Paramètres!$A$1:$I$89,3,0)*VLOOKUP('Données projet'!$B$10,Paramètres!$A$1:$I$89,5,0)</f>
        <v>207.09561600000009</v>
      </c>
      <c r="AK103" s="13">
        <f t="shared" si="89"/>
        <v>51.300391199015458</v>
      </c>
      <c r="AL103" s="20">
        <f t="shared" si="58"/>
        <v>450.03971253828541</v>
      </c>
      <c r="AM103" s="59">
        <f t="shared" si="59"/>
        <v>743.37304587161873</v>
      </c>
      <c r="AN103" s="59">
        <f ca="1">AVERAGE(OFFSET($AM$3,0,0,'Données projet'!$E$10+1,1))-AVERAGE(OFFSET($H$3,0,0,'Données projet'!$E$10+1,1))</f>
        <v>424.81155998881928</v>
      </c>
      <c r="AO103" s="59">
        <f t="shared" si="90"/>
        <v>277.34430416544575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84.723454225710768</v>
      </c>
      <c r="AV103" s="21">
        <f>EXP(-LN(2)/25)*AV102+(1-EXP(-LN(2)/25))/(LN(2)/25)*Calculateur!AQ103*Calculateur!AS103*VLOOKUP('Données projet'!$B$10,Paramètres!$A$1:$I$89,3,0)*0.475*44/12</f>
        <v>26.985347020111679</v>
      </c>
      <c r="AW103" s="21">
        <f>EXP(-LN(2)/2)*AW102+(1-EXP(-LN(2)/2))/(LN(2)/2)*AQ103*AT103*VLOOKUP('Données projet'!$B$10,Paramètres!$A$1:$I$89,3,0)*0.475*44/12</f>
        <v>6.3630618563223944</v>
      </c>
      <c r="AX103" s="21">
        <f t="shared" si="60"/>
        <v>118.07186310214483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371.56204800000057</v>
      </c>
      <c r="BF103" s="13">
        <f t="shared" si="91"/>
        <v>85.986795441367093</v>
      </c>
      <c r="BG103" s="20">
        <f t="shared" si="61"/>
        <v>796.89756899371525</v>
      </c>
      <c r="BH103" s="59">
        <f t="shared" si="62"/>
        <v>1090.2309023270486</v>
      </c>
      <c r="BI103" s="59">
        <f ca="1">AVERAGE(OFFSET($BH$3,0,0,'Données projet'!$E$11+1,1))-AVERAGE(OFFSET($H$3,0,0,'Données projet'!$E$11+1,1))</f>
        <v>706.69239849991595</v>
      </c>
      <c r="BJ103" s="59">
        <f t="shared" si="92"/>
        <v>310.59887275116529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28.078583345362532</v>
      </c>
      <c r="BQ103" s="21">
        <f>EXP(-LN(2)/25)*BQ102+(1-EXP(-LN(2)/25))/(LN(2)/25)*Calculateur!BL103*Calculateur!BN103*VLOOKUP('Données projet'!$B$11,Paramètres!$A$1:$I$89,3,0)*0.475*44/12</f>
        <v>26.747688841644731</v>
      </c>
      <c r="BR103" s="21">
        <f>EXP(-LN(2)/2)*BR102+(1-EXP(-LN(2)/2))/(LN(2)/2)*BL103*BO103*VLOOKUP('Données projet'!$B$11,Paramètres!$A$1:$I$89,3,0)*0.475*44/12</f>
        <v>0.8310194615137374</v>
      </c>
      <c r="BS103" s="22">
        <f t="shared" si="63"/>
        <v>55.657291648521003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8.9989999999999952</v>
      </c>
      <c r="BY103" s="12">
        <f>IF('Données projet'!$A$114&gt;35,BY102+BX103-CG102,IF(A103&lt;'Données projet'!$A$114,$BV$205^A103,IF(A103='Données projet'!$A$114,'Données projet'!$B$114,BY102+BX103-CG102)))</f>
        <v>344.40300000000002</v>
      </c>
      <c r="BZ103" s="13">
        <f>BY103*VLOOKUP('Données projet'!$B$12,Paramètres!$A$1:$I$89,3,0)*VLOOKUP('Données projet'!$B$12,Paramètres!$A$1:$I$89,5,0)</f>
        <v>327.73389480000003</v>
      </c>
      <c r="CA103" s="13">
        <f t="shared" si="93"/>
        <v>76.960297498116987</v>
      </c>
      <c r="CB103" s="20">
        <f t="shared" si="64"/>
        <v>704.84238491922042</v>
      </c>
      <c r="CC103" s="59">
        <f t="shared" si="65"/>
        <v>998.17571825255368</v>
      </c>
      <c r="CD103" s="59">
        <f ca="1">AVERAGE(OFFSET($CC$3,0,0,'Données projet'!$E$12+1,1))-AVERAGE(OFFSET($H$3,0,0,'Données projet'!$E$12+1,1))</f>
        <v>449.28947235329758</v>
      </c>
      <c r="CE103" s="59">
        <f t="shared" si="94"/>
        <v>289.36994109443964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32.293211889166535</v>
      </c>
      <c r="CL103" s="21">
        <f>EXP(-LN(2)/25)*CL102+(1-EXP(-LN(2)/25))/(LN(2)/25)*Calculateur!CG103*Calculateur!CI103*VLOOKUP('Données projet'!$B$12,Paramètres!$A$1:$I$89,3,0)*0.475*44/12</f>
        <v>21.475081149870036</v>
      </c>
      <c r="CM103" s="21">
        <f>EXP(-LN(2)/2)*CM102+(1-EXP(-LN(2)/2))/(LN(2)/2)*CG103*CJ103*VLOOKUP('Données projet'!$B$12,Paramètres!$A$1:$I$89,3,0)*0.475*44/12</f>
        <v>1.3113697698714994E-2</v>
      </c>
      <c r="CN103" s="22">
        <f t="shared" si="66"/>
        <v>53.781406736735285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2.8421709430404007E-14</v>
      </c>
      <c r="CU103" s="17">
        <f>CT103*VLOOKUP('Données projet'!$B$13,Paramètres!$A$1:$I$89,3,0)*VLOOKUP('Données projet'!$B$13,Paramètres!$A$1:$I$89,5,0)</f>
        <v>2.4829205358400945E-14</v>
      </c>
      <c r="CV103" s="13">
        <f t="shared" si="95"/>
        <v>4.3867331143352915E-13</v>
      </c>
      <c r="CW103" s="20">
        <f t="shared" si="67"/>
        <v>8.0726688341261168E-13</v>
      </c>
      <c r="CX103" s="59">
        <f t="shared" si="68"/>
        <v>293.33333333333411</v>
      </c>
      <c r="CY103" s="59">
        <f ca="1">AVERAGE(OFFSET($CX$3,0,0,'Données projet'!$E$13+1,1))-AVERAGE(OFFSET($H$3,0,0,'Données projet'!$E$13+1,1))</f>
        <v>261.93797831021766</v>
      </c>
      <c r="CZ103" s="59">
        <f t="shared" si="96"/>
        <v>256.90876395053073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22.198067220409914</v>
      </c>
      <c r="DG103" s="21">
        <f>EXP(-LN(2)/25)*DG102+(1-EXP(-LN(2)/25))/(LN(2)/25)*Calculateur!DB103*Calculateur!DD103*VLOOKUP('Données projet'!$B$13,Paramètres!$A$1:$I$89,3,0)*0.475*44/12</f>
        <v>20.961430988535223</v>
      </c>
      <c r="DH103" s="21">
        <f>EXP(-LN(2)/2)*DH102+(1-EXP(-LN(2)/2))/(LN(2)/2)*DB103*DE103*VLOOKUP('Données projet'!$B$13,Paramètres!$A$1:$I$89,3,0)*0.475*44/12</f>
        <v>4.4381290664675901E-2</v>
      </c>
      <c r="DI103" s="22">
        <f t="shared" si="69"/>
        <v>43.203879499609812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10.840999999999998</v>
      </c>
      <c r="N104" s="13">
        <f>IF('Données projet'!$A$36&gt;35,N103+M104-V103,IF(A104&lt;'Données projet'!$A$36,$K$205^A104,IF(A104='Données projet'!$A$36,'Données projet'!$B$36,N103+M104-V103)))</f>
        <v>433.471</v>
      </c>
      <c r="O104" s="13">
        <f>N104*VLOOKUP('Données projet'!$B$9,Paramètres!$A$1:$I$89,3,0)*VLOOKUP('Données projet'!$B$9,Paramètres!$A$1:$I$89,5,0)</f>
        <v>392.20456079999997</v>
      </c>
      <c r="P104" s="13">
        <f t="shared" si="87"/>
        <v>90.194453866780407</v>
      </c>
      <c r="Q104" s="20">
        <f t="shared" si="107"/>
        <v>840.17828387797579</v>
      </c>
      <c r="R104" s="59">
        <f t="shared" si="55"/>
        <v>1133.5116172113092</v>
      </c>
      <c r="S104" s="59">
        <f ca="1">AVERAGE(OFFSET($R$3,0,0,'Données projet'!$E$9+1,1))-AVERAGE(OFFSET($H$3,0,0,'Données projet'!$E$9+1,1))</f>
        <v>695.0879239758051</v>
      </c>
      <c r="T104" s="59">
        <f t="shared" si="88"/>
        <v>226.22150997227476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50.545698748348073</v>
      </c>
      <c r="AA104" s="21">
        <f>EXP(-LN(2)/25)*AA103+(1-EXP(-LN(2)/25))/(LN(2)/25)*Calculateur!V104*Calculateur!X104*VLOOKUP('Données projet'!$B$9,Paramètres!$A$1:$I$89,3,0)*0.475*44/12</f>
        <v>34.005492647000942</v>
      </c>
      <c r="AB104" s="21">
        <f>EXP(-LN(2)/2)*AB103+(1-EXP(-LN(2)/2))/(LN(2)/2)*V104*Y104*VLOOKUP('Données projet'!$B$9,Paramètres!$A$1:$I$89,3,0)*0.475*44/12</f>
        <v>0.13674329748963204</v>
      </c>
      <c r="AC104" s="22">
        <f t="shared" si="57"/>
        <v>84.687934692838638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252.87</v>
      </c>
      <c r="AG104" s="12">
        <f>VLOOKUP(A104,'Données projet'!$A$61:$I$81,9,0)</f>
        <v>7.0300000000000011</v>
      </c>
      <c r="AH104" s="12">
        <f t="array" ref="AH104">INDEX(AG:AG,MIN(IF(ISNUMBER(AG104:AG300),ROW(AG104:AG300),"")))</f>
        <v>7.0300000000000011</v>
      </c>
      <c r="AI104" s="13">
        <f>IF('Données projet'!$A$62&gt;35,AI103+AH104-AQ103,IF(A104&lt;'Données projet'!$A$62,$AF$205^A104,IF(A104='Données projet'!$A$62,'Données projet'!$B$62,AI103+AH104-AQ103)))</f>
        <v>252.87000000000009</v>
      </c>
      <c r="AJ104" s="13">
        <f>AI104*VLOOKUP('Données projet'!$B$10,Paramètres!$A$1:$I$89,3,0)*VLOOKUP('Données projet'!$B$10,Paramètres!$A$1:$I$89,5,0)</f>
        <v>213.01768800000011</v>
      </c>
      <c r="AK104" s="13">
        <f t="shared" si="89"/>
        <v>52.594477866693403</v>
      </c>
      <c r="AL104" s="20">
        <f t="shared" si="58"/>
        <v>462.6078555511578</v>
      </c>
      <c r="AM104" s="59">
        <f t="shared" si="59"/>
        <v>755.94118888449111</v>
      </c>
      <c r="AN104" s="59">
        <f ca="1">AVERAGE(OFFSET($AM$3,0,0,'Données projet'!$E$10+1,1))-AVERAGE(OFFSET($H$3,0,0,'Données projet'!$E$10+1,1))</f>
        <v>424.81155998881928</v>
      </c>
      <c r="AO104" s="59">
        <f t="shared" si="90"/>
        <v>277.34430416544575</v>
      </c>
      <c r="AP104" s="15">
        <f>IF(ISNA(VLOOKUP(A104,'Données projet'!$A$61:$I$81,3,0)),0,VLOOKUP(A104,'Données projet'!$A$61:$I$81,3,0))</f>
        <v>11</v>
      </c>
      <c r="AQ104" s="15">
        <f>IF(ISNA(VLOOKUP(A104,'Données projet'!$A$61:$I$81,4,0)),0,VLOOKUP(A104,'Données projet'!$A$61:$I$81,4,0))</f>
        <v>82.539999999999992</v>
      </c>
      <c r="AR104" s="16">
        <f>IF(ISNA(VLOOKUP(A104,'Données projet'!$A$61:$I$81,5,0)),0%,VLOOKUP(A104,'Données projet'!$A$61:$I$81,5,0)*VLOOKUP('Données projet'!$B$10,Paramètres!$A$1:$I$89,7,0))</f>
        <v>0.19350000000000001</v>
      </c>
      <c r="AS104" s="16">
        <f>IF(ISNA(VLOOKUP(A104,'Données projet'!$A$61:$I$81,6,0)),0%,VLOOKUP(A104,'Données projet'!$A$61:$I$81,6,0)*VLOOKUP('Données projet'!$B$10,Paramètres!$A$1:$I$89,7,0))</f>
        <v>2.1500000000000002E-2</v>
      </c>
      <c r="AT104" s="16">
        <f>IF(ISNA(VLOOKUP(A104,'Données projet'!$A$61:$I$81,7,0)),0%,VLOOKUP(A104,'Données projet'!$A$61:$I$81,7,0))</f>
        <v>0.05</v>
      </c>
      <c r="AU104" s="21">
        <f>EXP(-LN(2)/35)*AU103+(1-EXP(-LN(2)/35))/(LN(2)/35)*AQ104*AR104*VLOOKUP('Données projet'!$B$10,Paramètres!$A$1:$I$89,3,0)*0.475*44/12</f>
        <v>97.93550104050351</v>
      </c>
      <c r="AV104" s="21">
        <f>EXP(-LN(2)/25)*AV103+(1-EXP(-LN(2)/25))/(LN(2)/25)*Calculateur!AQ104*Calculateur!AS104*VLOOKUP('Données projet'!$B$10,Paramètres!$A$1:$I$89,3,0)*0.475*44/12</f>
        <v>27.893526814084925</v>
      </c>
      <c r="AW104" s="21">
        <f>EXP(-LN(2)/2)*AW103+(1-EXP(-LN(2)/2))/(LN(2)/2)*AQ104*AT104*VLOOKUP('Données projet'!$B$10,Paramètres!$A$1:$I$89,3,0)*0.475*44/12</f>
        <v>7.7796155174230179</v>
      </c>
      <c r="AX104" s="21">
        <f t="shared" si="60"/>
        <v>133.60864337201144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380.62923600000056</v>
      </c>
      <c r="BF104" s="13">
        <f t="shared" si="91"/>
        <v>87.83826696657087</v>
      </c>
      <c r="BG104" s="20">
        <f t="shared" si="61"/>
        <v>815.91423433344517</v>
      </c>
      <c r="BH104" s="59">
        <f t="shared" si="62"/>
        <v>1109.2475676667784</v>
      </c>
      <c r="BI104" s="59">
        <f ca="1">AVERAGE(OFFSET($BH$3,0,0,'Données projet'!$E$11+1,1))-AVERAGE(OFFSET($H$3,0,0,'Données projet'!$E$11+1,1))</f>
        <v>706.69239849991595</v>
      </c>
      <c r="BJ104" s="59">
        <f t="shared" si="92"/>
        <v>310.59887275116529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27.527979452204736</v>
      </c>
      <c r="BQ104" s="21">
        <f>EXP(-LN(2)/25)*BQ103+(1-EXP(-LN(2)/25))/(LN(2)/25)*Calculateur!BL104*Calculateur!BN104*VLOOKUP('Données projet'!$B$11,Paramètres!$A$1:$I$89,3,0)*0.475*44/12</f>
        <v>26.016271883670132</v>
      </c>
      <c r="BR104" s="21">
        <f>EXP(-LN(2)/2)*BR103+(1-EXP(-LN(2)/2))/(LN(2)/2)*BL104*BO104*VLOOKUP('Données projet'!$B$11,Paramètres!$A$1:$I$89,3,0)*0.475*44/12</f>
        <v>0.58761949653435686</v>
      </c>
      <c r="BS104" s="22">
        <f t="shared" si="63"/>
        <v>54.131870832409227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8.9989999999999952</v>
      </c>
      <c r="BY104" s="12">
        <f>IF('Données projet'!$A$114&gt;35,BY103+BX104-CG103,IF(A104&lt;'Données projet'!$A$114,$BV$205^A104,IF(A104='Données projet'!$A$114,'Données projet'!$B$114,BY103+BX104-CG103)))</f>
        <v>353.40200000000004</v>
      </c>
      <c r="BZ104" s="13">
        <f>BY104*VLOOKUP('Données projet'!$B$12,Paramètres!$A$1:$I$89,3,0)*VLOOKUP('Données projet'!$B$12,Paramètres!$A$1:$I$89,5,0)</f>
        <v>336.29734320000006</v>
      </c>
      <c r="CA104" s="13">
        <f t="shared" si="93"/>
        <v>78.734467249723195</v>
      </c>
      <c r="CB104" s="20">
        <f t="shared" si="64"/>
        <v>722.84706986660137</v>
      </c>
      <c r="CC104" s="59">
        <f t="shared" si="65"/>
        <v>1016.1804031999347</v>
      </c>
      <c r="CD104" s="59">
        <f ca="1">AVERAGE(OFFSET($CC$3,0,0,'Données projet'!$E$12+1,1))-AVERAGE(OFFSET($H$3,0,0,'Données projet'!$E$12+1,1))</f>
        <v>449.28947235329758</v>
      </c>
      <c r="CE104" s="59">
        <f t="shared" si="94"/>
        <v>289.36994109443964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31.659961700934325</v>
      </c>
      <c r="CL104" s="21">
        <f>EXP(-LN(2)/25)*CL103+(1-EXP(-LN(2)/25))/(LN(2)/25)*Calculateur!CG104*Calculateur!CI104*VLOOKUP('Données projet'!$B$12,Paramètres!$A$1:$I$89,3,0)*0.475*44/12</f>
        <v>20.887843926501404</v>
      </c>
      <c r="CM104" s="21">
        <f>EXP(-LN(2)/2)*CM103+(1-EXP(-LN(2)/2))/(LN(2)/2)*CG104*CJ104*VLOOKUP('Données projet'!$B$12,Paramètres!$A$1:$I$89,3,0)*0.475*44/12</f>
        <v>9.2727845691917953E-3</v>
      </c>
      <c r="CN104" s="22">
        <f t="shared" si="66"/>
        <v>52.55707841200492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2.8421709430404007E-14</v>
      </c>
      <c r="CU104" s="17">
        <f>CT104*VLOOKUP('Données projet'!$B$13,Paramètres!$A$1:$I$89,3,0)*VLOOKUP('Données projet'!$B$13,Paramètres!$A$1:$I$89,5,0)</f>
        <v>2.4829205358400945E-14</v>
      </c>
      <c r="CV104" s="13">
        <f t="shared" si="95"/>
        <v>4.3867331143352915E-13</v>
      </c>
      <c r="CW104" s="20">
        <f t="shared" si="67"/>
        <v>8.0726688341261168E-13</v>
      </c>
      <c r="CX104" s="59">
        <f t="shared" si="68"/>
        <v>293.33333333333411</v>
      </c>
      <c r="CY104" s="59">
        <f ca="1">AVERAGE(OFFSET($CX$3,0,0,'Données projet'!$E$13+1,1))-AVERAGE(OFFSET($H$3,0,0,'Données projet'!$E$13+1,1))</f>
        <v>261.93797831021766</v>
      </c>
      <c r="CZ104" s="59">
        <f t="shared" si="96"/>
        <v>256.90876395053073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21.762776661701768</v>
      </c>
      <c r="DG104" s="21">
        <f>EXP(-LN(2)/25)*DG103+(1-EXP(-LN(2)/25))/(LN(2)/25)*Calculateur!DB104*Calculateur!DD104*VLOOKUP('Données projet'!$B$13,Paramètres!$A$1:$I$89,3,0)*0.475*44/12</f>
        <v>20.388239555839981</v>
      </c>
      <c r="DH104" s="21">
        <f>EXP(-LN(2)/2)*DH103+(1-EXP(-LN(2)/2))/(LN(2)/2)*DB104*DE104*VLOOKUP('Données projet'!$B$13,Paramètres!$A$1:$I$89,3,0)*0.475*44/12</f>
        <v>3.1382311586803546E-2</v>
      </c>
      <c r="DI104" s="22">
        <f t="shared" si="69"/>
        <v>42.182398529128555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10.840999999999998</v>
      </c>
      <c r="N105" s="13">
        <f>IF('Données projet'!$A$36&gt;35,N104+M105-V104,IF(A105&lt;'Données projet'!$A$36,$K$205^A105,IF(A105='Données projet'!$A$36,'Données projet'!$B$36,N104+M105-V104)))</f>
        <v>444.31200000000001</v>
      </c>
      <c r="O105" s="13">
        <f>N105*VLOOKUP('Données projet'!$B$9,Paramètres!$A$1:$I$89,3,0)*VLOOKUP('Données projet'!$B$9,Paramètres!$A$1:$I$89,5,0)</f>
        <v>402.01349760000005</v>
      </c>
      <c r="P105" s="13">
        <f t="shared" si="87"/>
        <v>92.18475159332958</v>
      </c>
      <c r="Q105" s="20">
        <f t="shared" si="107"/>
        <v>860.72861734504897</v>
      </c>
      <c r="R105" s="59">
        <f t="shared" si="55"/>
        <v>1154.0619506783823</v>
      </c>
      <c r="S105" s="59">
        <f ca="1">AVERAGE(OFFSET($R$3,0,0,'Données projet'!$E$9+1,1))-AVERAGE(OFFSET($H$3,0,0,'Données projet'!$E$9+1,1))</f>
        <v>695.0879239758051</v>
      </c>
      <c r="T105" s="59">
        <f t="shared" si="88"/>
        <v>226.22150997227476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49.55452842572501</v>
      </c>
      <c r="AA105" s="21">
        <f>EXP(-LN(2)/25)*AA104+(1-EXP(-LN(2)/25))/(LN(2)/25)*Calculateur!V105*Calculateur!X105*VLOOKUP('Données projet'!$B$9,Paramètres!$A$1:$I$89,3,0)*0.475*44/12</f>
        <v>33.075610662297564</v>
      </c>
      <c r="AB105" s="21">
        <f>EXP(-LN(2)/2)*AB104+(1-EXP(-LN(2)/2))/(LN(2)/2)*V105*Y105*VLOOKUP('Données projet'!$B$9,Paramètres!$A$1:$I$89,3,0)*0.475*44/12</f>
        <v>9.6692112936728219E-2</v>
      </c>
      <c r="AC105" s="22">
        <f t="shared" si="57"/>
        <v>82.726831200959296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4.8149999999999977</v>
      </c>
      <c r="AI105" s="13">
        <f>IF('Données projet'!$A$62&gt;35,AI104+AH105-AQ104,IF(A105&lt;'Données projet'!$A$62,$AF$205^A105,IF(A105='Données projet'!$A$62,'Données projet'!$B$62,AI104+AH105-AQ104)))</f>
        <v>175.14500000000007</v>
      </c>
      <c r="AJ105" s="13">
        <f>AI105*VLOOKUP('Données projet'!$B$10,Paramètres!$A$1:$I$89,3,0)*VLOOKUP('Données projet'!$B$10,Paramètres!$A$1:$I$89,5,0)</f>
        <v>147.54214800000008</v>
      </c>
      <c r="AK105" s="13">
        <f t="shared" si="89"/>
        <v>38.019493993011075</v>
      </c>
      <c r="AL105" s="20">
        <f t="shared" si="58"/>
        <v>323.18652647116113</v>
      </c>
      <c r="AM105" s="59">
        <f t="shared" si="59"/>
        <v>616.51985980449444</v>
      </c>
      <c r="AN105" s="59">
        <f ca="1">AVERAGE(OFFSET($AM$3,0,0,'Données projet'!$E$10+1,1))-AVERAGE(OFFSET($H$3,0,0,'Données projet'!$E$10+1,1))</f>
        <v>424.81155998881928</v>
      </c>
      <c r="AO105" s="59">
        <f t="shared" si="90"/>
        <v>277.34430416544575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96.015045599856549</v>
      </c>
      <c r="AV105" s="21">
        <f>EXP(-LN(2)/25)*AV104+(1-EXP(-LN(2)/25))/(LN(2)/25)*Calculateur!AQ105*Calculateur!AS105*VLOOKUP('Données projet'!$B$10,Paramètres!$A$1:$I$89,3,0)*0.475*44/12</f>
        <v>27.130776856496951</v>
      </c>
      <c r="AW105" s="21">
        <f>EXP(-LN(2)/2)*AW104+(1-EXP(-LN(2)/2))/(LN(2)/2)*AQ105*AT105*VLOOKUP('Données projet'!$B$10,Paramètres!$A$1:$I$89,3,0)*0.475*44/12</f>
        <v>5.5010188873939079</v>
      </c>
      <c r="AX105" s="21">
        <f t="shared" si="60"/>
        <v>128.64684134374741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389.6964240000006</v>
      </c>
      <c r="BF105" s="13">
        <f t="shared" si="91"/>
        <v>89.684611271990661</v>
      </c>
      <c r="BG105" s="20">
        <f t="shared" si="61"/>
        <v>834.9219697653848</v>
      </c>
      <c r="BH105" s="59">
        <f t="shared" si="62"/>
        <v>1128.2553030987181</v>
      </c>
      <c r="BI105" s="59">
        <f ca="1">AVERAGE(OFFSET($BH$3,0,0,'Données projet'!$E$11+1,1))-AVERAGE(OFFSET($H$3,0,0,'Données projet'!$E$11+1,1))</f>
        <v>706.69239849991595</v>
      </c>
      <c r="BJ105" s="59">
        <f t="shared" si="92"/>
        <v>310.59887275116529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26.988172565556553</v>
      </c>
      <c r="BQ105" s="21">
        <f>EXP(-LN(2)/25)*BQ104+(1-EXP(-LN(2)/25))/(LN(2)/25)*Calculateur!BL105*Calculateur!BN105*VLOOKUP('Données projet'!$B$11,Paramètres!$A$1:$I$89,3,0)*0.475*44/12</f>
        <v>25.304855560874895</v>
      </c>
      <c r="BR105" s="21">
        <f>EXP(-LN(2)/2)*BR104+(1-EXP(-LN(2)/2))/(LN(2)/2)*BL105*BO105*VLOOKUP('Données projet'!$B$11,Paramètres!$A$1:$I$89,3,0)*0.475*44/12</f>
        <v>0.4155097307568687</v>
      </c>
      <c r="BS105" s="22">
        <f t="shared" si="63"/>
        <v>52.708537857188318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8.9989999999999952</v>
      </c>
      <c r="BY105" s="12">
        <f>IF('Données projet'!$A$114&gt;35,BY104+BX105-CG104,IF(A105&lt;'Données projet'!$A$114,$BV$205^A105,IF(A105='Données projet'!$A$114,'Données projet'!$B$114,BY104+BX105-CG104)))</f>
        <v>362.40100000000007</v>
      </c>
      <c r="BZ105" s="13">
        <f>BY105*VLOOKUP('Données projet'!$B$12,Paramètres!$A$1:$I$89,3,0)*VLOOKUP('Données projet'!$B$12,Paramètres!$A$1:$I$89,5,0)</f>
        <v>344.86079160000008</v>
      </c>
      <c r="CA105" s="13">
        <f t="shared" si="93"/>
        <v>80.503385547683365</v>
      </c>
      <c r="CB105" s="20">
        <f t="shared" si="64"/>
        <v>740.84260853221531</v>
      </c>
      <c r="CC105" s="59">
        <f t="shared" si="65"/>
        <v>1034.1759418655486</v>
      </c>
      <c r="CD105" s="59">
        <f ca="1">AVERAGE(OFFSET($CC$3,0,0,'Données projet'!$E$12+1,1))-AVERAGE(OFFSET($H$3,0,0,'Données projet'!$E$12+1,1))</f>
        <v>449.28947235329758</v>
      </c>
      <c r="CE105" s="59">
        <f t="shared" si="94"/>
        <v>289.36994109443964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31.039129162648869</v>
      </c>
      <c r="CL105" s="21">
        <f>EXP(-LN(2)/25)*CL104+(1-EXP(-LN(2)/25))/(LN(2)/25)*Calculateur!CG105*Calculateur!CI105*VLOOKUP('Données projet'!$B$12,Paramètres!$A$1:$I$89,3,0)*0.475*44/12</f>
        <v>20.316664735887251</v>
      </c>
      <c r="CM105" s="21">
        <f>EXP(-LN(2)/2)*CM104+(1-EXP(-LN(2)/2))/(LN(2)/2)*CG105*CJ105*VLOOKUP('Données projet'!$B$12,Paramètres!$A$1:$I$89,3,0)*0.475*44/12</f>
        <v>6.5568488493574972E-3</v>
      </c>
      <c r="CN105" s="22">
        <f t="shared" si="66"/>
        <v>51.362350747385477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2.8421709430404007E-14</v>
      </c>
      <c r="CU105" s="17">
        <f>CT105*VLOOKUP('Données projet'!$B$13,Paramètres!$A$1:$I$89,3,0)*VLOOKUP('Données projet'!$B$13,Paramètres!$A$1:$I$89,5,0)</f>
        <v>2.4829205358400945E-14</v>
      </c>
      <c r="CV105" s="13">
        <f t="shared" si="95"/>
        <v>4.3867331143352915E-13</v>
      </c>
      <c r="CW105" s="20">
        <f t="shared" si="67"/>
        <v>8.0726688341261168E-13</v>
      </c>
      <c r="CX105" s="59">
        <f t="shared" si="68"/>
        <v>293.33333333333411</v>
      </c>
      <c r="CY105" s="59">
        <f ca="1">AVERAGE(OFFSET($CX$3,0,0,'Données projet'!$E$13+1,1))-AVERAGE(OFFSET($H$3,0,0,'Données projet'!$E$13+1,1))</f>
        <v>261.93797831021766</v>
      </c>
      <c r="CZ105" s="59">
        <f t="shared" si="96"/>
        <v>256.90876395053073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21.336021885348863</v>
      </c>
      <c r="DG105" s="21">
        <f>EXP(-LN(2)/25)*DG104+(1-EXP(-LN(2)/25))/(LN(2)/25)*Calculateur!DB105*Calculateur!DD105*VLOOKUP('Données projet'!$B$13,Paramètres!$A$1:$I$89,3,0)*0.475*44/12</f>
        <v>19.830722073014616</v>
      </c>
      <c r="DH105" s="21">
        <f>EXP(-LN(2)/2)*DH104+(1-EXP(-LN(2)/2))/(LN(2)/2)*DB105*DE105*VLOOKUP('Données projet'!$B$13,Paramètres!$A$1:$I$89,3,0)*0.475*44/12</f>
        <v>2.2190645332337951E-2</v>
      </c>
      <c r="DI105" s="22">
        <f t="shared" si="69"/>
        <v>41.18893460369582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10.840999999999998</v>
      </c>
      <c r="N106" s="13">
        <f>IF('Données projet'!$A$36&gt;35,N105+M106-V105,IF(A106&lt;'Données projet'!$A$36,$K$205^A106,IF(A106='Données projet'!$A$36,'Données projet'!$B$36,N105+M106-V105)))</f>
        <v>455.15300000000002</v>
      </c>
      <c r="O106" s="13">
        <f>N106*VLOOKUP('Données projet'!$B$9,Paramètres!$A$1:$I$89,3,0)*VLOOKUP('Données projet'!$B$9,Paramètres!$A$1:$I$89,5,0)</f>
        <v>411.82243440000002</v>
      </c>
      <c r="P106" s="13">
        <f t="shared" si="87"/>
        <v>94.169404094334013</v>
      </c>
      <c r="Q106" s="20">
        <f t="shared" si="107"/>
        <v>881.26911871096502</v>
      </c>
      <c r="R106" s="59">
        <f t="shared" si="55"/>
        <v>1174.6024520442984</v>
      </c>
      <c r="S106" s="59">
        <f ca="1">AVERAGE(OFFSET($R$3,0,0,'Données projet'!$E$9+1,1))-AVERAGE(OFFSET($H$3,0,0,'Données projet'!$E$9+1,1))</f>
        <v>695.0879239758051</v>
      </c>
      <c r="T106" s="59">
        <f t="shared" si="88"/>
        <v>226.22150997227476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48.582794348574382</v>
      </c>
      <c r="AA106" s="21">
        <f>EXP(-LN(2)/25)*AA105+(1-EXP(-LN(2)/25))/(LN(2)/25)*Calculateur!V106*Calculateur!X106*VLOOKUP('Données projet'!$B$9,Paramètres!$A$1:$I$89,3,0)*0.475*44/12</f>
        <v>32.171156349366271</v>
      </c>
      <c r="AB106" s="21">
        <f>EXP(-LN(2)/2)*AB105+(1-EXP(-LN(2)/2))/(LN(2)/2)*V106*Y106*VLOOKUP('Données projet'!$B$9,Paramètres!$A$1:$I$89,3,0)*0.475*44/12</f>
        <v>6.8371648744816022E-2</v>
      </c>
      <c r="AC106" s="22">
        <f t="shared" si="57"/>
        <v>80.822322346685468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179.96</v>
      </c>
      <c r="AG106" s="12">
        <f>VLOOKUP(A106,'Données projet'!$A$61:$I$81,9,0)</f>
        <v>4.8149999999999977</v>
      </c>
      <c r="AH106" s="12">
        <f t="array" ref="AH106">INDEX(AG:AG,MIN(IF(ISNUMBER(AG106:AG302),ROW(AG106:AG302),"")))</f>
        <v>4.8149999999999977</v>
      </c>
      <c r="AI106" s="13">
        <f>IF('Données projet'!$A$62&gt;35,AI105+AH106-AQ105,IF(A106&lt;'Données projet'!$A$62,$AF$205^A106,IF(A106='Données projet'!$A$62,'Données projet'!$B$62,AI105+AH106-AQ105)))</f>
        <v>179.96000000000006</v>
      </c>
      <c r="AJ106" s="13">
        <f>AI106*VLOOKUP('Données projet'!$B$10,Paramètres!$A$1:$I$89,3,0)*VLOOKUP('Données projet'!$B$10,Paramètres!$A$1:$I$89,5,0)</f>
        <v>151.59830400000007</v>
      </c>
      <c r="AK106" s="13">
        <f t="shared" si="89"/>
        <v>38.941581580147371</v>
      </c>
      <c r="AL106" s="20">
        <f t="shared" si="58"/>
        <v>331.85696738542345</v>
      </c>
      <c r="AM106" s="59">
        <f t="shared" si="59"/>
        <v>625.19030071875682</v>
      </c>
      <c r="AN106" s="59">
        <f ca="1">AVERAGE(OFFSET($AM$3,0,0,'Données projet'!$E$10+1,1))-AVERAGE(OFFSET($H$3,0,0,'Données projet'!$E$10+1,1))</f>
        <v>424.81155998881928</v>
      </c>
      <c r="AO106" s="59">
        <f t="shared" si="90"/>
        <v>277.34430416544575</v>
      </c>
      <c r="AP106" s="15">
        <f>IF(ISNA(VLOOKUP(A106,'Données projet'!$A$61:$I$81,3,0)),0,VLOOKUP(A106,'Données projet'!$A$61:$I$81,3,0))</f>
        <v>12</v>
      </c>
      <c r="AQ106" s="15">
        <f>IF(ISNA(VLOOKUP(A106,'Données projet'!$A$61:$I$81,4,0)),0,VLOOKUP(A106,'Données projet'!$A$61:$I$81,4,0))</f>
        <v>58.600000000000009</v>
      </c>
      <c r="AR106" s="16">
        <f>IF(ISNA(VLOOKUP(A106,'Données projet'!$A$61:$I$81,5,0)),0%,VLOOKUP(A106,'Données projet'!$A$61:$I$81,5,0)*VLOOKUP('Données projet'!$B$10,Paramètres!$A$1:$I$89,7,0))</f>
        <v>0.19350000000000001</v>
      </c>
      <c r="AS106" s="16">
        <f>IF(ISNA(VLOOKUP(A106,'Données projet'!$A$61:$I$81,6,0)),0%,VLOOKUP(A106,'Données projet'!$A$61:$I$81,6,0)*VLOOKUP('Données projet'!$B$10,Paramètres!$A$1:$I$89,7,0))</f>
        <v>2.1500000000000002E-2</v>
      </c>
      <c r="AT106" s="16">
        <f>IF(ISNA(VLOOKUP(A106,'Données projet'!$A$61:$I$81,7,0)),0%,VLOOKUP(A106,'Données projet'!$A$61:$I$81,7,0))</f>
        <v>0.05</v>
      </c>
      <c r="AU106" s="21">
        <f>EXP(-LN(2)/35)*AU105+(1-EXP(-LN(2)/35))/(LN(2)/35)*AQ106*AR106*VLOOKUP('Données projet'!$B$10,Paramètres!$A$1:$I$89,3,0)*0.475*44/12</f>
        <v>104.69176612474402</v>
      </c>
      <c r="AV106" s="21">
        <f>EXP(-LN(2)/25)*AV105+(1-EXP(-LN(2)/25))/(LN(2)/25)*Calculateur!AQ106*Calculateur!AS106*VLOOKUP('Données projet'!$B$10,Paramètres!$A$1:$I$89,3,0)*0.475*44/12</f>
        <v>27.557544354806343</v>
      </c>
      <c r="AW106" s="21">
        <f>EXP(-LN(2)/2)*AW105+(1-EXP(-LN(2)/2))/(LN(2)/2)*AQ106*AT106*VLOOKUP('Données projet'!$B$10,Paramètres!$A$1:$I$89,3,0)*0.475*44/12</f>
        <v>6.2186510822017969</v>
      </c>
      <c r="AX106" s="21">
        <f t="shared" si="60"/>
        <v>138.46796156175216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398.76361200000059</v>
      </c>
      <c r="BF106" s="13">
        <f t="shared" si="91"/>
        <v>91.525961384445637</v>
      </c>
      <c r="BG106" s="20">
        <f t="shared" si="61"/>
        <v>853.92100697791045</v>
      </c>
      <c r="BH106" s="59">
        <f t="shared" si="62"/>
        <v>1147.2543403112438</v>
      </c>
      <c r="BI106" s="59">
        <f ca="1">AVERAGE(OFFSET($BH$3,0,0,'Données projet'!$E$11+1,1))-AVERAGE(OFFSET($H$3,0,0,'Données projet'!$E$11+1,1))</f>
        <v>706.69239849991595</v>
      </c>
      <c r="BJ106" s="59">
        <f t="shared" si="92"/>
        <v>310.59887275116529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26.458950962705849</v>
      </c>
      <c r="BQ106" s="21">
        <f>EXP(-LN(2)/25)*BQ105+(1-EXP(-LN(2)/25))/(LN(2)/25)*Calculateur!BL106*Calculateur!BN106*VLOOKUP('Données projet'!$B$11,Paramètres!$A$1:$I$89,3,0)*0.475*44/12</f>
        <v>24.612892954838252</v>
      </c>
      <c r="BR106" s="21">
        <f>EXP(-LN(2)/2)*BR105+(1-EXP(-LN(2)/2))/(LN(2)/2)*BL106*BO106*VLOOKUP('Données projet'!$B$11,Paramètres!$A$1:$I$89,3,0)*0.475*44/12</f>
        <v>0.29380974826717843</v>
      </c>
      <c r="BS106" s="22">
        <f t="shared" si="63"/>
        <v>51.36565366581128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371.4</v>
      </c>
      <c r="BW106" s="12">
        <f>VLOOKUP(A106,'Données projet'!$A$113:$I$133,9,0)</f>
        <v>8.9989999999999952</v>
      </c>
      <c r="BX106" s="12">
        <f t="array" ref="BX106">INDEX(BW:BW,MIN(IF(ISNUMBER(BW106:BW302),ROW(BW106:BW302),"")))</f>
        <v>8.9989999999999952</v>
      </c>
      <c r="BY106" s="12">
        <f>IF('Données projet'!$A$114&gt;35,BY105+BX106-CG105,IF(A106&lt;'Données projet'!$A$114,$BV$205^A106,IF(A106='Données projet'!$A$114,'Données projet'!$B$114,BY105+BX106-CG105)))</f>
        <v>371.40000000000009</v>
      </c>
      <c r="BZ106" s="13">
        <f>BY106*VLOOKUP('Données projet'!$B$12,Paramètres!$A$1:$I$89,3,0)*VLOOKUP('Données projet'!$B$12,Paramètres!$A$1:$I$89,5,0)</f>
        <v>353.42424000000011</v>
      </c>
      <c r="CA106" s="13">
        <f t="shared" si="93"/>
        <v>82.267197792875848</v>
      </c>
      <c r="CB106" s="20">
        <f t="shared" si="64"/>
        <v>758.82925415592547</v>
      </c>
      <c r="CC106" s="59">
        <f t="shared" si="65"/>
        <v>1052.1625874892588</v>
      </c>
      <c r="CD106" s="59">
        <f ca="1">AVERAGE(OFFSET($CC$3,0,0,'Données projet'!$E$12+1,1))-AVERAGE(OFFSET($H$3,0,0,'Données projet'!$E$12+1,1))</f>
        <v>449.28947235329758</v>
      </c>
      <c r="CE106" s="59">
        <f t="shared" si="94"/>
        <v>289.36994109443964</v>
      </c>
      <c r="CF106" s="15">
        <f>IF(ISNA(VLOOKUP(A106,'Données projet'!$A$113:$I$133,3,0)),0,VLOOKUP(A106,'Données projet'!$A$113:$I$133,3,0))</f>
        <v>9</v>
      </c>
      <c r="CG106" s="15">
        <f>IF(ISNA(VLOOKUP(A106,'Données projet'!$A$113:$I$133,4,0)),0,VLOOKUP(A106,'Données projet'!$A$113:$I$133,4,0))</f>
        <v>67.759999999999991</v>
      </c>
      <c r="CH106" s="16">
        <f>IF(ISNA(VLOOKUP(A106,'Données projet'!$A$113:$I$133,5,0)),0%,VLOOKUP(A106,'Données projet'!$A$113:$I$133,5,0)*VLOOKUP('Données projet'!$B$12,Paramètres!$A$1:$I$89,7,0))</f>
        <v>0.215</v>
      </c>
      <c r="CI106" s="16">
        <f>IF(ISNA(VLOOKUP(A106,'Données projet'!$A$113:$I$133,6,0)),0%,VLOOKUP(A106,'Données projet'!$A$113:$I$133,6,0)*VLOOKUP('Données projet'!$B$12,Paramètres!$A$1:$I$89,7,0))</f>
        <v>8.6000000000000007E-2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45.755926610580673</v>
      </c>
      <c r="CL106" s="21">
        <f>EXP(-LN(2)/25)*CL105+(1-EXP(-LN(2)/25))/(LN(2)/25)*Calculateur!CG106*Calculateur!CI106*VLOOKUP('Données projet'!$B$12,Paramètres!$A$1:$I$89,3,0)*0.475*44/12</f>
        <v>25.867149942164669</v>
      </c>
      <c r="CM106" s="21">
        <f>EXP(-LN(2)/2)*CM105+(1-EXP(-LN(2)/2))/(LN(2)/2)*CG106*CJ106*VLOOKUP('Données projet'!$B$12,Paramètres!$A$1:$I$89,3,0)*0.475*44/12</f>
        <v>4.6363922845958977E-3</v>
      </c>
      <c r="CN106" s="22">
        <f t="shared" si="66"/>
        <v>71.627712945029941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2.8421709430404007E-14</v>
      </c>
      <c r="CU106" s="17">
        <f>CT106*VLOOKUP('Données projet'!$B$13,Paramètres!$A$1:$I$89,3,0)*VLOOKUP('Données projet'!$B$13,Paramètres!$A$1:$I$89,5,0)</f>
        <v>2.4829205358400945E-14</v>
      </c>
      <c r="CV106" s="13">
        <f t="shared" si="95"/>
        <v>4.3867331143352915E-13</v>
      </c>
      <c r="CW106" s="20">
        <f t="shared" si="67"/>
        <v>8.0726688341261168E-13</v>
      </c>
      <c r="CX106" s="59">
        <f t="shared" si="68"/>
        <v>293.33333333333411</v>
      </c>
      <c r="CY106" s="59">
        <f ca="1">AVERAGE(OFFSET($CX$3,0,0,'Données projet'!$E$13+1,1))-AVERAGE(OFFSET($H$3,0,0,'Données projet'!$E$13+1,1))</f>
        <v>261.93797831021766</v>
      </c>
      <c r="CZ106" s="59">
        <f t="shared" si="96"/>
        <v>256.90876395053073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20.917635509865526</v>
      </c>
      <c r="DG106" s="21">
        <f>EXP(-LN(2)/25)*DG105+(1-EXP(-LN(2)/25))/(LN(2)/25)*Calculateur!DB106*Calculateur!DD106*VLOOKUP('Données projet'!$B$13,Paramètres!$A$1:$I$89,3,0)*0.475*44/12</f>
        <v>19.288449935075683</v>
      </c>
      <c r="DH106" s="21">
        <f>EXP(-LN(2)/2)*DH105+(1-EXP(-LN(2)/2))/(LN(2)/2)*DB106*DE106*VLOOKUP('Données projet'!$B$13,Paramètres!$A$1:$I$89,3,0)*0.475*44/12</f>
        <v>1.5691155793401773E-2</v>
      </c>
      <c r="DI106" s="22">
        <f t="shared" si="69"/>
        <v>40.221776600734614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10.840999999999998</v>
      </c>
      <c r="N107" s="13">
        <f>IF('Données projet'!$A$36&gt;35,N106+M107-V106,IF(A107&lt;'Données projet'!$A$36,$K$205^A107,IF(A107='Données projet'!$A$36,'Données projet'!$B$36,N106+M107-V106)))</f>
        <v>465.99400000000003</v>
      </c>
      <c r="O107" s="13">
        <f>N107*VLOOKUP('Données projet'!$B$9,Paramètres!$A$1:$I$89,3,0)*VLOOKUP('Données projet'!$B$9,Paramètres!$A$1:$I$89,5,0)</f>
        <v>421.63137120000005</v>
      </c>
      <c r="P107" s="13">
        <f t="shared" si="87"/>
        <v>96.148561301747847</v>
      </c>
      <c r="Q107" s="20">
        <f t="shared" si="107"/>
        <v>901.80004910721084</v>
      </c>
      <c r="R107" s="59">
        <f t="shared" si="55"/>
        <v>1195.1333824405442</v>
      </c>
      <c r="S107" s="59">
        <f ca="1">AVERAGE(OFFSET($R$3,0,0,'Données projet'!$E$9+1,1))-AVERAGE(OFFSET($H$3,0,0,'Données projet'!$E$9+1,1))</f>
        <v>695.0879239758051</v>
      </c>
      <c r="T107" s="59">
        <f t="shared" si="88"/>
        <v>226.22150997227476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47.630115383977419</v>
      </c>
      <c r="AA107" s="21">
        <f>EXP(-LN(2)/25)*AA106+(1-EXP(-LN(2)/25))/(LN(2)/25)*Calculateur!V107*Calculateur!X107*VLOOKUP('Données projet'!$B$9,Paramètres!$A$1:$I$89,3,0)*0.475*44/12</f>
        <v>31.291434387185266</v>
      </c>
      <c r="AB107" s="21">
        <f>EXP(-LN(2)/2)*AB106+(1-EXP(-LN(2)/2))/(LN(2)/2)*V107*Y107*VLOOKUP('Données projet'!$B$9,Paramètres!$A$1:$I$89,3,0)*0.475*44/12</f>
        <v>4.834605646836411E-2</v>
      </c>
      <c r="AC107" s="22">
        <f t="shared" si="57"/>
        <v>78.969895827631049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3.3666666666666694</v>
      </c>
      <c r="AI107" s="13">
        <f>IF('Données projet'!$A$62&gt;35,AI106+AH107-AQ106,IF(A107&lt;'Données projet'!$A$62,$AF$205^A107,IF(A107='Données projet'!$A$62,'Données projet'!$B$62,AI106+AH107-AQ106)))</f>
        <v>124.72666666666673</v>
      </c>
      <c r="AJ107" s="13">
        <f>AI107*VLOOKUP('Données projet'!$B$10,Paramètres!$A$1:$I$89,3,0)*VLOOKUP('Données projet'!$B$10,Paramètres!$A$1:$I$89,5,0)</f>
        <v>105.06974400000007</v>
      </c>
      <c r="AK107" s="13">
        <f t="shared" si="89"/>
        <v>28.166295917869327</v>
      </c>
      <c r="AL107" s="20">
        <f t="shared" si="58"/>
        <v>232.05276952362252</v>
      </c>
      <c r="AM107" s="59">
        <f t="shared" si="59"/>
        <v>525.38610285695586</v>
      </c>
      <c r="AN107" s="59">
        <f ca="1">AVERAGE(OFFSET($AM$3,0,0,'Données projet'!$E$10+1,1))-AVERAGE(OFFSET($H$3,0,0,'Données projet'!$E$10+1,1))</f>
        <v>424.81155998881928</v>
      </c>
      <c r="AO107" s="59">
        <f t="shared" si="90"/>
        <v>277.34430416544575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102.6388244467099</v>
      </c>
      <c r="AV107" s="21">
        <f>EXP(-LN(2)/25)*AV106+(1-EXP(-LN(2)/25))/(LN(2)/25)*Calculateur!AQ107*Calculateur!AS107*VLOOKUP('Données projet'!$B$10,Paramètres!$A$1:$I$89,3,0)*0.475*44/12</f>
        <v>26.803981855235889</v>
      </c>
      <c r="AW107" s="21">
        <f>EXP(-LN(2)/2)*AW106+(1-EXP(-LN(2)/2))/(LN(2)/2)*AQ107*AT107*VLOOKUP('Données projet'!$B$10,Paramètres!$A$1:$I$89,3,0)*0.475*44/12</f>
        <v>4.397250350057953</v>
      </c>
      <c r="AX107" s="21">
        <f t="shared" si="60"/>
        <v>133.84005665200374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407.83080000000058</v>
      </c>
      <c r="BF107" s="13">
        <f t="shared" si="91"/>
        <v>93.362443935880506</v>
      </c>
      <c r="BG107" s="20">
        <f t="shared" si="61"/>
        <v>872.91156652165955</v>
      </c>
      <c r="BH107" s="59">
        <f t="shared" si="62"/>
        <v>1166.2448998549928</v>
      </c>
      <c r="BI107" s="59">
        <f ca="1">AVERAGE(OFFSET($BH$3,0,0,'Données projet'!$E$11+1,1))-AVERAGE(OFFSET($H$3,0,0,'Données projet'!$E$11+1,1))</f>
        <v>706.69239849991595</v>
      </c>
      <c r="BJ107" s="59">
        <f t="shared" si="92"/>
        <v>310.59887275116529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37.089656501151985</v>
      </c>
      <c r="BQ107" s="21">
        <f>EXP(-LN(2)/25)*BQ106+(1-EXP(-LN(2)/25))/(LN(2)/25)*Calculateur!BL107*Calculateur!BN107*VLOOKUP('Données projet'!$B$11,Paramètres!$A$1:$I$89,3,0)*0.475*44/12</f>
        <v>30.285937476393563</v>
      </c>
      <c r="BR107" s="21">
        <f>EXP(-LN(2)/2)*BR106+(1-EXP(-LN(2)/2))/(LN(2)/2)*BL107*BO107*VLOOKUP('Données projet'!$B$11,Paramètres!$A$1:$I$89,3,0)*0.475*44/12</f>
        <v>6.5308250153062213</v>
      </c>
      <c r="BS107" s="22">
        <f t="shared" si="63"/>
        <v>73.906418992851769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8.7540000000000013</v>
      </c>
      <c r="BY107" s="12">
        <f>IF('Données projet'!$A$114&gt;35,BY106+BX107-CG106,IF(A107&lt;'Données projet'!$A$114,$BV$205^A107,IF(A107='Données projet'!$A$114,'Données projet'!$B$114,BY106+BX107-CG106)))</f>
        <v>312.39400000000012</v>
      </c>
      <c r="BZ107" s="13">
        <f>BY107*VLOOKUP('Données projet'!$B$12,Paramètres!$A$1:$I$89,3,0)*VLOOKUP('Données projet'!$B$12,Paramètres!$A$1:$I$89,5,0)</f>
        <v>297.27413040000016</v>
      </c>
      <c r="CA107" s="13">
        <f t="shared" si="93"/>
        <v>70.604713287138281</v>
      </c>
      <c r="CB107" s="20">
        <f t="shared" si="64"/>
        <v>640.72231942176609</v>
      </c>
      <c r="CC107" s="59">
        <f t="shared" si="65"/>
        <v>934.05565275509935</v>
      </c>
      <c r="CD107" s="59">
        <f ca="1">AVERAGE(OFFSET($CC$3,0,0,'Données projet'!$E$12+1,1))-AVERAGE(OFFSET($H$3,0,0,'Données projet'!$E$12+1,1))</f>
        <v>449.28947235329758</v>
      </c>
      <c r="CE107" s="59">
        <f t="shared" si="94"/>
        <v>289.36994109443964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44.858680798106697</v>
      </c>
      <c r="CL107" s="21">
        <f>EXP(-LN(2)/25)*CL106+(1-EXP(-LN(2)/25))/(LN(2)/25)*Calculateur!CG107*Calculateur!CI107*VLOOKUP('Données projet'!$B$12,Paramètres!$A$1:$I$89,3,0)*0.475*44/12</f>
        <v>25.159811366701881</v>
      </c>
      <c r="CM107" s="21">
        <f>EXP(-LN(2)/2)*CM106+(1-EXP(-LN(2)/2))/(LN(2)/2)*CG107*CJ107*VLOOKUP('Données projet'!$B$12,Paramètres!$A$1:$I$89,3,0)*0.475*44/12</f>
        <v>3.2784244246787486E-3</v>
      </c>
      <c r="CN107" s="22">
        <f t="shared" si="66"/>
        <v>70.021770589233256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2.8421709430404007E-14</v>
      </c>
      <c r="CU107" s="17">
        <f>CT107*VLOOKUP('Données projet'!$B$13,Paramètres!$A$1:$I$89,3,0)*VLOOKUP('Données projet'!$B$13,Paramètres!$A$1:$I$89,5,0)</f>
        <v>2.4829205358400945E-14</v>
      </c>
      <c r="CV107" s="13">
        <f t="shared" si="95"/>
        <v>4.3867331143352915E-13</v>
      </c>
      <c r="CW107" s="20">
        <f t="shared" si="67"/>
        <v>8.0726688341261168E-13</v>
      </c>
      <c r="CX107" s="59">
        <f t="shared" si="68"/>
        <v>293.33333333333411</v>
      </c>
      <c r="CY107" s="59">
        <f ca="1">AVERAGE(OFFSET($CX$3,0,0,'Données projet'!$E$13+1,1))-AVERAGE(OFFSET($H$3,0,0,'Données projet'!$E$13+1,1))</f>
        <v>261.93797831021766</v>
      </c>
      <c r="CZ107" s="59">
        <f t="shared" si="96"/>
        <v>256.90876395053073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20.507453436014927</v>
      </c>
      <c r="DG107" s="21">
        <f>EXP(-LN(2)/25)*DG106+(1-EXP(-LN(2)/25))/(LN(2)/25)*Calculateur!DB107*Calculateur!DD107*VLOOKUP('Données projet'!$B$13,Paramètres!$A$1:$I$89,3,0)*0.475*44/12</f>
        <v>18.761006257265539</v>
      </c>
      <c r="DH107" s="21">
        <f>EXP(-LN(2)/2)*DH106+(1-EXP(-LN(2)/2))/(LN(2)/2)*DB107*DE107*VLOOKUP('Données projet'!$B$13,Paramètres!$A$1:$I$89,3,0)*0.475*44/12</f>
        <v>1.1095322666168975E-2</v>
      </c>
      <c r="DI107" s="22">
        <f t="shared" si="69"/>
        <v>39.279555015946634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10.840999999999998</v>
      </c>
      <c r="N108" s="13">
        <f>IF('Données projet'!$A$36&gt;35,N107+M108-V107,IF(A108&lt;'Données projet'!$A$36,$K$205^A108,IF(A108='Données projet'!$A$36,'Données projet'!$B$36,N107+M108-V107)))</f>
        <v>476.83500000000004</v>
      </c>
      <c r="O108" s="13">
        <f>N108*VLOOKUP('Données projet'!$B$9,Paramètres!$A$1:$I$89,3,0)*VLOOKUP('Données projet'!$B$9,Paramètres!$A$1:$I$89,5,0)</f>
        <v>431.44030800000002</v>
      </c>
      <c r="P108" s="13">
        <f t="shared" si="87"/>
        <v>98.122365773392104</v>
      </c>
      <c r="Q108" s="20">
        <f t="shared" si="107"/>
        <v>922.32165682199127</v>
      </c>
      <c r="R108" s="59">
        <f t="shared" si="55"/>
        <v>1215.6549901553246</v>
      </c>
      <c r="S108" s="59">
        <f ca="1">AVERAGE(OFFSET($R$3,0,0,'Données projet'!$E$9+1,1))-AVERAGE(OFFSET($H$3,0,0,'Données projet'!$E$9+1,1))</f>
        <v>695.0879239758051</v>
      </c>
      <c r="T108" s="59">
        <f t="shared" si="88"/>
        <v>226.22150997227476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46.696117872799405</v>
      </c>
      <c r="AA108" s="21">
        <f>EXP(-LN(2)/25)*AA107+(1-EXP(-LN(2)/25))/(LN(2)/25)*Calculateur!V108*Calculateur!X108*VLOOKUP('Données projet'!$B$9,Paramètres!$A$1:$I$89,3,0)*0.475*44/12</f>
        <v>30.435768468322667</v>
      </c>
      <c r="AB108" s="21">
        <f>EXP(-LN(2)/2)*AB107+(1-EXP(-LN(2)/2))/(LN(2)/2)*V108*Y108*VLOOKUP('Données projet'!$B$9,Paramètres!$A$1:$I$89,3,0)*0.475*44/12</f>
        <v>3.4185824372408011E-2</v>
      </c>
      <c r="AC108" s="22">
        <f t="shared" si="57"/>
        <v>77.166072165494484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3.3666666666666694</v>
      </c>
      <c r="AI108" s="13">
        <f>IF('Données projet'!$A$62&gt;35,AI107+AH108-AQ107,IF(A108&lt;'Données projet'!$A$62,$AF$205^A108,IF(A108='Données projet'!$A$62,'Données projet'!$B$62,AI107+AH108-AQ107)))</f>
        <v>128.09333333333339</v>
      </c>
      <c r="AJ108" s="13">
        <f>AI108*VLOOKUP('Données projet'!$B$10,Paramètres!$A$1:$I$89,3,0)*VLOOKUP('Données projet'!$B$10,Paramètres!$A$1:$I$89,5,0)</f>
        <v>107.90582400000005</v>
      </c>
      <c r="AK108" s="13">
        <f t="shared" si="89"/>
        <v>28.837029763814225</v>
      </c>
      <c r="AL108" s="20">
        <f t="shared" si="58"/>
        <v>238.1604703053099</v>
      </c>
      <c r="AM108" s="59">
        <f t="shared" si="59"/>
        <v>531.49380363864316</v>
      </c>
      <c r="AN108" s="59">
        <f ca="1">AVERAGE(OFFSET($AM$3,0,0,'Données projet'!$E$10+1,1))-AVERAGE(OFFSET($H$3,0,0,'Données projet'!$E$10+1,1))</f>
        <v>424.81155998881928</v>
      </c>
      <c r="AO108" s="59">
        <f t="shared" si="90"/>
        <v>277.34430416544575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100.62613970281126</v>
      </c>
      <c r="AV108" s="21">
        <f>EXP(-LN(2)/25)*AV107+(1-EXP(-LN(2)/25))/(LN(2)/25)*Calculateur!AQ108*Calculateur!AS108*VLOOKUP('Données projet'!$B$10,Paramètres!$A$1:$I$89,3,0)*0.475*44/12</f>
        <v>26.071025561844319</v>
      </c>
      <c r="AW108" s="21">
        <f>EXP(-LN(2)/2)*AW107+(1-EXP(-LN(2)/2))/(LN(2)/2)*AQ108*AT108*VLOOKUP('Données projet'!$B$10,Paramètres!$A$1:$I$89,3,0)*0.475*44/12</f>
        <v>3.1093255411008989</v>
      </c>
      <c r="AX108" s="21">
        <f t="shared" si="60"/>
        <v>129.80649080575648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349.78437000000059</v>
      </c>
      <c r="BF108" s="13">
        <f t="shared" si="91"/>
        <v>81.518109189230415</v>
      </c>
      <c r="BG108" s="20">
        <f t="shared" si="61"/>
        <v>751.18515125457725</v>
      </c>
      <c r="BH108" s="59">
        <f t="shared" si="62"/>
        <v>1044.5184845879105</v>
      </c>
      <c r="BI108" s="59">
        <f ca="1">AVERAGE(OFFSET($BH$3,0,0,'Données projet'!$E$11+1,1))-AVERAGE(OFFSET($H$3,0,0,'Données projet'!$E$11+1,1))</f>
        <v>706.69239849991595</v>
      </c>
      <c r="BJ108" s="59">
        <f t="shared" si="92"/>
        <v>310.59887275116529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36.362350959621075</v>
      </c>
      <c r="BQ108" s="21">
        <f>EXP(-LN(2)/25)*BQ107+(1-EXP(-LN(2)/25))/(LN(2)/25)*Calculateur!BL108*Calculateur!BN108*VLOOKUP('Données projet'!$B$11,Paramètres!$A$1:$I$89,3,0)*0.475*44/12</f>
        <v>29.457766923433351</v>
      </c>
      <c r="BR108" s="21">
        <f>EXP(-LN(2)/2)*BR107+(1-EXP(-LN(2)/2))/(LN(2)/2)*BL108*BO108*VLOOKUP('Données projet'!$B$11,Paramètres!$A$1:$I$89,3,0)*0.475*44/12</f>
        <v>4.6179906550657677</v>
      </c>
      <c r="BS108" s="22">
        <f t="shared" si="63"/>
        <v>70.43810853812019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8.7540000000000013</v>
      </c>
      <c r="BY108" s="12">
        <f>IF('Données projet'!$A$114&gt;35,BY107+BX108-CG107,IF(A108&lt;'Données projet'!$A$114,$BV$205^A108,IF(A108='Données projet'!$A$114,'Données projet'!$B$114,BY107+BX108-CG107)))</f>
        <v>321.14800000000014</v>
      </c>
      <c r="BZ108" s="13">
        <f>BY108*VLOOKUP('Données projet'!$B$12,Paramètres!$A$1:$I$89,3,0)*VLOOKUP('Données projet'!$B$12,Paramètres!$A$1:$I$89,5,0)</f>
        <v>305.60443680000009</v>
      </c>
      <c r="CA108" s="13">
        <f t="shared" si="93"/>
        <v>72.350100063341856</v>
      </c>
      <c r="CB108" s="20">
        <f t="shared" si="64"/>
        <v>658.27081837032063</v>
      </c>
      <c r="CC108" s="59">
        <f t="shared" si="65"/>
        <v>951.604151703654</v>
      </c>
      <c r="CD108" s="59">
        <f ca="1">AVERAGE(OFFSET($CC$3,0,0,'Données projet'!$E$12+1,1))-AVERAGE(OFFSET($H$3,0,0,'Données projet'!$E$12+1,1))</f>
        <v>449.28947235329758</v>
      </c>
      <c r="CE108" s="59">
        <f t="shared" si="94"/>
        <v>289.36994109443964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43.979029428749428</v>
      </c>
      <c r="CL108" s="21">
        <f>EXP(-LN(2)/25)*CL107+(1-EXP(-LN(2)/25))/(LN(2)/25)*Calculateur!CG108*Calculateur!CI108*VLOOKUP('Données projet'!$B$12,Paramètres!$A$1:$I$89,3,0)*0.475*44/12</f>
        <v>24.471815001782442</v>
      </c>
      <c r="CM108" s="21">
        <f>EXP(-LN(2)/2)*CM107+(1-EXP(-LN(2)/2))/(LN(2)/2)*CG108*CJ108*VLOOKUP('Données projet'!$B$12,Paramètres!$A$1:$I$89,3,0)*0.475*44/12</f>
        <v>2.3181961422979488E-3</v>
      </c>
      <c r="CN108" s="22">
        <f t="shared" si="66"/>
        <v>68.453162626674171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2.8421709430404007E-14</v>
      </c>
      <c r="CU108" s="17">
        <f>CT108*VLOOKUP('Données projet'!$B$13,Paramètres!$A$1:$I$89,3,0)*VLOOKUP('Données projet'!$B$13,Paramètres!$A$1:$I$89,5,0)</f>
        <v>2.4829205358400945E-14</v>
      </c>
      <c r="CV108" s="13">
        <f t="shared" si="95"/>
        <v>4.3867331143352915E-13</v>
      </c>
      <c r="CW108" s="20">
        <f t="shared" si="67"/>
        <v>8.0726688341261168E-13</v>
      </c>
      <c r="CX108" s="59">
        <f t="shared" si="68"/>
        <v>293.33333333333411</v>
      </c>
      <c r="CY108" s="59">
        <f ca="1">AVERAGE(OFFSET($CX$3,0,0,'Données projet'!$E$13+1,1))-AVERAGE(OFFSET($H$3,0,0,'Données projet'!$E$13+1,1))</f>
        <v>261.93797831021766</v>
      </c>
      <c r="CZ108" s="59">
        <f t="shared" si="96"/>
        <v>256.90876395053073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20.105314782446179</v>
      </c>
      <c r="DG108" s="21">
        <f>EXP(-LN(2)/25)*DG107+(1-EXP(-LN(2)/25))/(LN(2)/25)*Calculateur!DB108*Calculateur!DD108*VLOOKUP('Données projet'!$B$13,Paramètres!$A$1:$I$89,3,0)*0.475*44/12</f>
        <v>18.247985554562174</v>
      </c>
      <c r="DH108" s="21">
        <f>EXP(-LN(2)/2)*DH107+(1-EXP(-LN(2)/2))/(LN(2)/2)*DB108*DE108*VLOOKUP('Données projet'!$B$13,Paramètres!$A$1:$I$89,3,0)*0.475*44/12</f>
        <v>7.8455778967008866E-3</v>
      </c>
      <c r="DI108" s="22">
        <f t="shared" si="69"/>
        <v>38.361145914905052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10.840999999999998</v>
      </c>
      <c r="N109" s="13">
        <f>IF('Données projet'!$A$36&gt;35,N108+M109-V108,IF(A109&lt;'Données projet'!$A$36,$K$205^A109,IF(A109='Données projet'!$A$36,'Données projet'!$B$36,N108+M109-V108)))</f>
        <v>487.67600000000004</v>
      </c>
      <c r="O109" s="13">
        <f>N109*VLOOKUP('Données projet'!$B$9,Paramètres!$A$1:$I$89,3,0)*VLOOKUP('Données projet'!$B$9,Paramètres!$A$1:$I$89,5,0)</f>
        <v>441.24924480000004</v>
      </c>
      <c r="P109" s="13">
        <f t="shared" si="87"/>
        <v>100.09095321491932</v>
      </c>
      <c r="Q109" s="20">
        <f t="shared" si="107"/>
        <v>942.83417820931766</v>
      </c>
      <c r="R109" s="59">
        <f t="shared" si="55"/>
        <v>1236.167511542651</v>
      </c>
      <c r="S109" s="59">
        <f ca="1">AVERAGE(OFFSET($R$3,0,0,'Données projet'!$E$9+1,1))-AVERAGE(OFFSET($H$3,0,0,'Données projet'!$E$9+1,1))</f>
        <v>695.0879239758051</v>
      </c>
      <c r="T109" s="59">
        <f t="shared" si="88"/>
        <v>226.22150997227476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45.780435483133367</v>
      </c>
      <c r="AA109" s="21">
        <f>EXP(-LN(2)/25)*AA108+(1-EXP(-LN(2)/25))/(LN(2)/25)*Calculateur!V109*Calculateur!X109*VLOOKUP('Données projet'!$B$9,Paramètres!$A$1:$I$89,3,0)*0.475*44/12</f>
        <v>29.603500779008883</v>
      </c>
      <c r="AB109" s="21">
        <f>EXP(-LN(2)/2)*AB108+(1-EXP(-LN(2)/2))/(LN(2)/2)*V109*Y109*VLOOKUP('Données projet'!$B$9,Paramètres!$A$1:$I$89,3,0)*0.475*44/12</f>
        <v>2.4173028234182055E-2</v>
      </c>
      <c r="AC109" s="22">
        <f t="shared" si="57"/>
        <v>75.40810929037643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>
        <f>VLOOKUP(A109,'Données projet'!$A$61:$I$81,2,0)</f>
        <v>131.46</v>
      </c>
      <c r="AG109" s="12">
        <f>VLOOKUP(A109,'Données projet'!$A$61:$I$81,9,0)</f>
        <v>3.3666666666666694</v>
      </c>
      <c r="AH109" s="12">
        <f t="array" ref="AH109">INDEX(AG:AG,MIN(IF(ISNUMBER(AG109:AG305),ROW(AG109:AG305),"")))</f>
        <v>3.3666666666666694</v>
      </c>
      <c r="AI109" s="13">
        <f>IF('Données projet'!$A$62&gt;35,AI108+AH109-AQ108,IF(A109&lt;'Données projet'!$A$62,$AF$205^A109,IF(A109='Données projet'!$A$62,'Données projet'!$B$62,AI108+AH109-AQ108)))</f>
        <v>131.46000000000006</v>
      </c>
      <c r="AJ109" s="13">
        <f>AI109*VLOOKUP('Données projet'!$B$10,Paramètres!$A$1:$I$89,3,0)*VLOOKUP('Données projet'!$B$10,Paramètres!$A$1:$I$89,5,0)</f>
        <v>110.74190400000006</v>
      </c>
      <c r="AK109" s="13">
        <f t="shared" si="89"/>
        <v>29.505714498780094</v>
      </c>
      <c r="AL109" s="20">
        <f t="shared" si="58"/>
        <v>244.26460221870877</v>
      </c>
      <c r="AM109" s="59">
        <f t="shared" si="59"/>
        <v>537.59793555204214</v>
      </c>
      <c r="AN109" s="59">
        <f ca="1">AVERAGE(OFFSET($AM$3,0,0,'Données projet'!$E$10+1,1))-AVERAGE(OFFSET($H$3,0,0,'Données projet'!$E$10+1,1))</f>
        <v>424.81155998881928</v>
      </c>
      <c r="AO109" s="59">
        <f t="shared" si="90"/>
        <v>277.34430416544575</v>
      </c>
      <c r="AP109" s="15">
        <f>IF(ISNA(VLOOKUP(A109,'Données projet'!$A$61:$I$81,3,0)),0,VLOOKUP(A109,'Données projet'!$A$61:$I$81,3,0))</f>
        <v>13</v>
      </c>
      <c r="AQ109" s="15">
        <f>IF(ISNA(VLOOKUP(A109,'Données projet'!$A$61:$I$81,4,0)),0,VLOOKUP(A109,'Données projet'!$A$61:$I$81,4,0))</f>
        <v>131.46</v>
      </c>
      <c r="AR109" s="16">
        <f>IF(ISNA(VLOOKUP(A109,'Données projet'!$A$61:$I$81,5,0)),0%,VLOOKUP(A109,'Données projet'!$A$61:$I$81,5,0)*VLOOKUP('Données projet'!$B$10,Paramètres!$A$1:$I$89,7,0))</f>
        <v>0.19350000000000001</v>
      </c>
      <c r="AS109" s="16">
        <f>IF(ISNA(VLOOKUP(A109,'Données projet'!$A$61:$I$81,6,0)),0%,VLOOKUP(A109,'Données projet'!$A$61:$I$81,6,0)*VLOOKUP('Données projet'!$B$10,Paramètres!$A$1:$I$89,7,0))</f>
        <v>2.1500000000000002E-2</v>
      </c>
      <c r="AT109" s="16">
        <f>IF(ISNA(VLOOKUP(A109,'Données projet'!$A$61:$I$81,7,0)),0%,VLOOKUP(A109,'Données projet'!$A$61:$I$81,7,0))</f>
        <v>0.05</v>
      </c>
      <c r="AU109" s="21">
        <f>EXP(-LN(2)/35)*AU108+(1-EXP(-LN(2)/35))/(LN(2)/35)*AQ109*AR109*VLOOKUP('Données projet'!$B$10,Paramètres!$A$1:$I$89,3,0)*0.475*44/12</f>
        <v>122.34155909294726</v>
      </c>
      <c r="AV109" s="21">
        <f>EXP(-LN(2)/25)*AV108+(1-EXP(-LN(2)/25))/(LN(2)/25)*Calculateur!AQ109*Calculateur!AS109*VLOOKUP('Données projet'!$B$10,Paramètres!$A$1:$I$89,3,0)*0.475*44/12</f>
        <v>27.979819266328533</v>
      </c>
      <c r="AW109" s="21">
        <f>EXP(-LN(2)/2)*AW108+(1-EXP(-LN(2)/2))/(LN(2)/2)*AQ109*AT109*VLOOKUP('Données projet'!$B$10,Paramètres!$A$1:$I$89,3,0)*0.475*44/12</f>
        <v>7.423023524961283</v>
      </c>
      <c r="AX109" s="21">
        <f t="shared" si="60"/>
        <v>157.74440188423708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358.75320000000056</v>
      </c>
      <c r="BF109" s="13">
        <f t="shared" si="91"/>
        <v>83.362286707455894</v>
      </c>
      <c r="BG109" s="20">
        <f t="shared" si="61"/>
        <v>770.01780601548671</v>
      </c>
      <c r="BH109" s="59">
        <f t="shared" si="62"/>
        <v>1063.35113934882</v>
      </c>
      <c r="BI109" s="59">
        <f ca="1">AVERAGE(OFFSET($BH$3,0,0,'Données projet'!$E$11+1,1))-AVERAGE(OFFSET($H$3,0,0,'Données projet'!$E$11+1,1))</f>
        <v>706.69239849991595</v>
      </c>
      <c r="BJ109" s="59">
        <f t="shared" si="92"/>
        <v>310.59887275116529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35.649307436147012</v>
      </c>
      <c r="BQ109" s="21">
        <f>EXP(-LN(2)/25)*BQ108+(1-EXP(-LN(2)/25))/(LN(2)/25)*Calculateur!BL109*Calculateur!BN109*VLOOKUP('Données projet'!$B$11,Paramètres!$A$1:$I$89,3,0)*0.475*44/12</f>
        <v>28.652242737795429</v>
      </c>
      <c r="BR109" s="21">
        <f>EXP(-LN(2)/2)*BR108+(1-EXP(-LN(2)/2))/(LN(2)/2)*BL109*BO109*VLOOKUP('Données projet'!$B$11,Paramètres!$A$1:$I$89,3,0)*0.475*44/12</f>
        <v>3.2654125076531111</v>
      </c>
      <c r="BS109" s="22">
        <f t="shared" si="63"/>
        <v>67.566962681595555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8.7540000000000013</v>
      </c>
      <c r="BY109" s="12">
        <f>IF('Données projet'!$A$114&gt;35,BY108+BX109-CG108,IF(A109&lt;'Données projet'!$A$114,$BV$205^A109,IF(A109='Données projet'!$A$114,'Données projet'!$B$114,BY108+BX109-CG108)))</f>
        <v>329.90200000000016</v>
      </c>
      <c r="BZ109" s="13">
        <f>BY109*VLOOKUP('Données projet'!$B$12,Paramètres!$A$1:$I$89,3,0)*VLOOKUP('Données projet'!$B$12,Paramètres!$A$1:$I$89,5,0)</f>
        <v>313.93474320000013</v>
      </c>
      <c r="CA109" s="13">
        <f t="shared" si="93"/>
        <v>74.089956981068127</v>
      </c>
      <c r="CB109" s="20">
        <f t="shared" si="64"/>
        <v>675.80968614869391</v>
      </c>
      <c r="CC109" s="59">
        <f t="shared" si="65"/>
        <v>969.14301948202728</v>
      </c>
      <c r="CD109" s="59">
        <f ca="1">AVERAGE(OFFSET($CC$3,0,0,'Données projet'!$E$12+1,1))-AVERAGE(OFFSET($H$3,0,0,'Données projet'!$E$12+1,1))</f>
        <v>449.28947235329758</v>
      </c>
      <c r="CE109" s="59">
        <f t="shared" si="94"/>
        <v>289.36994109443964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43.116627486210895</v>
      </c>
      <c r="CL109" s="21">
        <f>EXP(-LN(2)/25)*CL108+(1-EXP(-LN(2)/25))/(LN(2)/25)*Calculateur!CG109*Calculateur!CI109*VLOOKUP('Données projet'!$B$12,Paramètres!$A$1:$I$89,3,0)*0.475*44/12</f>
        <v>23.80263193364188</v>
      </c>
      <c r="CM109" s="21">
        <f>EXP(-LN(2)/2)*CM108+(1-EXP(-LN(2)/2))/(LN(2)/2)*CG109*CJ109*VLOOKUP('Données projet'!$B$12,Paramètres!$A$1:$I$89,3,0)*0.475*44/12</f>
        <v>1.6392122123393743E-3</v>
      </c>
      <c r="CN109" s="22">
        <f t="shared" si="66"/>
        <v>66.920898632065118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2.8421709430404007E-14</v>
      </c>
      <c r="CU109" s="17">
        <f>CT109*VLOOKUP('Données projet'!$B$13,Paramètres!$A$1:$I$89,3,0)*VLOOKUP('Données projet'!$B$13,Paramètres!$A$1:$I$89,5,0)</f>
        <v>2.4829205358400945E-14</v>
      </c>
      <c r="CV109" s="13">
        <f t="shared" si="95"/>
        <v>4.3867331143352915E-13</v>
      </c>
      <c r="CW109" s="20">
        <f t="shared" si="67"/>
        <v>8.0726688341261168E-13</v>
      </c>
      <c r="CX109" s="59">
        <f t="shared" si="68"/>
        <v>293.33333333333411</v>
      </c>
      <c r="CY109" s="59">
        <f ca="1">AVERAGE(OFFSET($CX$3,0,0,'Données projet'!$E$13+1,1))-AVERAGE(OFFSET($H$3,0,0,'Données projet'!$E$13+1,1))</f>
        <v>261.93797831021766</v>
      </c>
      <c r="CZ109" s="59">
        <f t="shared" si="96"/>
        <v>256.90876395053073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19.711061822593553</v>
      </c>
      <c r="DG109" s="21">
        <f>EXP(-LN(2)/25)*DG108+(1-EXP(-LN(2)/25))/(LN(2)/25)*Calculateur!DB109*Calculateur!DD109*VLOOKUP('Données projet'!$B$13,Paramètres!$A$1:$I$89,3,0)*0.475*44/12</f>
        <v>17.748993429952819</v>
      </c>
      <c r="DH109" s="21">
        <f>EXP(-LN(2)/2)*DH108+(1-EXP(-LN(2)/2))/(LN(2)/2)*DB109*DE109*VLOOKUP('Données projet'!$B$13,Paramètres!$A$1:$I$89,3,0)*0.475*44/12</f>
        <v>5.5476613330844877E-3</v>
      </c>
      <c r="DI109" s="22">
        <f t="shared" si="69"/>
        <v>37.465602913879451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10.840999999999998</v>
      </c>
      <c r="N110" s="13">
        <f>IF('Données projet'!$A$36&gt;35,N109+M110-V109,IF(A110&lt;'Données projet'!$A$36,$K$205^A110,IF(A110='Données projet'!$A$36,'Données projet'!$B$36,N109+M110-V109)))</f>
        <v>498.51700000000005</v>
      </c>
      <c r="O110" s="13">
        <f>N110*VLOOKUP('Données projet'!$B$9,Paramètres!$A$1:$I$89,3,0)*VLOOKUP('Données projet'!$B$9,Paramètres!$A$1:$I$89,5,0)</f>
        <v>451.05818160000001</v>
      </c>
      <c r="P110" s="13">
        <f t="shared" si="87"/>
        <v>102.05445295405619</v>
      </c>
      <c r="Q110" s="20">
        <f t="shared" si="107"/>
        <v>963.33783851498117</v>
      </c>
      <c r="R110" s="59">
        <f t="shared" si="55"/>
        <v>1256.6711718483145</v>
      </c>
      <c r="S110" s="59">
        <f ca="1">AVERAGE(OFFSET($R$3,0,0,'Données projet'!$E$9+1,1))-AVERAGE(OFFSET($H$3,0,0,'Données projet'!$E$9+1,1))</f>
        <v>695.0879239758051</v>
      </c>
      <c r="T110" s="59">
        <f t="shared" si="88"/>
        <v>226.22150997227476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44.882709066617572</v>
      </c>
      <c r="AA110" s="21">
        <f>EXP(-LN(2)/25)*AA109+(1-EXP(-LN(2)/25))/(LN(2)/25)*Calculateur!V110*Calculateur!X110*VLOOKUP('Données projet'!$B$9,Paramètres!$A$1:$I$89,3,0)*0.475*44/12</f>
        <v>28.793991493426439</v>
      </c>
      <c r="AB110" s="21">
        <f>EXP(-LN(2)/2)*AB109+(1-EXP(-LN(2)/2))/(LN(2)/2)*V110*Y110*VLOOKUP('Données projet'!$B$9,Paramètres!$A$1:$I$89,3,0)*0.475*44/12</f>
        <v>1.7092912186204005E-2</v>
      </c>
      <c r="AC110" s="22">
        <f t="shared" si="57"/>
        <v>73.693793472230212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4.7884896048344674E-14</v>
      </c>
      <c r="AK110" s="13">
        <f t="shared" si="89"/>
        <v>7.8374629847779921E-13</v>
      </c>
      <c r="AL110" s="20">
        <f t="shared" si="58"/>
        <v>1.4484243304663672E-12</v>
      </c>
      <c r="AM110" s="59">
        <f t="shared" si="59"/>
        <v>293.33333333333474</v>
      </c>
      <c r="AN110" s="59">
        <f ca="1">AVERAGE(OFFSET($AM$3,0,0,'Données projet'!$E$10+1,1))-AVERAGE(OFFSET($H$3,0,0,'Données projet'!$E$10+1,1))</f>
        <v>424.81155998881928</v>
      </c>
      <c r="AO110" s="59">
        <f t="shared" si="90"/>
        <v>277.34430416544575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119.9425157401174</v>
      </c>
      <c r="AV110" s="21">
        <f>EXP(-LN(2)/25)*AV109+(1-EXP(-LN(2)/25))/(LN(2)/25)*Calculateur!AQ110*Calculateur!AS110*VLOOKUP('Données projet'!$B$10,Paramètres!$A$1:$I$89,3,0)*0.475*44/12</f>
        <v>27.214709637096032</v>
      </c>
      <c r="AW110" s="21">
        <f>EXP(-LN(2)/2)*AW109+(1-EXP(-LN(2)/2))/(LN(2)/2)*AQ110*AT110*VLOOKUP('Données projet'!$B$10,Paramètres!$A$1:$I$89,3,0)*0.475*44/12</f>
        <v>5.2488702714073927</v>
      </c>
      <c r="AX110" s="21">
        <f t="shared" si="60"/>
        <v>152.40609564862081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367.72203000000059</v>
      </c>
      <c r="BF110" s="13">
        <f t="shared" si="91"/>
        <v>85.201104879888135</v>
      </c>
      <c r="BG110" s="20">
        <f t="shared" si="61"/>
        <v>788.84112658247284</v>
      </c>
      <c r="BH110" s="59">
        <f t="shared" si="62"/>
        <v>1082.1744599158062</v>
      </c>
      <c r="BI110" s="59">
        <f ca="1">AVERAGE(OFFSET($BH$3,0,0,'Données projet'!$E$11+1,1))-AVERAGE(OFFSET($H$3,0,0,'Données projet'!$E$11+1,1))</f>
        <v>706.69239849991595</v>
      </c>
      <c r="BJ110" s="59">
        <f t="shared" si="92"/>
        <v>310.59887275116529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34.950246261254669</v>
      </c>
      <c r="BQ110" s="21">
        <f>EXP(-LN(2)/25)*BQ109+(1-EXP(-LN(2)/25))/(LN(2)/25)*Calculateur!BL110*Calculateur!BN110*VLOOKUP('Données projet'!$B$11,Paramètres!$A$1:$I$89,3,0)*0.475*44/12</f>
        <v>27.868745653374454</v>
      </c>
      <c r="BR110" s="21">
        <f>EXP(-LN(2)/2)*BR109+(1-EXP(-LN(2)/2))/(LN(2)/2)*BL110*BO110*VLOOKUP('Données projet'!$B$11,Paramètres!$A$1:$I$89,3,0)*0.475*44/12</f>
        <v>2.3089953275328838</v>
      </c>
      <c r="BS110" s="22">
        <f t="shared" si="63"/>
        <v>65.127987242162007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8.7540000000000013</v>
      </c>
      <c r="BY110" s="12">
        <f>IF('Données projet'!$A$114&gt;35,BY109+BX110-CG109,IF(A110&lt;'Données projet'!$A$114,$BV$205^A110,IF(A110='Données projet'!$A$114,'Données projet'!$B$114,BY109+BX110-CG109)))</f>
        <v>338.65600000000018</v>
      </c>
      <c r="BZ110" s="13">
        <f>BY110*VLOOKUP('Données projet'!$B$12,Paramètres!$A$1:$I$89,3,0)*VLOOKUP('Données projet'!$B$12,Paramètres!$A$1:$I$89,5,0)</f>
        <v>322.26504960000017</v>
      </c>
      <c r="CA110" s="13">
        <f t="shared" si="93"/>
        <v>75.824447642126486</v>
      </c>
      <c r="CB110" s="20">
        <f t="shared" si="64"/>
        <v>693.33920769670385</v>
      </c>
      <c r="CC110" s="59">
        <f t="shared" si="65"/>
        <v>986.67254103003711</v>
      </c>
      <c r="CD110" s="59">
        <f ca="1">AVERAGE(OFFSET($CC$3,0,0,'Données projet'!$E$12+1,1))-AVERAGE(OFFSET($H$3,0,0,'Données projet'!$E$12+1,1))</f>
        <v>449.28947235329758</v>
      </c>
      <c r="CE110" s="59">
        <f t="shared" si="94"/>
        <v>289.36994109443964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42.271136719752299</v>
      </c>
      <c r="CL110" s="21">
        <f>EXP(-LN(2)/25)*CL109+(1-EXP(-LN(2)/25))/(LN(2)/25)*Calculateur!CG110*Calculateur!CI110*VLOOKUP('Données projet'!$B$12,Paramètres!$A$1:$I$89,3,0)*0.475*44/12</f>
        <v>23.15174771169043</v>
      </c>
      <c r="CM110" s="21">
        <f>EXP(-LN(2)/2)*CM109+(1-EXP(-LN(2)/2))/(LN(2)/2)*CG110*CJ110*VLOOKUP('Données projet'!$B$12,Paramètres!$A$1:$I$89,3,0)*0.475*44/12</f>
        <v>1.1590980711489744E-3</v>
      </c>
      <c r="CN110" s="22">
        <f t="shared" si="66"/>
        <v>65.424043529513881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2.8421709430404007E-14</v>
      </c>
      <c r="CU110" s="17">
        <f>CT110*VLOOKUP('Données projet'!$B$13,Paramètres!$A$1:$I$89,3,0)*VLOOKUP('Données projet'!$B$13,Paramètres!$A$1:$I$89,5,0)</f>
        <v>2.4829205358400945E-14</v>
      </c>
      <c r="CV110" s="13">
        <f t="shared" si="95"/>
        <v>4.3867331143352915E-13</v>
      </c>
      <c r="CW110" s="20">
        <f t="shared" si="67"/>
        <v>8.0726688341261168E-13</v>
      </c>
      <c r="CX110" s="59">
        <f t="shared" si="68"/>
        <v>293.33333333333411</v>
      </c>
      <c r="CY110" s="59">
        <f ca="1">AVERAGE(OFFSET($CX$3,0,0,'Données projet'!$E$13+1,1))-AVERAGE(OFFSET($H$3,0,0,'Données projet'!$E$13+1,1))</f>
        <v>261.93797831021766</v>
      </c>
      <c r="CZ110" s="59">
        <f t="shared" si="96"/>
        <v>256.90876395053073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19.324539922813077</v>
      </c>
      <c r="DG110" s="21">
        <f>EXP(-LN(2)/25)*DG109+(1-EXP(-LN(2)/25))/(LN(2)/25)*Calculateur!DB110*Calculateur!DD110*VLOOKUP('Données projet'!$B$13,Paramètres!$A$1:$I$89,3,0)*0.475*44/12</f>
        <v>17.26364627123176</v>
      </c>
      <c r="DH110" s="21">
        <f>EXP(-LN(2)/2)*DH109+(1-EXP(-LN(2)/2))/(LN(2)/2)*DB110*DE110*VLOOKUP('Données projet'!$B$13,Paramètres!$A$1:$I$89,3,0)*0.475*44/12</f>
        <v>3.9227889483504433E-3</v>
      </c>
      <c r="DI110" s="22">
        <f t="shared" si="69"/>
        <v>36.592108982993189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10.840999999999998</v>
      </c>
      <c r="N111" s="13">
        <f>IF('Données projet'!$A$36&gt;35,N110+M111-V110,IF(A111&lt;'Données projet'!$A$36,$K$205^A111,IF(A111='Données projet'!$A$36,'Données projet'!$B$36,N110+M111-V110)))</f>
        <v>509.35800000000006</v>
      </c>
      <c r="O111" s="13">
        <f>N111*VLOOKUP('Données projet'!$B$9,Paramètres!$A$1:$I$89,3,0)*VLOOKUP('Données projet'!$B$9,Paramètres!$A$1:$I$89,5,0)</f>
        <v>460.86711840000004</v>
      </c>
      <c r="P111" s="13">
        <f t="shared" si="87"/>
        <v>104.01298837243165</v>
      </c>
      <c r="Q111" s="20">
        <f t="shared" si="107"/>
        <v>983.83285262865172</v>
      </c>
      <c r="R111" s="59">
        <f t="shared" si="55"/>
        <v>1277.1661859619851</v>
      </c>
      <c r="S111" s="59">
        <f ca="1">AVERAGE(OFFSET($R$3,0,0,'Données projet'!$E$9+1,1))-AVERAGE(OFFSET($H$3,0,0,'Données projet'!$E$9+1,1))</f>
        <v>695.0879239758051</v>
      </c>
      <c r="T111" s="59">
        <f t="shared" si="88"/>
        <v>226.22150997227476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44.002586517570599</v>
      </c>
      <c r="AA111" s="21">
        <f>EXP(-LN(2)/25)*AA110+(1-EXP(-LN(2)/25))/(LN(2)/25)*Calculateur!V111*Calculateur!X111*VLOOKUP('Données projet'!$B$9,Paramètres!$A$1:$I$89,3,0)*0.475*44/12</f>
        <v>28.006618281828491</v>
      </c>
      <c r="AB111" s="21">
        <f>EXP(-LN(2)/2)*AB110+(1-EXP(-LN(2)/2))/(LN(2)/2)*V111*Y111*VLOOKUP('Données projet'!$B$9,Paramètres!$A$1:$I$89,3,0)*0.475*44/12</f>
        <v>1.2086514117091027E-2</v>
      </c>
      <c r="AC111" s="22">
        <f t="shared" si="57"/>
        <v>72.021291313516173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4.7884896048344674E-14</v>
      </c>
      <c r="AK111" s="13">
        <f t="shared" si="89"/>
        <v>7.8374629847779921E-13</v>
      </c>
      <c r="AL111" s="20">
        <f t="shared" si="58"/>
        <v>1.4484243304663672E-12</v>
      </c>
      <c r="AM111" s="59">
        <f t="shared" si="59"/>
        <v>293.33333333333474</v>
      </c>
      <c r="AN111" s="59">
        <f ca="1">AVERAGE(OFFSET($AM$3,0,0,'Données projet'!$E$10+1,1))-AVERAGE(OFFSET($H$3,0,0,'Données projet'!$E$10+1,1))</f>
        <v>424.81155998881928</v>
      </c>
      <c r="AO111" s="59">
        <f t="shared" si="90"/>
        <v>277.34430416544575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117.59051616416457</v>
      </c>
      <c r="AV111" s="21">
        <f>EXP(-LN(2)/25)*AV110+(1-EXP(-LN(2)/25))/(LN(2)/25)*Calculateur!AQ111*Calculateur!AS111*VLOOKUP('Données projet'!$B$10,Paramètres!$A$1:$I$89,3,0)*0.475*44/12</f>
        <v>26.470521970910262</v>
      </c>
      <c r="AW111" s="21">
        <f>EXP(-LN(2)/2)*AW110+(1-EXP(-LN(2)/2))/(LN(2)/2)*AQ111*AT111*VLOOKUP('Données projet'!$B$10,Paramètres!$A$1:$I$89,3,0)*0.475*44/12</f>
        <v>3.711511762480642</v>
      </c>
      <c r="AX111" s="21">
        <f t="shared" si="60"/>
        <v>147.77254989755548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376.69086000000061</v>
      </c>
      <c r="BF111" s="13">
        <f t="shared" si="91"/>
        <v>87.034709459862782</v>
      </c>
      <c r="BG111" s="20">
        <f t="shared" si="61"/>
        <v>807.65536680926198</v>
      </c>
      <c r="BH111" s="59">
        <f t="shared" si="62"/>
        <v>1100.9887001425952</v>
      </c>
      <c r="BI111" s="59">
        <f ca="1">AVERAGE(OFFSET($BH$3,0,0,'Données projet'!$E$11+1,1))-AVERAGE(OFFSET($H$3,0,0,'Données projet'!$E$11+1,1))</f>
        <v>706.69239849991595</v>
      </c>
      <c r="BJ111" s="59">
        <f t="shared" si="92"/>
        <v>310.59887275116529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34.264893249616755</v>
      </c>
      <c r="BQ111" s="21">
        <f>EXP(-LN(2)/25)*BQ110+(1-EXP(-LN(2)/25))/(LN(2)/25)*Calculateur!BL111*Calculateur!BN111*VLOOKUP('Données projet'!$B$11,Paramètres!$A$1:$I$89,3,0)*0.475*44/12</f>
        <v>27.106673337929291</v>
      </c>
      <c r="BR111" s="21">
        <f>EXP(-LN(2)/2)*BR110+(1-EXP(-LN(2)/2))/(LN(2)/2)*BL111*BO111*VLOOKUP('Données projet'!$B$11,Paramètres!$A$1:$I$89,3,0)*0.475*44/12</f>
        <v>1.6327062538265555</v>
      </c>
      <c r="BS111" s="22">
        <f t="shared" si="63"/>
        <v>63.004272841372597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8.7540000000000013</v>
      </c>
      <c r="BY111" s="12">
        <f>IF('Données projet'!$A$114&gt;35,BY110+BX111-CG110,IF(A111&lt;'Données projet'!$A$114,$BV$205^A111,IF(A111='Données projet'!$A$114,'Données projet'!$B$114,BY110+BX111-CG110)))</f>
        <v>347.4100000000002</v>
      </c>
      <c r="BZ111" s="13">
        <f>BY111*VLOOKUP('Données projet'!$B$12,Paramètres!$A$1:$I$89,3,0)*VLOOKUP('Données projet'!$B$12,Paramètres!$A$1:$I$89,5,0)</f>
        <v>330.59535600000015</v>
      </c>
      <c r="CA111" s="13">
        <f t="shared" si="93"/>
        <v>77.553726708555331</v>
      </c>
      <c r="CB111" s="20">
        <f t="shared" si="64"/>
        <v>710.85965238406754</v>
      </c>
      <c r="CC111" s="59">
        <f t="shared" si="65"/>
        <v>1004.1929857174009</v>
      </c>
      <c r="CD111" s="59">
        <f ca="1">AVERAGE(OFFSET($CC$3,0,0,'Données projet'!$E$12+1,1))-AVERAGE(OFFSET($H$3,0,0,'Données projet'!$E$12+1,1))</f>
        <v>449.28947235329758</v>
      </c>
      <c r="CE111" s="59">
        <f t="shared" si="94"/>
        <v>289.36994109443964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41.442225511525514</v>
      </c>
      <c r="CL111" s="21">
        <f>EXP(-LN(2)/25)*CL110+(1-EXP(-LN(2)/25))/(LN(2)/25)*Calculateur!CG111*Calculateur!CI111*VLOOKUP('Données projet'!$B$12,Paramètres!$A$1:$I$89,3,0)*0.475*44/12</f>
        <v>22.518661953016757</v>
      </c>
      <c r="CM111" s="21">
        <f>EXP(-LN(2)/2)*CM110+(1-EXP(-LN(2)/2))/(LN(2)/2)*CG111*CJ111*VLOOKUP('Données projet'!$B$12,Paramètres!$A$1:$I$89,3,0)*0.475*44/12</f>
        <v>8.1960610616968715E-4</v>
      </c>
      <c r="CN111" s="22">
        <f t="shared" si="66"/>
        <v>63.961707070648437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2.8421709430404007E-14</v>
      </c>
      <c r="CU111" s="17">
        <f>CT111*VLOOKUP('Données projet'!$B$13,Paramètres!$A$1:$I$89,3,0)*VLOOKUP('Données projet'!$B$13,Paramètres!$A$1:$I$89,5,0)</f>
        <v>2.4829205358400945E-14</v>
      </c>
      <c r="CV111" s="13">
        <f t="shared" si="95"/>
        <v>4.3867331143352915E-13</v>
      </c>
      <c r="CW111" s="20">
        <f t="shared" si="67"/>
        <v>8.0726688341261168E-13</v>
      </c>
      <c r="CX111" s="59">
        <f t="shared" si="68"/>
        <v>293.33333333333411</v>
      </c>
      <c r="CY111" s="59">
        <f ca="1">AVERAGE(OFFSET($CX$3,0,0,'Données projet'!$E$13+1,1))-AVERAGE(OFFSET($H$3,0,0,'Données projet'!$E$13+1,1))</f>
        <v>261.93797831021766</v>
      </c>
      <c r="CZ111" s="59">
        <f t="shared" si="96"/>
        <v>256.90876395053073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18.945597481732214</v>
      </c>
      <c r="DG111" s="21">
        <f>EXP(-LN(2)/25)*DG110+(1-EXP(-LN(2)/25))/(LN(2)/25)*Calculateur!DB111*Calculateur!DD111*VLOOKUP('Données projet'!$B$13,Paramètres!$A$1:$I$89,3,0)*0.475*44/12</f>
        <v>16.791570956089227</v>
      </c>
      <c r="DH111" s="21">
        <f>EXP(-LN(2)/2)*DH110+(1-EXP(-LN(2)/2))/(LN(2)/2)*DB111*DE111*VLOOKUP('Données projet'!$B$13,Paramètres!$A$1:$I$89,3,0)*0.475*44/12</f>
        <v>2.7738306665422438E-3</v>
      </c>
      <c r="DI111" s="22">
        <f t="shared" si="69"/>
        <v>35.73994226848798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10.840999999999998</v>
      </c>
      <c r="N112" s="13">
        <f>IF('Données projet'!$A$36&gt;35,N111+M112-V111,IF(A112&lt;'Données projet'!$A$36,$K$205^A112,IF(A112='Données projet'!$A$36,'Données projet'!$B$36,N111+M112-V111)))</f>
        <v>520.19900000000007</v>
      </c>
      <c r="O112" s="13">
        <f>N112*VLOOKUP('Données projet'!$B$9,Paramètres!$A$1:$I$89,3,0)*VLOOKUP('Données projet'!$B$9,Paramètres!$A$1:$I$89,5,0)</f>
        <v>470.67605520000001</v>
      </c>
      <c r="P112" s="13">
        <f t="shared" si="87"/>
        <v>105.96667729960197</v>
      </c>
      <c r="Q112" s="20">
        <f t="shared" si="107"/>
        <v>1004.3194257701401</v>
      </c>
      <c r="R112" s="59">
        <f t="shared" si="55"/>
        <v>1297.6527591034735</v>
      </c>
      <c r="S112" s="59">
        <f ca="1">AVERAGE(OFFSET($R$3,0,0,'Données projet'!$E$9+1,1))-AVERAGE(OFFSET($H$3,0,0,'Données projet'!$E$9+1,1))</f>
        <v>695.0879239758051</v>
      </c>
      <c r="T112" s="59">
        <f t="shared" si="88"/>
        <v>226.22150997227476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43.139722634888692</v>
      </c>
      <c r="AA112" s="21">
        <f>EXP(-LN(2)/25)*AA111+(1-EXP(-LN(2)/25))/(LN(2)/25)*Calculateur!V112*Calculateur!X112*VLOOKUP('Données projet'!$B$9,Paramètres!$A$1:$I$89,3,0)*0.475*44/12</f>
        <v>27.240775832107847</v>
      </c>
      <c r="AB112" s="21">
        <f>EXP(-LN(2)/2)*AB111+(1-EXP(-LN(2)/2))/(LN(2)/2)*V112*Y112*VLOOKUP('Données projet'!$B$9,Paramètres!$A$1:$I$89,3,0)*0.475*44/12</f>
        <v>8.5464560931020027E-3</v>
      </c>
      <c r="AC112" s="22">
        <f t="shared" si="57"/>
        <v>70.389044923089642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4.7884896048344674E-14</v>
      </c>
      <c r="AK112" s="13">
        <f t="shared" si="89"/>
        <v>7.8374629847779921E-13</v>
      </c>
      <c r="AL112" s="20">
        <f t="shared" si="58"/>
        <v>1.4484243304663672E-12</v>
      </c>
      <c r="AM112" s="59">
        <f t="shared" si="59"/>
        <v>293.33333333333474</v>
      </c>
      <c r="AN112" s="59">
        <f ca="1">AVERAGE(OFFSET($AM$3,0,0,'Données projet'!$E$10+1,1))-AVERAGE(OFFSET($H$3,0,0,'Données projet'!$E$10+1,1))</f>
        <v>424.81155998881928</v>
      </c>
      <c r="AO112" s="59">
        <f t="shared" si="90"/>
        <v>277.34430416544575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115.28463786531809</v>
      </c>
      <c r="AV112" s="21">
        <f>EXP(-LN(2)/25)*AV111+(1-EXP(-LN(2)/25))/(LN(2)/25)*Calculateur!AQ112*Calculateur!AS112*VLOOKUP('Données projet'!$B$10,Paramètres!$A$1:$I$89,3,0)*0.475*44/12</f>
        <v>25.74668415559147</v>
      </c>
      <c r="AW112" s="21">
        <f>EXP(-LN(2)/2)*AW111+(1-EXP(-LN(2)/2))/(LN(2)/2)*AQ112*AT112*VLOOKUP('Données projet'!$B$10,Paramètres!$A$1:$I$89,3,0)*0.475*44/12</f>
        <v>2.6244351357036968</v>
      </c>
      <c r="AX112" s="21">
        <f t="shared" si="60"/>
        <v>143.65575715661325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385.65969000000064</v>
      </c>
      <c r="BF112" s="13">
        <f t="shared" si="91"/>
        <v>88.86323886421664</v>
      </c>
      <c r="BG112" s="20">
        <f t="shared" si="61"/>
        <v>826.4607677718451</v>
      </c>
      <c r="BH112" s="59">
        <f t="shared" si="62"/>
        <v>1119.7941011051785</v>
      </c>
      <c r="BI112" s="59">
        <f ca="1">AVERAGE(OFFSET($BH$3,0,0,'Données projet'!$E$11+1,1))-AVERAGE(OFFSET($H$3,0,0,'Données projet'!$E$11+1,1))</f>
        <v>706.69239849991595</v>
      </c>
      <c r="BJ112" s="59">
        <f t="shared" si="92"/>
        <v>310.59887275116529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33.592979592512997</v>
      </c>
      <c r="BQ112" s="21">
        <f>EXP(-LN(2)/25)*BQ111+(1-EXP(-LN(2)/25))/(LN(2)/25)*Calculateur!BL112*Calculateur!BN112*VLOOKUP('Données projet'!$B$11,Paramètres!$A$1:$I$89,3,0)*0.475*44/12</f>
        <v>26.365439930025616</v>
      </c>
      <c r="BR112" s="21">
        <f>EXP(-LN(2)/2)*BR111+(1-EXP(-LN(2)/2))/(LN(2)/2)*BL112*BO112*VLOOKUP('Données projet'!$B$11,Paramètres!$A$1:$I$89,3,0)*0.475*44/12</f>
        <v>1.1544976637664419</v>
      </c>
      <c r="BS112" s="22">
        <f t="shared" si="63"/>
        <v>61.112917186305054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8.7540000000000013</v>
      </c>
      <c r="BY112" s="12">
        <f>IF('Données projet'!$A$114&gt;35,BY111+BX112-CG111,IF(A112&lt;'Données projet'!$A$114,$BV$205^A112,IF(A112='Données projet'!$A$114,'Données projet'!$B$114,BY111+BX112-CG111)))</f>
        <v>356.16400000000021</v>
      </c>
      <c r="BZ112" s="13">
        <f>BY112*VLOOKUP('Données projet'!$B$12,Paramètres!$A$1:$I$89,3,0)*VLOOKUP('Données projet'!$B$12,Paramètres!$A$1:$I$89,5,0)</f>
        <v>338.92566240000019</v>
      </c>
      <c r="CA112" s="13">
        <f t="shared" si="93"/>
        <v>79.27794060390417</v>
      </c>
      <c r="CB112" s="20">
        <f t="shared" si="64"/>
        <v>728.37127523180015</v>
      </c>
      <c r="CC112" s="59">
        <f t="shared" si="65"/>
        <v>1021.7046085651334</v>
      </c>
      <c r="CD112" s="59">
        <f ca="1">AVERAGE(OFFSET($CC$3,0,0,'Données projet'!$E$12+1,1))-AVERAGE(OFFSET($H$3,0,0,'Données projet'!$E$12+1,1))</f>
        <v>449.28947235329758</v>
      </c>
      <c r="CE112" s="59">
        <f t="shared" si="94"/>
        <v>289.36994109443964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40.629568746506138</v>
      </c>
      <c r="CL112" s="21">
        <f>EXP(-LN(2)/25)*CL111+(1-EXP(-LN(2)/25))/(LN(2)/25)*Calculateur!CG112*Calculateur!CI112*VLOOKUP('Données projet'!$B$12,Paramètres!$A$1:$I$89,3,0)*0.475*44/12</f>
        <v>21.90288795770655</v>
      </c>
      <c r="CM112" s="21">
        <f>EXP(-LN(2)/2)*CM111+(1-EXP(-LN(2)/2))/(LN(2)/2)*CG112*CJ112*VLOOKUP('Données projet'!$B$12,Paramètres!$A$1:$I$89,3,0)*0.475*44/12</f>
        <v>5.7954903557448721E-4</v>
      </c>
      <c r="CN112" s="22">
        <f t="shared" si="66"/>
        <v>62.53303625324827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2.8421709430404007E-14</v>
      </c>
      <c r="CU112" s="17">
        <f>CT112*VLOOKUP('Données projet'!$B$13,Paramètres!$A$1:$I$89,3,0)*VLOOKUP('Données projet'!$B$13,Paramètres!$A$1:$I$89,5,0)</f>
        <v>2.4829205358400945E-14</v>
      </c>
      <c r="CV112" s="13">
        <f t="shared" si="95"/>
        <v>4.3867331143352915E-13</v>
      </c>
      <c r="CW112" s="20">
        <f t="shared" si="67"/>
        <v>8.0726688341261168E-13</v>
      </c>
      <c r="CX112" s="59">
        <f t="shared" si="68"/>
        <v>293.33333333333411</v>
      </c>
      <c r="CY112" s="59">
        <f ca="1">AVERAGE(OFFSET($CX$3,0,0,'Données projet'!$E$13+1,1))-AVERAGE(OFFSET($H$3,0,0,'Données projet'!$E$13+1,1))</f>
        <v>261.93797831021766</v>
      </c>
      <c r="CZ112" s="59">
        <f t="shared" si="96"/>
        <v>256.90876395053073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18.574085870788881</v>
      </c>
      <c r="DG112" s="21">
        <f>EXP(-LN(2)/25)*DG111+(1-EXP(-LN(2)/25))/(LN(2)/25)*Calculateur!DB112*Calculateur!DD112*VLOOKUP('Données projet'!$B$13,Paramètres!$A$1:$I$89,3,0)*0.475*44/12</f>
        <v>16.332404565264628</v>
      </c>
      <c r="DH112" s="21">
        <f>EXP(-LN(2)/2)*DH111+(1-EXP(-LN(2)/2))/(LN(2)/2)*DB112*DE112*VLOOKUP('Données projet'!$B$13,Paramètres!$A$1:$I$89,3,0)*0.475*44/12</f>
        <v>1.9613944741752216E-3</v>
      </c>
      <c r="DI112" s="22">
        <f t="shared" si="69"/>
        <v>34.908451830527682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10.840999999999998</v>
      </c>
      <c r="M113" s="12">
        <f t="array" ref="M113">INDEX(L:L,MIN(IF(ISNUMBER(L113:L309),ROW(L113:L309),"")))</f>
        <v>10.840999999999998</v>
      </c>
      <c r="N113" s="13">
        <f>IF('Données projet'!$A$36&gt;35,N112+M113-V112,IF(A113&lt;'Données projet'!$A$36,$K$205^A113,IF(A113='Données projet'!$A$36,'Données projet'!$B$36,N112+M113-V112)))</f>
        <v>531.04000000000008</v>
      </c>
      <c r="O113" s="13">
        <f>N113*VLOOKUP('Données projet'!$B$9,Paramètres!$A$1:$I$89,3,0)*VLOOKUP('Données projet'!$B$9,Paramètres!$A$1:$I$89,5,0)</f>
        <v>480.48499200000009</v>
      </c>
      <c r="P113" s="13">
        <f t="shared" si="87"/>
        <v>107.9156323733046</v>
      </c>
      <c r="Q113" s="20">
        <f t="shared" si="107"/>
        <v>1024.7977541168391</v>
      </c>
      <c r="R113" s="59">
        <f t="shared" si="55"/>
        <v>1318.1310874501723</v>
      </c>
      <c r="S113" s="59">
        <f ca="1">AVERAGE(OFFSET($R$3,0,0,'Données projet'!$E$9+1,1))-AVERAGE(OFFSET($H$3,0,0,'Données projet'!$E$9+1,1))</f>
        <v>695.0879239758051</v>
      </c>
      <c r="T113" s="59">
        <f t="shared" si="88"/>
        <v>226.22150997227476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73.299999999999955</v>
      </c>
      <c r="W113" s="16">
        <f>IF(ISNA(VLOOKUP(A113,'Données projet'!$A$35:$I$55,5,0)),0%,VLOOKUP(A113,'Données projet'!$A$35:$I$55,5,0)*VLOOKUP('Données projet'!$B$9,Paramètres!$A$1:$I$89,7,0))</f>
        <v>0.215</v>
      </c>
      <c r="X113" s="16">
        <f>IF(ISNA(VLOOKUP(A113,'Données projet'!$A$35:$I$55,6,0)),0%,VLOOKUP(A113,'Données projet'!$A$35:$I$55,6,0)*VLOOKUP('Données projet'!$B$9,Paramètres!$A$1:$I$89,7,0))</f>
        <v>8.6000000000000007E-2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58.056897358417743</v>
      </c>
      <c r="AA113" s="21">
        <f>EXP(-LN(2)/25)*AA112+(1-EXP(-LN(2)/25))/(LN(2)/25)*Calculateur!V113*Calculateur!X113*VLOOKUP('Données projet'!$B$9,Paramètres!$A$1:$I$89,3,0)*0.475*44/12</f>
        <v>32.776296571855895</v>
      </c>
      <c r="AB113" s="21">
        <f>EXP(-LN(2)/2)*AB112+(1-EXP(-LN(2)/2))/(LN(2)/2)*V113*Y113*VLOOKUP('Données projet'!$B$9,Paramètres!$A$1:$I$89,3,0)*0.475*44/12</f>
        <v>6.0432570585455137E-3</v>
      </c>
      <c r="AC113" s="22">
        <f t="shared" si="57"/>
        <v>90.839237187332188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4.7884896048344674E-14</v>
      </c>
      <c r="AK113" s="13">
        <f t="shared" si="89"/>
        <v>7.8374629847779921E-13</v>
      </c>
      <c r="AL113" s="20">
        <f t="shared" si="58"/>
        <v>1.4484243304663672E-12</v>
      </c>
      <c r="AM113" s="59">
        <f t="shared" si="59"/>
        <v>293.33333333333474</v>
      </c>
      <c r="AN113" s="59">
        <f ca="1">AVERAGE(OFFSET($AM$3,0,0,'Données projet'!$E$10+1,1))-AVERAGE(OFFSET($H$3,0,0,'Données projet'!$E$10+1,1))</f>
        <v>424.81155998881928</v>
      </c>
      <c r="AO113" s="59">
        <f t="shared" si="90"/>
        <v>277.34430416544575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113.02397643346511</v>
      </c>
      <c r="AV113" s="21">
        <f>EXP(-LN(2)/25)*AV112+(1-EXP(-LN(2)/25))/(LN(2)/25)*Calculateur!AQ113*Calculateur!AS113*VLOOKUP('Données projet'!$B$10,Paramètres!$A$1:$I$89,3,0)*0.475*44/12</f>
        <v>25.042639723397546</v>
      </c>
      <c r="AW113" s="21">
        <f>EXP(-LN(2)/2)*AW112+(1-EXP(-LN(2)/2))/(LN(2)/2)*AQ113*AT113*VLOOKUP('Données projet'!$B$10,Paramètres!$A$1:$I$89,3,0)*0.475*44/12</f>
        <v>1.8557558812403212</v>
      </c>
      <c r="AX113" s="21">
        <f t="shared" si="60"/>
        <v>139.92237203810299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394.62852000000066</v>
      </c>
      <c r="BF113" s="13">
        <f t="shared" si="91"/>
        <v>90.686824704469188</v>
      </c>
      <c r="BG113" s="20">
        <f t="shared" si="61"/>
        <v>845.25755869361831</v>
      </c>
      <c r="BH113" s="59">
        <f t="shared" si="62"/>
        <v>1138.5908920269517</v>
      </c>
      <c r="BI113" s="59">
        <f ca="1">AVERAGE(OFFSET($BH$3,0,0,'Données projet'!$E$11+1,1))-AVERAGE(OFFSET($H$3,0,0,'Données projet'!$E$11+1,1))</f>
        <v>706.69239849991595</v>
      </c>
      <c r="BJ113" s="59">
        <f t="shared" si="92"/>
        <v>310.59887275116529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32.934241752398179</v>
      </c>
      <c r="BQ113" s="21">
        <f>EXP(-LN(2)/25)*BQ112+(1-EXP(-LN(2)/25))/(LN(2)/25)*Calculateur!BL113*Calculateur!BN113*VLOOKUP('Données projet'!$B$11,Paramètres!$A$1:$I$89,3,0)*0.475*44/12</f>
        <v>25.644475588640837</v>
      </c>
      <c r="BR113" s="21">
        <f>EXP(-LN(2)/2)*BR112+(1-EXP(-LN(2)/2))/(LN(2)/2)*BL113*BO113*VLOOKUP('Données projet'!$B$11,Paramètres!$A$1:$I$89,3,0)*0.475*44/12</f>
        <v>0.81635312691327777</v>
      </c>
      <c r="BS113" s="22">
        <f t="shared" si="63"/>
        <v>59.395070467952294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8.7540000000000013</v>
      </c>
      <c r="BY113" s="12">
        <f>IF('Données projet'!$A$114&gt;35,BY112+BX113-CG112,IF(A113&lt;'Données projet'!$A$114,$BV$205^A113,IF(A113='Données projet'!$A$114,'Données projet'!$B$114,BY112+BX113-CG112)))</f>
        <v>364.91800000000023</v>
      </c>
      <c r="BZ113" s="13">
        <f>BY113*VLOOKUP('Données projet'!$B$12,Paramètres!$A$1:$I$89,3,0)*VLOOKUP('Données projet'!$B$12,Paramètres!$A$1:$I$89,5,0)</f>
        <v>347.25596880000023</v>
      </c>
      <c r="CA113" s="13">
        <f t="shared" si="93"/>
        <v>80.997228143628277</v>
      </c>
      <c r="CB113" s="20">
        <f t="shared" si="64"/>
        <v>745.87431801015293</v>
      </c>
      <c r="CC113" s="59">
        <f t="shared" si="65"/>
        <v>1039.2076513434863</v>
      </c>
      <c r="CD113" s="59">
        <f ca="1">AVERAGE(OFFSET($CC$3,0,0,'Données projet'!$E$12+1,1))-AVERAGE(OFFSET($H$3,0,0,'Données projet'!$E$12+1,1))</f>
        <v>449.28947235329758</v>
      </c>
      <c r="CE113" s="59">
        <f t="shared" si="94"/>
        <v>289.36994109443964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39.832847684977111</v>
      </c>
      <c r="CL113" s="21">
        <f>EXP(-LN(2)/25)*CL112+(1-EXP(-LN(2)/25))/(LN(2)/25)*Calculateur!CG113*Calculateur!CI113*VLOOKUP('Données projet'!$B$12,Paramètres!$A$1:$I$89,3,0)*0.475*44/12</f>
        <v>21.303952334680247</v>
      </c>
      <c r="CM113" s="21">
        <f>EXP(-LN(2)/2)*CM112+(1-EXP(-LN(2)/2))/(LN(2)/2)*CG113*CJ113*VLOOKUP('Données projet'!$B$12,Paramètres!$A$1:$I$89,3,0)*0.475*44/12</f>
        <v>4.0980305308484357E-4</v>
      </c>
      <c r="CN113" s="22">
        <f t="shared" si="66"/>
        <v>61.137209822710446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2.8421709430404007E-14</v>
      </c>
      <c r="CU113" s="17">
        <f>CT113*VLOOKUP('Données projet'!$B$13,Paramètres!$A$1:$I$89,3,0)*VLOOKUP('Données projet'!$B$13,Paramètres!$A$1:$I$89,5,0)</f>
        <v>2.4829205358400945E-14</v>
      </c>
      <c r="CV113" s="13">
        <f t="shared" si="95"/>
        <v>4.3867331143352915E-13</v>
      </c>
      <c r="CW113" s="20">
        <f t="shared" si="67"/>
        <v>8.0726688341261168E-13</v>
      </c>
      <c r="CX113" s="59">
        <f t="shared" si="68"/>
        <v>293.33333333333411</v>
      </c>
      <c r="CY113" s="59">
        <f ca="1">AVERAGE(OFFSET($CX$3,0,0,'Données projet'!$E$13+1,1))-AVERAGE(OFFSET($H$3,0,0,'Données projet'!$E$13+1,1))</f>
        <v>261.93797831021766</v>
      </c>
      <c r="CZ113" s="59">
        <f t="shared" si="96"/>
        <v>256.90876395053073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18.209859375936439</v>
      </c>
      <c r="DG113" s="21">
        <f>EXP(-LN(2)/25)*DG112+(1-EXP(-LN(2)/25))/(LN(2)/25)*Calculateur!DB113*Calculateur!DD113*VLOOKUP('Données projet'!$B$13,Paramètres!$A$1:$I$89,3,0)*0.475*44/12</f>
        <v>15.88579410354364</v>
      </c>
      <c r="DH113" s="21">
        <f>EXP(-LN(2)/2)*DH112+(1-EXP(-LN(2)/2))/(LN(2)/2)*DB113*DE113*VLOOKUP('Données projet'!$B$13,Paramètres!$A$1:$I$89,3,0)*0.475*44/12</f>
        <v>1.3869153332711219E-3</v>
      </c>
      <c r="DI113" s="22">
        <f t="shared" si="69"/>
        <v>34.097040394813348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10.725999999999999</v>
      </c>
      <c r="N114" s="13">
        <f>IF('Données projet'!$A$36&gt;35,N113+M114-V113,IF(A114&lt;'Données projet'!$A$36,$K$205^A114,IF(A114='Données projet'!$A$36,'Données projet'!$B$36,N113+M114-V113)))</f>
        <v>468.46600000000012</v>
      </c>
      <c r="O114" s="13">
        <f>N114*VLOOKUP('Données projet'!$B$9,Paramètres!$A$1:$I$89,3,0)*VLOOKUP('Données projet'!$B$9,Paramètres!$A$1:$I$89,5,0)</f>
        <v>423.86803680000014</v>
      </c>
      <c r="P114" s="13">
        <f t="shared" si="87"/>
        <v>96.59910072492606</v>
      </c>
      <c r="Q114" s="20">
        <f t="shared" si="107"/>
        <v>906.48026452257966</v>
      </c>
      <c r="R114" s="59">
        <f t="shared" si="55"/>
        <v>1199.813597855913</v>
      </c>
      <c r="S114" s="59">
        <f ca="1">AVERAGE(OFFSET($R$3,0,0,'Données projet'!$E$9+1,1))-AVERAGE(OFFSET($H$3,0,0,'Données projet'!$E$9+1,1))</f>
        <v>695.0879239758051</v>
      </c>
      <c r="T114" s="59">
        <f t="shared" si="88"/>
        <v>226.22150997227476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56.91843701242999</v>
      </c>
      <c r="AA114" s="21">
        <f>EXP(-LN(2)/25)*AA113+(1-EXP(-LN(2)/25))/(LN(2)/25)*Calculateur!V114*Calculateur!X114*VLOOKUP('Données projet'!$B$9,Paramètres!$A$1:$I$89,3,0)*0.475*44/12</f>
        <v>31.88002701846797</v>
      </c>
      <c r="AB114" s="21">
        <f>EXP(-LN(2)/2)*AB113+(1-EXP(-LN(2)/2))/(LN(2)/2)*V114*Y114*VLOOKUP('Données projet'!$B$9,Paramètres!$A$1:$I$89,3,0)*0.475*44/12</f>
        <v>4.2732280465510013E-3</v>
      </c>
      <c r="AC114" s="22">
        <f t="shared" si="57"/>
        <v>88.802737258944518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4.7884896048344674E-14</v>
      </c>
      <c r="AK114" s="13">
        <f t="shared" si="89"/>
        <v>7.8374629847779921E-13</v>
      </c>
      <c r="AL114" s="20">
        <f t="shared" si="58"/>
        <v>1.4484243304663672E-12</v>
      </c>
      <c r="AM114" s="59">
        <f t="shared" si="59"/>
        <v>293.33333333333474</v>
      </c>
      <c r="AN114" s="59">
        <f ca="1">AVERAGE(OFFSET($AM$3,0,0,'Données projet'!$E$10+1,1))-AVERAGE(OFFSET($H$3,0,0,'Données projet'!$E$10+1,1))</f>
        <v>424.81155998881928</v>
      </c>
      <c r="AO114" s="59">
        <f t="shared" si="90"/>
        <v>277.34430416544575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110.80764519342344</v>
      </c>
      <c r="AV114" s="21">
        <f>EXP(-LN(2)/25)*AV113+(1-EXP(-LN(2)/25))/(LN(2)/25)*Calculateur!AQ114*Calculateur!AS114*VLOOKUP('Données projet'!$B$10,Paramètres!$A$1:$I$89,3,0)*0.475*44/12</f>
        <v>24.357847423226051</v>
      </c>
      <c r="AW114" s="21">
        <f>EXP(-LN(2)/2)*AW113+(1-EXP(-LN(2)/2))/(LN(2)/2)*AQ114*AT114*VLOOKUP('Données projet'!$B$10,Paramètres!$A$1:$I$89,3,0)*0.475*44/12</f>
        <v>1.3122175678518486</v>
      </c>
      <c r="AX114" s="21">
        <f t="shared" si="60"/>
        <v>136.47771018450135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403.59735000000074</v>
      </c>
      <c r="BF114" s="13">
        <f t="shared" si="91"/>
        <v>92.505592268354718</v>
      </c>
      <c r="BG114" s="20">
        <f t="shared" si="61"/>
        <v>864.04595778405246</v>
      </c>
      <c r="BH114" s="59">
        <f t="shared" si="62"/>
        <v>1157.3792911173857</v>
      </c>
      <c r="BI114" s="59">
        <f ca="1">AVERAGE(OFFSET($BH$3,0,0,'Données projet'!$E$11+1,1))-AVERAGE(OFFSET($H$3,0,0,'Données projet'!$E$11+1,1))</f>
        <v>706.69239849991595</v>
      </c>
      <c r="BJ114" s="59">
        <f t="shared" si="92"/>
        <v>310.59887275116529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32.288421359537601</v>
      </c>
      <c r="BQ114" s="21">
        <f>EXP(-LN(2)/25)*BQ113+(1-EXP(-LN(2)/25))/(LN(2)/25)*Calculateur!BL114*Calculateur!BN114*VLOOKUP('Données projet'!$B$11,Paramètres!$A$1:$I$89,3,0)*0.475*44/12</f>
        <v>24.943226055085095</v>
      </c>
      <c r="BR114" s="21">
        <f>EXP(-LN(2)/2)*BR113+(1-EXP(-LN(2)/2))/(LN(2)/2)*BL114*BO114*VLOOKUP('Données projet'!$B$11,Paramètres!$A$1:$I$89,3,0)*0.475*44/12</f>
        <v>0.57724883188322096</v>
      </c>
      <c r="BS114" s="22">
        <f t="shared" si="63"/>
        <v>57.808896246505924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8.7540000000000013</v>
      </c>
      <c r="BY114" s="12">
        <f>IF('Données projet'!$A$114&gt;35,BY113+BX114-CG113,IF(A114&lt;'Données projet'!$A$114,$BV$205^A114,IF(A114='Données projet'!$A$114,'Données projet'!$B$114,BY113+BX114-CG113)))</f>
        <v>373.67200000000025</v>
      </c>
      <c r="BZ114" s="13">
        <f>BY114*VLOOKUP('Données projet'!$B$12,Paramètres!$A$1:$I$89,3,0)*VLOOKUP('Données projet'!$B$12,Paramètres!$A$1:$I$89,5,0)</f>
        <v>355.58627520000022</v>
      </c>
      <c r="CA114" s="13">
        <f t="shared" si="93"/>
        <v>82.711721103289179</v>
      </c>
      <c r="CB114" s="20">
        <f t="shared" si="64"/>
        <v>763.36901022822894</v>
      </c>
      <c r="CC114" s="59">
        <f t="shared" si="65"/>
        <v>1056.7023435615622</v>
      </c>
      <c r="CD114" s="59">
        <f ca="1">AVERAGE(OFFSET($CC$3,0,0,'Données projet'!$E$12+1,1))-AVERAGE(OFFSET($H$3,0,0,'Données projet'!$E$12+1,1))</f>
        <v>449.28947235329758</v>
      </c>
      <c r="CE114" s="59">
        <f t="shared" si="94"/>
        <v>289.36994109443964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39.051749837512801</v>
      </c>
      <c r="CL114" s="21">
        <f>EXP(-LN(2)/25)*CL113+(1-EXP(-LN(2)/25))/(LN(2)/25)*Calculateur!CG114*Calculateur!CI114*VLOOKUP('Données projet'!$B$12,Paramètres!$A$1:$I$89,3,0)*0.475*44/12</f>
        <v>20.721394637762252</v>
      </c>
      <c r="CM114" s="21">
        <f>EXP(-LN(2)/2)*CM113+(1-EXP(-LN(2)/2))/(LN(2)/2)*CG114*CJ114*VLOOKUP('Données projet'!$B$12,Paramètres!$A$1:$I$89,3,0)*0.475*44/12</f>
        <v>2.897745177872436E-4</v>
      </c>
      <c r="CN114" s="22">
        <f t="shared" si="66"/>
        <v>59.773434249792842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2.8421709430404007E-14</v>
      </c>
      <c r="CU114" s="17">
        <f>CT114*VLOOKUP('Données projet'!$B$13,Paramètres!$A$1:$I$89,3,0)*VLOOKUP('Données projet'!$B$13,Paramètres!$A$1:$I$89,5,0)</f>
        <v>2.4829205358400945E-14</v>
      </c>
      <c r="CV114" s="13">
        <f t="shared" si="95"/>
        <v>4.3867331143352915E-13</v>
      </c>
      <c r="CW114" s="20">
        <f t="shared" si="67"/>
        <v>8.0726688341261168E-13</v>
      </c>
      <c r="CX114" s="59">
        <f t="shared" si="68"/>
        <v>293.33333333333411</v>
      </c>
      <c r="CY114" s="59">
        <f ca="1">AVERAGE(OFFSET($CX$3,0,0,'Données projet'!$E$13+1,1))-AVERAGE(OFFSET($H$3,0,0,'Données projet'!$E$13+1,1))</f>
        <v>261.93797831021766</v>
      </c>
      <c r="CZ114" s="59">
        <f t="shared" si="96"/>
        <v>256.90876395053073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17.852775140491829</v>
      </c>
      <c r="DG114" s="21">
        <f>EXP(-LN(2)/25)*DG113+(1-EXP(-LN(2)/25))/(LN(2)/25)*Calculateur!DB114*Calculateur!DD114*VLOOKUP('Données projet'!$B$13,Paramètres!$A$1:$I$89,3,0)*0.475*44/12</f>
        <v>15.451396228384635</v>
      </c>
      <c r="DH114" s="21">
        <f>EXP(-LN(2)/2)*DH113+(1-EXP(-LN(2)/2))/(LN(2)/2)*DB114*DE114*VLOOKUP('Données projet'!$B$13,Paramètres!$A$1:$I$89,3,0)*0.475*44/12</f>
        <v>9.8069723708761082E-4</v>
      </c>
      <c r="DI114" s="22">
        <f t="shared" si="69"/>
        <v>33.305152066113557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10.725999999999999</v>
      </c>
      <c r="N115" s="13">
        <f>IF('Données projet'!$A$36&gt;35,N114+M115-V114,IF(A115&lt;'Données projet'!$A$36,$K$205^A115,IF(A115='Données projet'!$A$36,'Données projet'!$B$36,N114+M115-V114)))</f>
        <v>479.19200000000012</v>
      </c>
      <c r="O115" s="13">
        <f>N115*VLOOKUP('Données projet'!$B$9,Paramètres!$A$1:$I$89,3,0)*VLOOKUP('Données projet'!$B$9,Paramètres!$A$1:$I$89,5,0)</f>
        <v>433.57292160000009</v>
      </c>
      <c r="P115" s="13">
        <f t="shared" si="87"/>
        <v>98.550806203987747</v>
      </c>
      <c r="Q115" s="20">
        <f t="shared" si="107"/>
        <v>926.78215925861196</v>
      </c>
      <c r="R115" s="59">
        <f t="shared" si="55"/>
        <v>1220.1154925919452</v>
      </c>
      <c r="S115" s="59">
        <f ca="1">AVERAGE(OFFSET($R$3,0,0,'Données projet'!$E$9+1,1))-AVERAGE(OFFSET($H$3,0,0,'Données projet'!$E$9+1,1))</f>
        <v>695.0879239758051</v>
      </c>
      <c r="T115" s="59">
        <f t="shared" si="88"/>
        <v>226.22150997227476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55.802301179434814</v>
      </c>
      <c r="AA115" s="21">
        <f>EXP(-LN(2)/25)*AA114+(1-EXP(-LN(2)/25))/(LN(2)/25)*Calculateur!V115*Calculateur!X115*VLOOKUP('Données projet'!$B$9,Paramètres!$A$1:$I$89,3,0)*0.475*44/12</f>
        <v>31.008266003150204</v>
      </c>
      <c r="AB115" s="21">
        <f>EXP(-LN(2)/2)*AB114+(1-EXP(-LN(2)/2))/(LN(2)/2)*V115*Y115*VLOOKUP('Données projet'!$B$9,Paramètres!$A$1:$I$89,3,0)*0.475*44/12</f>
        <v>3.0216285292727569E-3</v>
      </c>
      <c r="AC115" s="22">
        <f t="shared" si="57"/>
        <v>86.813588811114286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4.7884896048344674E-14</v>
      </c>
      <c r="AK115" s="13">
        <f t="shared" si="89"/>
        <v>7.8374629847779921E-13</v>
      </c>
      <c r="AL115" s="20">
        <f t="shared" si="58"/>
        <v>1.4484243304663672E-12</v>
      </c>
      <c r="AM115" s="59">
        <f t="shared" si="59"/>
        <v>293.33333333333474</v>
      </c>
      <c r="AN115" s="59">
        <f ca="1">AVERAGE(OFFSET($AM$3,0,0,'Données projet'!$E$10+1,1))-AVERAGE(OFFSET($H$3,0,0,'Données projet'!$E$10+1,1))</f>
        <v>424.81155998881928</v>
      </c>
      <c r="AO115" s="59">
        <f t="shared" si="90"/>
        <v>277.34430416544575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108.63477485717041</v>
      </c>
      <c r="AV115" s="21">
        <f>EXP(-LN(2)/25)*AV114+(1-EXP(-LN(2)/25))/(LN(2)/25)*Calculateur!AQ115*Calculateur!AS115*VLOOKUP('Données projet'!$B$10,Paramètres!$A$1:$I$89,3,0)*0.475*44/12</f>
        <v>23.691780804514408</v>
      </c>
      <c r="AW115" s="21">
        <f>EXP(-LN(2)/2)*AW114+(1-EXP(-LN(2)/2))/(LN(2)/2)*AQ115*AT115*VLOOKUP('Données projet'!$B$10,Paramètres!$A$1:$I$89,3,0)*0.475*44/12</f>
        <v>0.92787794062016071</v>
      </c>
      <c r="AX115" s="21">
        <f t="shared" si="60"/>
        <v>133.254433602305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412.56618000000077</v>
      </c>
      <c r="BF115" s="13">
        <f t="shared" si="91"/>
        <v>94.319660957344354</v>
      </c>
      <c r="BG115" s="20">
        <f t="shared" si="61"/>
        <v>882.82617300070933</v>
      </c>
      <c r="BH115" s="59">
        <f t="shared" si="62"/>
        <v>1176.1595063340426</v>
      </c>
      <c r="BI115" s="59">
        <f ca="1">AVERAGE(OFFSET($BH$3,0,0,'Données projet'!$E$11+1,1))-AVERAGE(OFFSET($H$3,0,0,'Données projet'!$E$11+1,1))</f>
        <v>706.69239849991595</v>
      </c>
      <c r="BJ115" s="59">
        <f t="shared" si="92"/>
        <v>310.59887275116529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31.655265110669479</v>
      </c>
      <c r="BQ115" s="21">
        <f>EXP(-LN(2)/25)*BQ114+(1-EXP(-LN(2)/25))/(LN(2)/25)*Calculateur!BL115*Calculateur!BN115*VLOOKUP('Données projet'!$B$11,Paramètres!$A$1:$I$89,3,0)*0.475*44/12</f>
        <v>24.261152226901544</v>
      </c>
      <c r="BR115" s="21">
        <f>EXP(-LN(2)/2)*BR114+(1-EXP(-LN(2)/2))/(LN(2)/2)*BL115*BO115*VLOOKUP('Données projet'!$B$11,Paramètres!$A$1:$I$89,3,0)*0.475*44/12</f>
        <v>0.40817656345663889</v>
      </c>
      <c r="BS115" s="22">
        <f t="shared" si="63"/>
        <v>56.324593901027662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8.7540000000000013</v>
      </c>
      <c r="BY115" s="12">
        <f>IF('Données projet'!$A$114&gt;35,BY114+BX115-CG114,IF(A115&lt;'Données projet'!$A$114,$BV$205^A115,IF(A115='Données projet'!$A$114,'Données projet'!$B$114,BY114+BX115-CG114)))</f>
        <v>382.42600000000027</v>
      </c>
      <c r="BZ115" s="13">
        <f>BY115*VLOOKUP('Données projet'!$B$12,Paramètres!$A$1:$I$89,3,0)*VLOOKUP('Données projet'!$B$12,Paramètres!$A$1:$I$89,5,0)</f>
        <v>363.91658160000026</v>
      </c>
      <c r="CA115" s="13">
        <f t="shared" si="93"/>
        <v>84.421544732010858</v>
      </c>
      <c r="CB115" s="20">
        <f t="shared" si="64"/>
        <v>780.85557002825271</v>
      </c>
      <c r="CC115" s="59">
        <f t="shared" si="65"/>
        <v>1074.188903361586</v>
      </c>
      <c r="CD115" s="59">
        <f ca="1">AVERAGE(OFFSET($CC$3,0,0,'Données projet'!$E$12+1,1))-AVERAGE(OFFSET($H$3,0,0,'Données projet'!$E$12+1,1))</f>
        <v>449.28947235329758</v>
      </c>
      <c r="CE115" s="59">
        <f t="shared" si="94"/>
        <v>289.36994109443964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38.285968842414626</v>
      </c>
      <c r="CL115" s="21">
        <f>EXP(-LN(2)/25)*CL114+(1-EXP(-LN(2)/25))/(LN(2)/25)*Calculateur!CG115*Calculateur!CI115*VLOOKUP('Données projet'!$B$12,Paramètres!$A$1:$I$89,3,0)*0.475*44/12</f>
        <v>20.154767011701857</v>
      </c>
      <c r="CM115" s="21">
        <f>EXP(-LN(2)/2)*CM114+(1-EXP(-LN(2)/2))/(LN(2)/2)*CG115*CJ115*VLOOKUP('Données projet'!$B$12,Paramètres!$A$1:$I$89,3,0)*0.475*44/12</f>
        <v>2.0490152654242179E-4</v>
      </c>
      <c r="CN115" s="22">
        <f t="shared" si="66"/>
        <v>58.440940755643027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2.8421709430404007E-14</v>
      </c>
      <c r="CU115" s="17">
        <f>CT115*VLOOKUP('Données projet'!$B$13,Paramètres!$A$1:$I$89,3,0)*VLOOKUP('Données projet'!$B$13,Paramètres!$A$1:$I$89,5,0)</f>
        <v>2.4829205358400945E-14</v>
      </c>
      <c r="CV115" s="13">
        <f t="shared" si="95"/>
        <v>4.3867331143352915E-13</v>
      </c>
      <c r="CW115" s="20">
        <f t="shared" si="67"/>
        <v>8.0726688341261168E-13</v>
      </c>
      <c r="CX115" s="59">
        <f t="shared" si="68"/>
        <v>293.33333333333411</v>
      </c>
      <c r="CY115" s="59">
        <f ca="1">AVERAGE(OFFSET($CX$3,0,0,'Données projet'!$E$13+1,1))-AVERAGE(OFFSET($H$3,0,0,'Données projet'!$E$13+1,1))</f>
        <v>261.93797831021766</v>
      </c>
      <c r="CZ115" s="59">
        <f t="shared" si="96"/>
        <v>256.90876395053073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17.50269310910441</v>
      </c>
      <c r="DG115" s="21">
        <f>EXP(-LN(2)/25)*DG114+(1-EXP(-LN(2)/25))/(LN(2)/25)*Calculateur!DB115*Calculateur!DD115*VLOOKUP('Données projet'!$B$13,Paramètres!$A$1:$I$89,3,0)*0.475*44/12</f>
        <v>15.028876985965844</v>
      </c>
      <c r="DH115" s="21">
        <f>EXP(-LN(2)/2)*DH114+(1-EXP(-LN(2)/2))/(LN(2)/2)*DB115*DE115*VLOOKUP('Données projet'!$B$13,Paramètres!$A$1:$I$89,3,0)*0.475*44/12</f>
        <v>6.9345766663556096E-4</v>
      </c>
      <c r="DI115" s="22">
        <f t="shared" si="69"/>
        <v>32.532263552736886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10.725999999999999</v>
      </c>
      <c r="N116" s="13">
        <f>IF('Données projet'!$A$36&gt;35,N115+M116-V115,IF(A116&lt;'Données projet'!$A$36,$K$205^A116,IF(A116='Données projet'!$A$36,'Données projet'!$B$36,N115+M116-V115)))</f>
        <v>489.91800000000012</v>
      </c>
      <c r="O116" s="13">
        <f>N116*VLOOKUP('Données projet'!$B$9,Paramètres!$A$1:$I$89,3,0)*VLOOKUP('Données projet'!$B$9,Paramètres!$A$1:$I$89,5,0)</f>
        <v>443.27780640000015</v>
      </c>
      <c r="P116" s="13">
        <f t="shared" si="87"/>
        <v>100.49743280031032</v>
      </c>
      <c r="Q116" s="20">
        <f t="shared" si="107"/>
        <v>947.07520827387407</v>
      </c>
      <c r="R116" s="59">
        <f t="shared" si="55"/>
        <v>1240.4085416072073</v>
      </c>
      <c r="S116" s="59">
        <f ca="1">AVERAGE(OFFSET($R$3,0,0,'Données projet'!$E$9+1,1))-AVERAGE(OFFSET($H$3,0,0,'Données projet'!$E$9+1,1))</f>
        <v>695.0879239758051</v>
      </c>
      <c r="T116" s="59">
        <f t="shared" si="88"/>
        <v>226.22150997227476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54.708052089349039</v>
      </c>
      <c r="AA116" s="21">
        <f>EXP(-LN(2)/25)*AA115+(1-EXP(-LN(2)/25))/(LN(2)/25)*Calculateur!V116*Calculateur!X116*VLOOKUP('Données projet'!$B$9,Paramètres!$A$1:$I$89,3,0)*0.475*44/12</f>
        <v>30.160343338640224</v>
      </c>
      <c r="AB116" s="21">
        <f>EXP(-LN(2)/2)*AB115+(1-EXP(-LN(2)/2))/(LN(2)/2)*V116*Y116*VLOOKUP('Données projet'!$B$9,Paramètres!$A$1:$I$89,3,0)*0.475*44/12</f>
        <v>2.1366140232755007E-3</v>
      </c>
      <c r="AC116" s="22">
        <f t="shared" si="57"/>
        <v>84.870532042012542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4.7884896048344674E-14</v>
      </c>
      <c r="AK116" s="13">
        <f t="shared" si="89"/>
        <v>7.8374629847779921E-13</v>
      </c>
      <c r="AL116" s="20">
        <f t="shared" si="58"/>
        <v>1.4484243304663672E-12</v>
      </c>
      <c r="AM116" s="59">
        <f t="shared" si="59"/>
        <v>293.33333333333474</v>
      </c>
      <c r="AN116" s="59">
        <f ca="1">AVERAGE(OFFSET($AM$3,0,0,'Données projet'!$E$10+1,1))-AVERAGE(OFFSET($H$3,0,0,'Données projet'!$E$10+1,1))</f>
        <v>424.81155998881928</v>
      </c>
      <c r="AO116" s="59">
        <f t="shared" si="90"/>
        <v>277.34430416544575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106.50451318289127</v>
      </c>
      <c r="AV116" s="21">
        <f>EXP(-LN(2)/25)*AV115+(1-EXP(-LN(2)/25))/(LN(2)/25)*Calculateur!AQ116*Calculateur!AS116*VLOOKUP('Données projet'!$B$10,Paramètres!$A$1:$I$89,3,0)*0.475*44/12</f>
        <v>23.043927812518358</v>
      </c>
      <c r="AW116" s="21">
        <f>EXP(-LN(2)/2)*AW115+(1-EXP(-LN(2)/2))/(LN(2)/2)*AQ116*AT116*VLOOKUP('Données projet'!$B$10,Paramètres!$A$1:$I$89,3,0)*0.475*44/12</f>
        <v>0.65610878392592431</v>
      </c>
      <c r="AX116" s="21">
        <f t="shared" si="60"/>
        <v>130.20454977933557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421.5350100000008</v>
      </c>
      <c r="BF116" s="13">
        <f t="shared" si="91"/>
        <v>96.129144685048502</v>
      </c>
      <c r="BG116" s="20">
        <f t="shared" si="61"/>
        <v>901.59840274312739</v>
      </c>
      <c r="BH116" s="59">
        <f t="shared" si="62"/>
        <v>1194.9317360764608</v>
      </c>
      <c r="BI116" s="59">
        <f ca="1">AVERAGE(OFFSET($BH$3,0,0,'Données projet'!$E$11+1,1))-AVERAGE(OFFSET($H$3,0,0,'Données projet'!$E$11+1,1))</f>
        <v>706.69239849991595</v>
      </c>
      <c r="BJ116" s="59">
        <f t="shared" si="92"/>
        <v>310.59887275116529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31.034524669654481</v>
      </c>
      <c r="BQ116" s="21">
        <f>EXP(-LN(2)/25)*BQ115+(1-EXP(-LN(2)/25))/(LN(2)/25)*Calculateur!BL116*Calculateur!BN116*VLOOKUP('Données projet'!$B$11,Paramètres!$A$1:$I$89,3,0)*0.475*44/12</f>
        <v>23.597729743418377</v>
      </c>
      <c r="BR116" s="21">
        <f>EXP(-LN(2)/2)*BR115+(1-EXP(-LN(2)/2))/(LN(2)/2)*BL116*BO116*VLOOKUP('Données projet'!$B$11,Paramètres!$A$1:$I$89,3,0)*0.475*44/12</f>
        <v>0.28862441594161048</v>
      </c>
      <c r="BS116" s="22">
        <f t="shared" si="63"/>
        <v>54.92087882901447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391.18</v>
      </c>
      <c r="BW116" s="12">
        <f>VLOOKUP(A116,'Données projet'!$A$113:$I$133,9,0)</f>
        <v>8.7540000000000013</v>
      </c>
      <c r="BX116" s="12">
        <f t="array" ref="BX116">INDEX(BW:BW,MIN(IF(ISNUMBER(BW116:BW312),ROW(BW116:BW312),"")))</f>
        <v>8.7540000000000013</v>
      </c>
      <c r="BY116" s="12">
        <f>IF('Données projet'!$A$114&gt;35,BY115+BX116-CG115,IF(A116&lt;'Données projet'!$A$114,$BV$205^A116,IF(A116='Données projet'!$A$114,'Données projet'!$B$114,BY115+BX116-CG115)))</f>
        <v>391.18000000000029</v>
      </c>
      <c r="BZ116" s="13">
        <f>BY116*VLOOKUP('Données projet'!$B$12,Paramètres!$A$1:$I$89,3,0)*VLOOKUP('Données projet'!$B$12,Paramètres!$A$1:$I$89,5,0)</f>
        <v>372.2468880000003</v>
      </c>
      <c r="CA116" s="13">
        <f t="shared" si="93"/>
        <v>86.126818217596863</v>
      </c>
      <c r="CB116" s="20">
        <f t="shared" si="64"/>
        <v>798.33420499564829</v>
      </c>
      <c r="CC116" s="59">
        <f t="shared" si="65"/>
        <v>1091.6675383289817</v>
      </c>
      <c r="CD116" s="59">
        <f ca="1">AVERAGE(OFFSET($CC$3,0,0,'Données projet'!$E$12+1,1))-AVERAGE(OFFSET($H$3,0,0,'Données projet'!$E$12+1,1))</f>
        <v>449.28947235329758</v>
      </c>
      <c r="CE116" s="59">
        <f t="shared" si="94"/>
        <v>289.36994109443964</v>
      </c>
      <c r="CF116" s="15">
        <f>IF(ISNA(VLOOKUP(A116,'Données projet'!$A$113:$I$133,3,0)),0,VLOOKUP(A116,'Données projet'!$A$113:$I$133,3,0))</f>
        <v>10</v>
      </c>
      <c r="CG116" s="15">
        <f>IF(ISNA(VLOOKUP(A116,'Données projet'!$A$113:$I$133,4,0)),0,VLOOKUP(A116,'Données projet'!$A$113:$I$133,4,0))</f>
        <v>68.670000000000016</v>
      </c>
      <c r="CH116" s="16">
        <f>IF(ISNA(VLOOKUP(A116,'Données projet'!$A$113:$I$133,5,0)),0%,VLOOKUP(A116,'Données projet'!$A$113:$I$133,5,0)*VLOOKUP('Données projet'!$B$12,Paramètres!$A$1:$I$89,7,0))</f>
        <v>0.215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53.066477256577429</v>
      </c>
      <c r="CL116" s="21">
        <f>EXP(-LN(2)/25)*CL115+(1-EXP(-LN(2)/25))/(LN(2)/25)*Calculateur!CG116*Calculateur!CI116*VLOOKUP('Données projet'!$B$12,Paramètres!$A$1:$I$89,3,0)*0.475*44/12</f>
        <v>25.791681996552835</v>
      </c>
      <c r="CM116" s="21">
        <f>EXP(-LN(2)/2)*CM115+(1-EXP(-LN(2)/2))/(LN(2)/2)*CG116*CJ116*VLOOKUP('Données projet'!$B$12,Paramètres!$A$1:$I$89,3,0)*0.475*44/12</f>
        <v>1.448872588936218E-4</v>
      </c>
      <c r="CN116" s="22">
        <f t="shared" si="66"/>
        <v>78.858304140389166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2.8421709430404007E-14</v>
      </c>
      <c r="CU116" s="17">
        <f>CT116*VLOOKUP('Données projet'!$B$13,Paramètres!$A$1:$I$89,3,0)*VLOOKUP('Données projet'!$B$13,Paramètres!$A$1:$I$89,5,0)</f>
        <v>2.4829205358400945E-14</v>
      </c>
      <c r="CV116" s="13">
        <f t="shared" si="95"/>
        <v>4.3867331143352915E-13</v>
      </c>
      <c r="CW116" s="20">
        <f t="shared" si="67"/>
        <v>8.0726688341261168E-13</v>
      </c>
      <c r="CX116" s="59">
        <f t="shared" si="68"/>
        <v>293.33333333333411</v>
      </c>
      <c r="CY116" s="59">
        <f ca="1">AVERAGE(OFFSET($CX$3,0,0,'Données projet'!$E$13+1,1))-AVERAGE(OFFSET($H$3,0,0,'Données projet'!$E$13+1,1))</f>
        <v>261.93797831021766</v>
      </c>
      <c r="CZ116" s="59">
        <f t="shared" si="96"/>
        <v>256.90876395053073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17.159475972823543</v>
      </c>
      <c r="DG116" s="21">
        <f>EXP(-LN(2)/25)*DG115+(1-EXP(-LN(2)/25))/(LN(2)/25)*Calculateur!DB116*Calculateur!DD116*VLOOKUP('Données projet'!$B$13,Paramètres!$A$1:$I$89,3,0)*0.475*44/12</f>
        <v>14.617911554450316</v>
      </c>
      <c r="DH116" s="21">
        <f>EXP(-LN(2)/2)*DH115+(1-EXP(-LN(2)/2))/(LN(2)/2)*DB116*DE116*VLOOKUP('Données projet'!$B$13,Paramètres!$A$1:$I$89,3,0)*0.475*44/12</f>
        <v>4.9034861854380541E-4</v>
      </c>
      <c r="DI116" s="22">
        <f t="shared" si="69"/>
        <v>31.777877875892404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10.725999999999999</v>
      </c>
      <c r="N117" s="13">
        <f>IF('Données projet'!$A$36&gt;35,N116+M117-V116,IF(A117&lt;'Données projet'!$A$36,$K$205^A117,IF(A117='Données projet'!$A$36,'Données projet'!$B$36,N116+M117-V116)))</f>
        <v>500.64400000000012</v>
      </c>
      <c r="O117" s="13">
        <f>N117*VLOOKUP('Données projet'!$B$9,Paramètres!$A$1:$I$89,3,0)*VLOOKUP('Données projet'!$B$9,Paramètres!$A$1:$I$89,5,0)</f>
        <v>452.98269120000009</v>
      </c>
      <c r="P117" s="13">
        <f t="shared" si="87"/>
        <v>102.43910451319562</v>
      </c>
      <c r="Q117" s="20">
        <f t="shared" si="107"/>
        <v>967.35962753381591</v>
      </c>
      <c r="R117" s="59">
        <f t="shared" si="55"/>
        <v>1260.6929608671492</v>
      </c>
      <c r="S117" s="59">
        <f ca="1">AVERAGE(OFFSET($R$3,0,0,'Données projet'!$E$9+1,1))-AVERAGE(OFFSET($H$3,0,0,'Données projet'!$E$9+1,1))</f>
        <v>695.0879239758051</v>
      </c>
      <c r="T117" s="59">
        <f t="shared" si="88"/>
        <v>226.22150997227476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53.635260556493805</v>
      </c>
      <c r="AA117" s="21">
        <f>EXP(-LN(2)/25)*AA116+(1-EXP(-LN(2)/25))/(LN(2)/25)*Calculateur!V117*Calculateur!X117*VLOOKUP('Données projet'!$B$9,Paramètres!$A$1:$I$89,3,0)*0.475*44/12</f>
        <v>29.335607163981585</v>
      </c>
      <c r="AB117" s="21">
        <f>EXP(-LN(2)/2)*AB116+(1-EXP(-LN(2)/2))/(LN(2)/2)*V117*Y117*VLOOKUP('Données projet'!$B$9,Paramètres!$A$1:$I$89,3,0)*0.475*44/12</f>
        <v>1.5108142646363784E-3</v>
      </c>
      <c r="AC117" s="22">
        <f t="shared" si="57"/>
        <v>82.972378534740017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4.7884896048344674E-14</v>
      </c>
      <c r="AK117" s="13">
        <f t="shared" si="89"/>
        <v>7.8374629847779921E-13</v>
      </c>
      <c r="AL117" s="20">
        <f t="shared" si="58"/>
        <v>1.4484243304663672E-12</v>
      </c>
      <c r="AM117" s="59">
        <f t="shared" si="59"/>
        <v>293.33333333333474</v>
      </c>
      <c r="AN117" s="59">
        <f ca="1">AVERAGE(OFFSET($AM$3,0,0,'Données projet'!$E$10+1,1))-AVERAGE(OFFSET($H$3,0,0,'Données projet'!$E$10+1,1))</f>
        <v>424.81155998881928</v>
      </c>
      <c r="AO117" s="59">
        <f t="shared" si="90"/>
        <v>277.34430416544575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104.41602464071342</v>
      </c>
      <c r="AV117" s="21">
        <f>EXP(-LN(2)/25)*AV116+(1-EXP(-LN(2)/25))/(LN(2)/25)*Calculateur!AQ117*Calculateur!AS117*VLOOKUP('Données projet'!$B$10,Paramètres!$A$1:$I$89,3,0)*0.475*44/12</f>
        <v>22.413790394657546</v>
      </c>
      <c r="AW117" s="21">
        <f>EXP(-LN(2)/2)*AW116+(1-EXP(-LN(2)/2))/(LN(2)/2)*AQ117*AT117*VLOOKUP('Données projet'!$B$10,Paramètres!$A$1:$I$89,3,0)*0.475*44/12</f>
        <v>0.46393897031008036</v>
      </c>
      <c r="AX117" s="21">
        <f t="shared" si="60"/>
        <v>127.29375400568104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430.50384000000082</v>
      </c>
      <c r="BF117" s="13">
        <f t="shared" si="91"/>
        <v>97.934152240758081</v>
      </c>
      <c r="BG117" s="20">
        <f t="shared" si="61"/>
        <v>920.3628364859884</v>
      </c>
      <c r="BH117" s="59">
        <f t="shared" si="62"/>
        <v>1213.6961698193218</v>
      </c>
      <c r="BI117" s="59">
        <f ca="1">AVERAGE(OFFSET($BH$3,0,0,'Données projet'!$E$11+1,1))-AVERAGE(OFFSET($H$3,0,0,'Données projet'!$E$11+1,1))</f>
        <v>706.69239849991595</v>
      </c>
      <c r="BJ117" s="59">
        <f t="shared" si="92"/>
        <v>310.59887275116529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40.861894346506055</v>
      </c>
      <c r="BQ117" s="21">
        <f>EXP(-LN(2)/25)*BQ116+(1-EXP(-LN(2)/25))/(LN(2)/25)*Calculateur!BL117*Calculateur!BN117*VLOOKUP('Données projet'!$B$11,Paramètres!$A$1:$I$89,3,0)*0.475*44/12</f>
        <v>28.892361447206902</v>
      </c>
      <c r="BR117" s="21">
        <f>EXP(-LN(2)/2)*BR116+(1-EXP(-LN(2)/2))/(LN(2)/2)*BL117*BO117*VLOOKUP('Données projet'!$B$11,Paramètres!$A$1:$I$89,3,0)*0.475*44/12</f>
        <v>6.1224589803897382</v>
      </c>
      <c r="BS117" s="22">
        <f t="shared" si="63"/>
        <v>75.876714774102695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8.7019999999999982</v>
      </c>
      <c r="BY117" s="12">
        <f>IF('Données projet'!$A$114&gt;35,BY116+BX117-CG116,IF(A117&lt;'Données projet'!$A$114,$BV$205^A117,IF(A117='Données projet'!$A$114,'Données projet'!$B$114,BY116+BX117-CG116)))</f>
        <v>331.21200000000027</v>
      </c>
      <c r="BZ117" s="13">
        <f>BY117*VLOOKUP('Données projet'!$B$12,Paramètres!$A$1:$I$89,3,0)*VLOOKUP('Données projet'!$B$12,Paramètres!$A$1:$I$89,5,0)</f>
        <v>315.18133920000031</v>
      </c>
      <c r="CA117" s="13">
        <f t="shared" si="93"/>
        <v>74.349853920870757</v>
      </c>
      <c r="CB117" s="20">
        <f t="shared" si="64"/>
        <v>678.43349468551708</v>
      </c>
      <c r="CC117" s="59">
        <f t="shared" si="65"/>
        <v>971.76682801885045</v>
      </c>
      <c r="CD117" s="59">
        <f ca="1">AVERAGE(OFFSET($CC$3,0,0,'Données projet'!$E$12+1,1))-AVERAGE(OFFSET($H$3,0,0,'Données projet'!$E$12+1,1))</f>
        <v>449.28947235329758</v>
      </c>
      <c r="CE117" s="59">
        <f t="shared" si="94"/>
        <v>289.36994109443964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52.025876004931064</v>
      </c>
      <c r="CL117" s="21">
        <f>EXP(-LN(2)/25)*CL116+(1-EXP(-LN(2)/25))/(LN(2)/25)*Calculateur!CG117*Calculateur!CI117*VLOOKUP('Données projet'!$B$12,Paramètres!$A$1:$I$89,3,0)*0.475*44/12</f>
        <v>25.08640709603149</v>
      </c>
      <c r="CM117" s="21">
        <f>EXP(-LN(2)/2)*CM116+(1-EXP(-LN(2)/2))/(LN(2)/2)*CG117*CJ117*VLOOKUP('Données projet'!$B$12,Paramètres!$A$1:$I$89,3,0)*0.475*44/12</f>
        <v>1.0245076327121089E-4</v>
      </c>
      <c r="CN117" s="22">
        <f t="shared" si="66"/>
        <v>77.112385551725822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2.8421709430404007E-14</v>
      </c>
      <c r="CU117" s="17">
        <f>CT117*VLOOKUP('Données projet'!$B$13,Paramètres!$A$1:$I$89,3,0)*VLOOKUP('Données projet'!$B$13,Paramètres!$A$1:$I$89,5,0)</f>
        <v>2.4829205358400945E-14</v>
      </c>
      <c r="CV117" s="13">
        <f t="shared" si="95"/>
        <v>4.3867331143352915E-13</v>
      </c>
      <c r="CW117" s="20">
        <f t="shared" si="67"/>
        <v>8.0726688341261168E-13</v>
      </c>
      <c r="CX117" s="59">
        <f t="shared" si="68"/>
        <v>293.33333333333411</v>
      </c>
      <c r="CY117" s="59">
        <f ca="1">AVERAGE(OFFSET($CX$3,0,0,'Données projet'!$E$13+1,1))-AVERAGE(OFFSET($H$3,0,0,'Données projet'!$E$13+1,1))</f>
        <v>261.93797831021766</v>
      </c>
      <c r="CZ117" s="59">
        <f t="shared" si="96"/>
        <v>256.90876395053073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16.822989115243359</v>
      </c>
      <c r="DG117" s="21">
        <f>EXP(-LN(2)/25)*DG116+(1-EXP(-LN(2)/25))/(LN(2)/25)*Calculateur!DB117*Calculateur!DD117*VLOOKUP('Données projet'!$B$13,Paramètres!$A$1:$I$89,3,0)*0.475*44/12</f>
        <v>14.218183994271314</v>
      </c>
      <c r="DH117" s="21">
        <f>EXP(-LN(2)/2)*DH116+(1-EXP(-LN(2)/2))/(LN(2)/2)*DB117*DE117*VLOOKUP('Données projet'!$B$13,Paramètres!$A$1:$I$89,3,0)*0.475*44/12</f>
        <v>3.4672883331778048E-4</v>
      </c>
      <c r="DI117" s="22">
        <f t="shared" si="69"/>
        <v>31.041519838347991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10.725999999999999</v>
      </c>
      <c r="N118" s="13">
        <f>IF('Données projet'!$A$36&gt;35,N117+M118-V117,IF(A118&lt;'Données projet'!$A$36,$K$205^A118,IF(A118='Données projet'!$A$36,'Données projet'!$B$36,N117+M118-V117)))</f>
        <v>511.37000000000012</v>
      </c>
      <c r="O118" s="13">
        <f>N118*VLOOKUP('Données projet'!$B$9,Paramètres!$A$1:$I$89,3,0)*VLOOKUP('Données projet'!$B$9,Paramètres!$A$1:$I$89,5,0)</f>
        <v>462.68757600000015</v>
      </c>
      <c r="P118" s="13">
        <f t="shared" si="87"/>
        <v>104.37593972520772</v>
      </c>
      <c r="Q118" s="20">
        <f t="shared" si="107"/>
        <v>987.63562322140353</v>
      </c>
      <c r="R118" s="59">
        <f t="shared" si="55"/>
        <v>1280.9689565547369</v>
      </c>
      <c r="S118" s="59">
        <f ca="1">AVERAGE(OFFSET($R$3,0,0,'Données projet'!$E$9+1,1))-AVERAGE(OFFSET($H$3,0,0,'Données projet'!$E$9+1,1))</f>
        <v>695.0879239758051</v>
      </c>
      <c r="T118" s="59">
        <f t="shared" si="88"/>
        <v>226.22150997227476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52.583505811259634</v>
      </c>
      <c r="AA118" s="21">
        <f>EXP(-LN(2)/25)*AA117+(1-EXP(-LN(2)/25))/(LN(2)/25)*Calculateur!V118*Calculateur!X118*VLOOKUP('Données projet'!$B$9,Paramètres!$A$1:$I$89,3,0)*0.475*44/12</f>
        <v>28.533423443389974</v>
      </c>
      <c r="AB118" s="21">
        <f>EXP(-LN(2)/2)*AB117+(1-EXP(-LN(2)/2))/(LN(2)/2)*V118*Y118*VLOOKUP('Données projet'!$B$9,Paramètres!$A$1:$I$89,3,0)*0.475*44/12</f>
        <v>1.0683070116377503E-3</v>
      </c>
      <c r="AC118" s="22">
        <f t="shared" si="57"/>
        <v>81.117997561661241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4.7884896048344674E-14</v>
      </c>
      <c r="AK118" s="13">
        <f t="shared" si="89"/>
        <v>7.8374629847779921E-13</v>
      </c>
      <c r="AL118" s="20">
        <f t="shared" si="58"/>
        <v>1.4484243304663672E-12</v>
      </c>
      <c r="AM118" s="59">
        <f t="shared" si="59"/>
        <v>293.33333333333474</v>
      </c>
      <c r="AN118" s="59">
        <f ca="1">AVERAGE(OFFSET($AM$3,0,0,'Données projet'!$E$10+1,1))-AVERAGE(OFFSET($H$3,0,0,'Données projet'!$E$10+1,1))</f>
        <v>424.81155998881928</v>
      </c>
      <c r="AO118" s="59">
        <f t="shared" si="90"/>
        <v>277.34430416544575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102.36849008499544</v>
      </c>
      <c r="AV118" s="21">
        <f>EXP(-LN(2)/25)*AV117+(1-EXP(-LN(2)/25))/(LN(2)/25)*Calculateur!AQ118*Calculateur!AS118*VLOOKUP('Données projet'!$B$10,Paramètres!$A$1:$I$89,3,0)*0.475*44/12</f>
        <v>21.800884117625625</v>
      </c>
      <c r="AW118" s="21">
        <f>EXP(-LN(2)/2)*AW117+(1-EXP(-LN(2)/2))/(LN(2)/2)*AQ118*AT118*VLOOKUP('Données projet'!$B$10,Paramètres!$A$1:$I$89,3,0)*0.475*44/12</f>
        <v>0.32805439196296216</v>
      </c>
      <c r="AX118" s="21">
        <f t="shared" si="60"/>
        <v>124.49742859458404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376.81862400000074</v>
      </c>
      <c r="BF118" s="13">
        <f t="shared" si="91"/>
        <v>87.06079278989921</v>
      </c>
      <c r="BG118" s="20">
        <f t="shared" si="61"/>
        <v>807.92331757574232</v>
      </c>
      <c r="BH118" s="59">
        <f t="shared" si="62"/>
        <v>1101.2566509090757</v>
      </c>
      <c r="BI118" s="59">
        <f ca="1">AVERAGE(OFFSET($BH$3,0,0,'Données projet'!$E$11+1,1))-AVERAGE(OFFSET($H$3,0,0,'Données projet'!$E$11+1,1))</f>
        <v>706.69239849991595</v>
      </c>
      <c r="BJ118" s="59">
        <f t="shared" si="92"/>
        <v>310.59887275116529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40.060617521665655</v>
      </c>
      <c r="BQ118" s="21">
        <f>EXP(-LN(2)/25)*BQ117+(1-EXP(-LN(2)/25))/(LN(2)/25)*Calculateur!BL118*Calculateur!BN118*VLOOKUP('Données projet'!$B$11,Paramètres!$A$1:$I$89,3,0)*0.475*44/12</f>
        <v>28.102298304049775</v>
      </c>
      <c r="BR118" s="21">
        <f>EXP(-LN(2)/2)*BR117+(1-EXP(-LN(2)/2))/(LN(2)/2)*BL118*BO118*VLOOKUP('Données projet'!$B$11,Paramètres!$A$1:$I$89,3,0)*0.475*44/12</f>
        <v>4.3292322625700601</v>
      </c>
      <c r="BS118" s="22">
        <f t="shared" si="63"/>
        <v>72.492148088285489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8.7019999999999982</v>
      </c>
      <c r="BY118" s="12">
        <f>IF('Données projet'!$A$114&gt;35,BY117+BX118-CG117,IF(A118&lt;'Données projet'!$A$114,$BV$205^A118,IF(A118='Données projet'!$A$114,'Données projet'!$B$114,BY117+BX118-CG117)))</f>
        <v>339.91400000000027</v>
      </c>
      <c r="BZ118" s="13">
        <f>BY118*VLOOKUP('Données projet'!$B$12,Paramètres!$A$1:$I$89,3,0)*VLOOKUP('Données projet'!$B$12,Paramètres!$A$1:$I$89,5,0)</f>
        <v>323.46216240000024</v>
      </c>
      <c r="CA118" s="13">
        <f t="shared" si="93"/>
        <v>76.073272094226141</v>
      </c>
      <c r="CB118" s="20">
        <f t="shared" si="64"/>
        <v>695.85754841077744</v>
      </c>
      <c r="CC118" s="59">
        <f t="shared" si="65"/>
        <v>989.19088174411081</v>
      </c>
      <c r="CD118" s="59">
        <f ca="1">AVERAGE(OFFSET($CC$3,0,0,'Données projet'!$E$12+1,1))-AVERAGE(OFFSET($H$3,0,0,'Données projet'!$E$12+1,1))</f>
        <v>449.28947235329758</v>
      </c>
      <c r="CE118" s="59">
        <f t="shared" si="94"/>
        <v>289.36994109443964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51.005680309125388</v>
      </c>
      <c r="CL118" s="21">
        <f>EXP(-LN(2)/25)*CL117+(1-EXP(-LN(2)/25))/(LN(2)/25)*Calculateur!CG118*Calculateur!CI118*VLOOKUP('Données projet'!$B$12,Paramètres!$A$1:$I$89,3,0)*0.475*44/12</f>
        <v>24.400417974753694</v>
      </c>
      <c r="CM118" s="21">
        <f>EXP(-LN(2)/2)*CM117+(1-EXP(-LN(2)/2))/(LN(2)/2)*CG118*CJ118*VLOOKUP('Données projet'!$B$12,Paramètres!$A$1:$I$89,3,0)*0.475*44/12</f>
        <v>7.2443629446810901E-5</v>
      </c>
      <c r="CN118" s="22">
        <f t="shared" si="66"/>
        <v>75.406170727508538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2.8421709430404007E-14</v>
      </c>
      <c r="CU118" s="17">
        <f>CT118*VLOOKUP('Données projet'!$B$13,Paramètres!$A$1:$I$89,3,0)*VLOOKUP('Données projet'!$B$13,Paramètres!$A$1:$I$89,5,0)</f>
        <v>2.4829205358400945E-14</v>
      </c>
      <c r="CV118" s="13">
        <f t="shared" si="95"/>
        <v>4.3867331143352915E-13</v>
      </c>
      <c r="CW118" s="20">
        <f t="shared" si="67"/>
        <v>8.0726688341261168E-13</v>
      </c>
      <c r="CX118" s="59">
        <f t="shared" si="68"/>
        <v>293.33333333333411</v>
      </c>
      <c r="CY118" s="59">
        <f ca="1">AVERAGE(OFFSET($CX$3,0,0,'Données projet'!$E$13+1,1))-AVERAGE(OFFSET($H$3,0,0,'Données projet'!$E$13+1,1))</f>
        <v>261.93797831021766</v>
      </c>
      <c r="CZ118" s="59">
        <f t="shared" si="96"/>
        <v>256.90876395053073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16.493100559703606</v>
      </c>
      <c r="DG118" s="21">
        <f>EXP(-LN(2)/25)*DG117+(1-EXP(-LN(2)/25))/(LN(2)/25)*Calculateur!DB118*Calculateur!DD118*VLOOKUP('Données projet'!$B$13,Paramètres!$A$1:$I$89,3,0)*0.475*44/12</f>
        <v>13.829387005246165</v>
      </c>
      <c r="DH118" s="21">
        <f>EXP(-LN(2)/2)*DH117+(1-EXP(-LN(2)/2))/(LN(2)/2)*DB118*DE118*VLOOKUP('Données projet'!$B$13,Paramètres!$A$1:$I$89,3,0)*0.475*44/12</f>
        <v>2.4517430927190271E-4</v>
      </c>
      <c r="DI118" s="22">
        <f t="shared" si="69"/>
        <v>30.322732739259042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10.725999999999999</v>
      </c>
      <c r="N119" s="13">
        <f>IF('Données projet'!$A$36&gt;35,N118+M119-V118,IF(A119&lt;'Données projet'!$A$36,$K$205^A119,IF(A119='Données projet'!$A$36,'Données projet'!$B$36,N118+M119-V118)))</f>
        <v>522.09600000000012</v>
      </c>
      <c r="O119" s="13">
        <f>N119*VLOOKUP('Données projet'!$B$9,Paramètres!$A$1:$I$89,3,0)*VLOOKUP('Données projet'!$B$9,Paramètres!$A$1:$I$89,5,0)</f>
        <v>472.39246080000009</v>
      </c>
      <c r="P119" s="13">
        <f t="shared" si="87"/>
        <v>106.30805156897928</v>
      </c>
      <c r="Q119" s="20">
        <f t="shared" si="107"/>
        <v>1007.9033923759724</v>
      </c>
      <c r="R119" s="59">
        <f t="shared" si="55"/>
        <v>1301.2367257093058</v>
      </c>
      <c r="S119" s="59">
        <f ca="1">AVERAGE(OFFSET($R$3,0,0,'Données projet'!$E$9+1,1))-AVERAGE(OFFSET($H$3,0,0,'Données projet'!$E$9+1,1))</f>
        <v>695.0879239758051</v>
      </c>
      <c r="T119" s="59">
        <f t="shared" si="88"/>
        <v>226.22150997227476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51.552375335072455</v>
      </c>
      <c r="AA119" s="21">
        <f>EXP(-LN(2)/25)*AA118+(1-EXP(-LN(2)/25))/(LN(2)/25)*Calculateur!V119*Calculateur!X119*VLOOKUP('Données projet'!$B$9,Paramètres!$A$1:$I$89,3,0)*0.475*44/12</f>
        <v>27.75317547882295</v>
      </c>
      <c r="AB119" s="21">
        <f>EXP(-LN(2)/2)*AB118+(1-EXP(-LN(2)/2))/(LN(2)/2)*V119*Y119*VLOOKUP('Données projet'!$B$9,Paramètres!$A$1:$I$89,3,0)*0.475*44/12</f>
        <v>7.5540713231818921E-4</v>
      </c>
      <c r="AC119" s="22">
        <f t="shared" si="57"/>
        <v>79.306306221027725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4.7884896048344674E-14</v>
      </c>
      <c r="AK119" s="13">
        <f t="shared" si="89"/>
        <v>7.8374629847779921E-13</v>
      </c>
      <c r="AL119" s="20">
        <f t="shared" si="58"/>
        <v>1.4484243304663672E-12</v>
      </c>
      <c r="AM119" s="59">
        <f t="shared" si="59"/>
        <v>293.33333333333474</v>
      </c>
      <c r="AN119" s="59">
        <f ca="1">AVERAGE(OFFSET($AM$3,0,0,'Données projet'!$E$10+1,1))-AVERAGE(OFFSET($H$3,0,0,'Données projet'!$E$10+1,1))</f>
        <v>424.81155998881928</v>
      </c>
      <c r="AO119" s="59">
        <f t="shared" si="90"/>
        <v>277.34430416544575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100.36110643304234</v>
      </c>
      <c r="AV119" s="21">
        <f>EXP(-LN(2)/25)*AV118+(1-EXP(-LN(2)/25))/(LN(2)/25)*Calculateur!AQ119*Calculateur!AS119*VLOOKUP('Données projet'!$B$10,Paramètres!$A$1:$I$89,3,0)*0.475*44/12</f>
        <v>21.204737794970484</v>
      </c>
      <c r="AW119" s="21">
        <f>EXP(-LN(2)/2)*AW118+(1-EXP(-LN(2)/2))/(LN(2)/2)*AQ119*AT119*VLOOKUP('Données projet'!$B$10,Paramètres!$A$1:$I$89,3,0)*0.475*44/12</f>
        <v>0.23196948515504018</v>
      </c>
      <c r="AX119" s="21">
        <f t="shared" si="60"/>
        <v>121.79781371316786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385.85944800000078</v>
      </c>
      <c r="BF119" s="13">
        <f t="shared" si="91"/>
        <v>88.903907976148645</v>
      </c>
      <c r="BG119" s="20">
        <f t="shared" si="61"/>
        <v>826.87951165846027</v>
      </c>
      <c r="BH119" s="59">
        <f t="shared" si="62"/>
        <v>1120.2128449917936</v>
      </c>
      <c r="BI119" s="59">
        <f ca="1">AVERAGE(OFFSET($BH$3,0,0,'Données projet'!$E$11+1,1))-AVERAGE(OFFSET($H$3,0,0,'Données projet'!$E$11+1,1))</f>
        <v>706.69239849991595</v>
      </c>
      <c r="BJ119" s="59">
        <f t="shared" si="92"/>
        <v>310.59887275116529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39.275053246629767</v>
      </c>
      <c r="BQ119" s="21">
        <f>EXP(-LN(2)/25)*BQ118+(1-EXP(-LN(2)/25))/(LN(2)/25)*Calculateur!BL119*Calculateur!BN119*VLOOKUP('Données projet'!$B$11,Paramètres!$A$1:$I$89,3,0)*0.475*44/12</f>
        <v>27.333839479089896</v>
      </c>
      <c r="BR119" s="21">
        <f>EXP(-LN(2)/2)*BR118+(1-EXP(-LN(2)/2))/(LN(2)/2)*BL119*BO119*VLOOKUP('Données projet'!$B$11,Paramètres!$A$1:$I$89,3,0)*0.475*44/12</f>
        <v>3.0612294901948696</v>
      </c>
      <c r="BS119" s="22">
        <f t="shared" si="63"/>
        <v>69.670122215914546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8.7019999999999982</v>
      </c>
      <c r="BY119" s="12">
        <f>IF('Données projet'!$A$114&gt;35,BY118+BX119-CG118,IF(A119&lt;'Données projet'!$A$114,$BV$205^A119,IF(A119='Données projet'!$A$114,'Données projet'!$B$114,BY118+BX119-CG118)))</f>
        <v>348.61600000000027</v>
      </c>
      <c r="BZ119" s="13">
        <f>BY119*VLOOKUP('Données projet'!$B$12,Paramètres!$A$1:$I$89,3,0)*VLOOKUP('Données projet'!$B$12,Paramètres!$A$1:$I$89,5,0)</f>
        <v>331.74298560000028</v>
      </c>
      <c r="CA119" s="13">
        <f t="shared" si="93"/>
        <v>77.791561690435074</v>
      </c>
      <c r="CB119" s="20">
        <f t="shared" si="64"/>
        <v>713.27266986417487</v>
      </c>
      <c r="CC119" s="59">
        <f t="shared" si="65"/>
        <v>1006.6060031975082</v>
      </c>
      <c r="CD119" s="59">
        <f ca="1">AVERAGE(OFFSET($CC$3,0,0,'Données projet'!$E$12+1,1))-AVERAGE(OFFSET($H$3,0,0,'Données projet'!$E$12+1,1))</f>
        <v>449.28947235329758</v>
      </c>
      <c r="CE119" s="59">
        <f t="shared" si="94"/>
        <v>289.36994109443964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50.005490028656531</v>
      </c>
      <c r="CL119" s="21">
        <f>EXP(-LN(2)/25)*CL118+(1-EXP(-LN(2)/25))/(LN(2)/25)*Calculateur!CG119*Calculateur!CI119*VLOOKUP('Données projet'!$B$12,Paramètres!$A$1:$I$89,3,0)*0.475*44/12</f>
        <v>23.733187262071841</v>
      </c>
      <c r="CM119" s="21">
        <f>EXP(-LN(2)/2)*CM118+(1-EXP(-LN(2)/2))/(LN(2)/2)*CG119*CJ119*VLOOKUP('Données projet'!$B$12,Paramètres!$A$1:$I$89,3,0)*0.475*44/12</f>
        <v>5.1225381635605447E-5</v>
      </c>
      <c r="CN119" s="22">
        <f t="shared" si="66"/>
        <v>73.738728516110015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2.8421709430404007E-14</v>
      </c>
      <c r="CU119" s="17">
        <f>CT119*VLOOKUP('Données projet'!$B$13,Paramètres!$A$1:$I$89,3,0)*VLOOKUP('Données projet'!$B$13,Paramètres!$A$1:$I$89,5,0)</f>
        <v>2.4829205358400945E-14</v>
      </c>
      <c r="CV119" s="13">
        <f t="shared" si="95"/>
        <v>4.3867331143352915E-13</v>
      </c>
      <c r="CW119" s="20">
        <f t="shared" si="67"/>
        <v>8.0726688341261168E-13</v>
      </c>
      <c r="CX119" s="59">
        <f t="shared" si="68"/>
        <v>293.33333333333411</v>
      </c>
      <c r="CY119" s="59">
        <f ca="1">AVERAGE(OFFSET($CX$3,0,0,'Données projet'!$E$13+1,1))-AVERAGE(OFFSET($H$3,0,0,'Données projet'!$E$13+1,1))</f>
        <v>261.93797831021766</v>
      </c>
      <c r="CZ119" s="59">
        <f t="shared" si="96"/>
        <v>256.90876395053073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16.169680917525838</v>
      </c>
      <c r="DG119" s="21">
        <f>EXP(-LN(2)/25)*DG118+(1-EXP(-LN(2)/25))/(LN(2)/25)*Calculateur!DB119*Calculateur!DD119*VLOOKUP('Données projet'!$B$13,Paramètres!$A$1:$I$89,3,0)*0.475*44/12</f>
        <v>13.451221690331854</v>
      </c>
      <c r="DH119" s="21">
        <f>EXP(-LN(2)/2)*DH118+(1-EXP(-LN(2)/2))/(LN(2)/2)*DB119*DE119*VLOOKUP('Données projet'!$B$13,Paramètres!$A$1:$I$89,3,0)*0.475*44/12</f>
        <v>1.7336441665889024E-4</v>
      </c>
      <c r="DI119" s="22">
        <f t="shared" si="69"/>
        <v>29.621075972274355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10.725999999999999</v>
      </c>
      <c r="N120" s="13">
        <f>IF('Données projet'!$A$36&gt;35,N119+M120-V119,IF(A120&lt;'Données projet'!$A$36,$K$205^A120,IF(A120='Données projet'!$A$36,'Données projet'!$B$36,N119+M120-V119)))</f>
        <v>532.82200000000012</v>
      </c>
      <c r="O120" s="13">
        <f>N120*VLOOKUP('Données projet'!$B$9,Paramètres!$A$1:$I$89,3,0)*VLOOKUP('Données projet'!$B$9,Paramètres!$A$1:$I$89,5,0)</f>
        <v>482.09734560000015</v>
      </c>
      <c r="P120" s="13">
        <f t="shared" si="87"/>
        <v>108.23554826302497</v>
      </c>
      <c r="Q120" s="20">
        <f t="shared" si="107"/>
        <v>1028.1631234781019</v>
      </c>
      <c r="R120" s="59">
        <f t="shared" si="55"/>
        <v>1321.4964568114351</v>
      </c>
      <c r="S120" s="59">
        <f ca="1">AVERAGE(OFFSET($R$3,0,0,'Données projet'!$E$9+1,1))-AVERAGE(OFFSET($H$3,0,0,'Données projet'!$E$9+1,1))</f>
        <v>695.0879239758051</v>
      </c>
      <c r="T120" s="59">
        <f t="shared" si="88"/>
        <v>226.22150997227476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50.541464698595817</v>
      </c>
      <c r="AA120" s="21">
        <f>EXP(-LN(2)/25)*AA119+(1-EXP(-LN(2)/25))/(LN(2)/25)*Calculateur!V120*Calculateur!X120*VLOOKUP('Données projet'!$B$9,Paramètres!$A$1:$I$89,3,0)*0.475*44/12</f>
        <v>26.994263435878469</v>
      </c>
      <c r="AB120" s="21">
        <f>EXP(-LN(2)/2)*AB119+(1-EXP(-LN(2)/2))/(LN(2)/2)*V120*Y120*VLOOKUP('Données projet'!$B$9,Paramètres!$A$1:$I$89,3,0)*0.475*44/12</f>
        <v>5.3415350581887517E-4</v>
      </c>
      <c r="AC120" s="22">
        <f t="shared" si="57"/>
        <v>77.536262287980108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4.7884896048344674E-14</v>
      </c>
      <c r="AK120" s="13">
        <f t="shared" si="89"/>
        <v>7.8374629847779921E-13</v>
      </c>
      <c r="AL120" s="20">
        <f t="shared" si="58"/>
        <v>1.4484243304663672E-12</v>
      </c>
      <c r="AM120" s="59">
        <f t="shared" si="59"/>
        <v>293.33333333333474</v>
      </c>
      <c r="AN120" s="59">
        <f ca="1">AVERAGE(OFFSET($AM$3,0,0,'Données projet'!$E$10+1,1))-AVERAGE(OFFSET($H$3,0,0,'Données projet'!$E$10+1,1))</f>
        <v>424.81155998881928</v>
      </c>
      <c r="AO120" s="59">
        <f t="shared" si="90"/>
        <v>277.34430416544575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98.393086350120896</v>
      </c>
      <c r="AV120" s="21">
        <f>EXP(-LN(2)/25)*AV119+(1-EXP(-LN(2)/25))/(LN(2)/25)*Calculateur!AQ120*Calculateur!AS120*VLOOKUP('Données projet'!$B$10,Paramètres!$A$1:$I$89,3,0)*0.475*44/12</f>
        <v>20.624893124858321</v>
      </c>
      <c r="AW120" s="21">
        <f>EXP(-LN(2)/2)*AW119+(1-EXP(-LN(2)/2))/(LN(2)/2)*AQ120*AT120*VLOOKUP('Données projet'!$B$10,Paramètres!$A$1:$I$89,3,0)*0.475*44/12</f>
        <v>0.16402719598148108</v>
      </c>
      <c r="AX120" s="21">
        <f t="shared" si="60"/>
        <v>119.18200667096069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394.90027200000077</v>
      </c>
      <c r="BF120" s="13">
        <f t="shared" si="91"/>
        <v>90.742002809527918</v>
      </c>
      <c r="BG120" s="20">
        <f t="shared" si="61"/>
        <v>845.82696195992901</v>
      </c>
      <c r="BH120" s="59">
        <f t="shared" si="62"/>
        <v>1139.1602952932624</v>
      </c>
      <c r="BI120" s="59">
        <f ca="1">AVERAGE(OFFSET($BH$3,0,0,'Données projet'!$E$11+1,1))-AVERAGE(OFFSET($H$3,0,0,'Données projet'!$E$11+1,1))</f>
        <v>706.69239849991595</v>
      </c>
      <c r="BJ120" s="59">
        <f t="shared" si="92"/>
        <v>310.59887275116529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38.504893407880438</v>
      </c>
      <c r="BQ120" s="21">
        <f>EXP(-LN(2)/25)*BQ119+(1-EXP(-LN(2)/25))/(LN(2)/25)*Calculateur!BL120*Calculateur!BN120*VLOOKUP('Données projet'!$B$11,Paramètres!$A$1:$I$89,3,0)*0.475*44/12</f>
        <v>26.586394201110036</v>
      </c>
      <c r="BR120" s="21">
        <f>EXP(-LN(2)/2)*BR119+(1-EXP(-LN(2)/2))/(LN(2)/2)*BL120*BO120*VLOOKUP('Données projet'!$B$11,Paramètres!$A$1:$I$89,3,0)*0.475*44/12</f>
        <v>2.1646161312850301</v>
      </c>
      <c r="BS120" s="22">
        <f t="shared" si="63"/>
        <v>67.2559037402755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8.7019999999999982</v>
      </c>
      <c r="BY120" s="12">
        <f>IF('Données projet'!$A$114&gt;35,BY119+BX120-CG119,IF(A120&lt;'Données projet'!$A$114,$BV$205^A120,IF(A120='Données projet'!$A$114,'Données projet'!$B$114,BY119+BX120-CG119)))</f>
        <v>357.31800000000027</v>
      </c>
      <c r="BZ120" s="13">
        <f>BY120*VLOOKUP('Données projet'!$B$12,Paramètres!$A$1:$I$89,3,0)*VLOOKUP('Données projet'!$B$12,Paramètres!$A$1:$I$89,5,0)</f>
        <v>340.02380880000027</v>
      </c>
      <c r="CA120" s="13">
        <f t="shared" si="93"/>
        <v>79.504865450570179</v>
      </c>
      <c r="CB120" s="20">
        <f t="shared" si="64"/>
        <v>730.67910765307681</v>
      </c>
      <c r="CC120" s="59">
        <f t="shared" si="65"/>
        <v>1024.0124409864102</v>
      </c>
      <c r="CD120" s="59">
        <f ca="1">AVERAGE(OFFSET($CC$3,0,0,'Données projet'!$E$12+1,1))-AVERAGE(OFFSET($H$3,0,0,'Données projet'!$E$12+1,1))</f>
        <v>449.28947235329758</v>
      </c>
      <c r="CE120" s="59">
        <f t="shared" si="94"/>
        <v>289.36994109443964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49.024912869531839</v>
      </c>
      <c r="CL120" s="21">
        <f>EXP(-LN(2)/25)*CL119+(1-EXP(-LN(2)/25))/(LN(2)/25)*Calculateur!CG120*Calculateur!CI120*VLOOKUP('Données projet'!$B$12,Paramètres!$A$1:$I$89,3,0)*0.475*44/12</f>
        <v>23.08420200831641</v>
      </c>
      <c r="CM120" s="21">
        <f>EXP(-LN(2)/2)*CM119+(1-EXP(-LN(2)/2))/(LN(2)/2)*CG120*CJ120*VLOOKUP('Données projet'!$B$12,Paramètres!$A$1:$I$89,3,0)*0.475*44/12</f>
        <v>3.622181472340545E-5</v>
      </c>
      <c r="CN120" s="22">
        <f t="shared" si="66"/>
        <v>72.109151099662967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2.8421709430404007E-14</v>
      </c>
      <c r="CU120" s="17">
        <f>CT120*VLOOKUP('Données projet'!$B$13,Paramètres!$A$1:$I$89,3,0)*VLOOKUP('Données projet'!$B$13,Paramètres!$A$1:$I$89,5,0)</f>
        <v>2.4829205358400945E-14</v>
      </c>
      <c r="CV120" s="13">
        <f t="shared" si="95"/>
        <v>4.3867331143352915E-13</v>
      </c>
      <c r="CW120" s="20">
        <f t="shared" si="67"/>
        <v>8.0726688341261168E-13</v>
      </c>
      <c r="CX120" s="59">
        <f t="shared" si="68"/>
        <v>293.33333333333411</v>
      </c>
      <c r="CY120" s="59">
        <f ca="1">AVERAGE(OFFSET($CX$3,0,0,'Données projet'!$E$13+1,1))-AVERAGE(OFFSET($H$3,0,0,'Données projet'!$E$13+1,1))</f>
        <v>261.93797831021766</v>
      </c>
      <c r="CZ120" s="59">
        <f t="shared" si="96"/>
        <v>256.90876395053073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15.852603337264672</v>
      </c>
      <c r="DG120" s="21">
        <f>EXP(-LN(2)/25)*DG119+(1-EXP(-LN(2)/25))/(LN(2)/25)*Calculateur!DB120*Calculateur!DD120*VLOOKUP('Données projet'!$B$13,Paramètres!$A$1:$I$89,3,0)*0.475*44/12</f>
        <v>13.083397325840725</v>
      </c>
      <c r="DH120" s="21">
        <f>EXP(-LN(2)/2)*DH119+(1-EXP(-LN(2)/2))/(LN(2)/2)*DB120*DE120*VLOOKUP('Données projet'!$B$13,Paramètres!$A$1:$I$89,3,0)*0.475*44/12</f>
        <v>1.2258715463595135E-4</v>
      </c>
      <c r="DI120" s="22">
        <f t="shared" si="69"/>
        <v>28.936123250260032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10.725999999999999</v>
      </c>
      <c r="N121" s="13">
        <f>IF('Données projet'!$A$36&gt;35,N120+M121-V120,IF(A121&lt;'Données projet'!$A$36,$K$205^A121,IF(A121='Données projet'!$A$36,'Données projet'!$B$36,N120+M121-V120)))</f>
        <v>543.54800000000012</v>
      </c>
      <c r="O121" s="13">
        <f>N121*VLOOKUP('Données projet'!$B$9,Paramètres!$A$1:$I$89,3,0)*VLOOKUP('Données projet'!$B$9,Paramètres!$A$1:$I$89,5,0)</f>
        <v>491.8022304000001</v>
      </c>
      <c r="P121" s="13">
        <f t="shared" si="87"/>
        <v>110.1585334197499</v>
      </c>
      <c r="Q121" s="20">
        <f t="shared" si="107"/>
        <v>1048.4149969860646</v>
      </c>
      <c r="R121" s="59">
        <f t="shared" si="55"/>
        <v>1341.7483303193978</v>
      </c>
      <c r="S121" s="59">
        <f ca="1">AVERAGE(OFFSET($R$3,0,0,'Données projet'!$E$9+1,1))-AVERAGE(OFFSET($H$3,0,0,'Données projet'!$E$9+1,1))</f>
        <v>695.0879239758051</v>
      </c>
      <c r="T121" s="59">
        <f t="shared" si="88"/>
        <v>226.22150997227476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49.550377403105884</v>
      </c>
      <c r="AA121" s="21">
        <f>EXP(-LN(2)/25)*AA120+(1-EXP(-LN(2)/25))/(LN(2)/25)*Calculateur!V121*Calculateur!X121*VLOOKUP('Données projet'!$B$9,Paramètres!$A$1:$I$89,3,0)*0.475*44/12</f>
        <v>26.256103882657754</v>
      </c>
      <c r="AB121" s="21">
        <f>EXP(-LN(2)/2)*AB120+(1-EXP(-LN(2)/2))/(LN(2)/2)*V121*Y121*VLOOKUP('Données projet'!$B$9,Paramètres!$A$1:$I$89,3,0)*0.475*44/12</f>
        <v>3.7770356615909461E-4</v>
      </c>
      <c r="AC121" s="22">
        <f t="shared" si="57"/>
        <v>75.806858989329797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4.7884896048344674E-14</v>
      </c>
      <c r="AK121" s="13">
        <f t="shared" si="89"/>
        <v>7.8374629847779921E-13</v>
      </c>
      <c r="AL121" s="20">
        <f t="shared" si="58"/>
        <v>1.4484243304663672E-12</v>
      </c>
      <c r="AM121" s="59">
        <f t="shared" si="59"/>
        <v>293.33333333333474</v>
      </c>
      <c r="AN121" s="59">
        <f ca="1">AVERAGE(OFFSET($AM$3,0,0,'Données projet'!$E$10+1,1))-AVERAGE(OFFSET($H$3,0,0,'Données projet'!$E$10+1,1))</f>
        <v>424.81155998881928</v>
      </c>
      <c r="AO121" s="59">
        <f t="shared" si="90"/>
        <v>277.34430416544575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96.463657940651828</v>
      </c>
      <c r="AV121" s="21">
        <f>EXP(-LN(2)/25)*AV120+(1-EXP(-LN(2)/25))/(LN(2)/25)*Calculateur!AQ121*Calculateur!AS121*VLOOKUP('Données projet'!$B$10,Paramètres!$A$1:$I$89,3,0)*0.475*44/12</f>
        <v>20.060904337743079</v>
      </c>
      <c r="AW121" s="21">
        <f>EXP(-LN(2)/2)*AW120+(1-EXP(-LN(2)/2))/(LN(2)/2)*AQ121*AT121*VLOOKUP('Données projet'!$B$10,Paramètres!$A$1:$I$89,3,0)*0.475*44/12</f>
        <v>0.11598474257752009</v>
      </c>
      <c r="AX121" s="21">
        <f t="shared" si="60"/>
        <v>116.64054702097243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403.9410960000007</v>
      </c>
      <c r="BF121" s="13">
        <f t="shared" si="91"/>
        <v>92.575205456026652</v>
      </c>
      <c r="BG121" s="20">
        <f t="shared" si="61"/>
        <v>864.76589170258092</v>
      </c>
      <c r="BH121" s="59">
        <f t="shared" si="62"/>
        <v>1158.0992250359143</v>
      </c>
      <c r="BI121" s="59">
        <f ca="1">AVERAGE(OFFSET($BH$3,0,0,'Données projet'!$E$11+1,1))-AVERAGE(OFFSET($H$3,0,0,'Données projet'!$E$11+1,1))</f>
        <v>706.69239849991595</v>
      </c>
      <c r="BJ121" s="59">
        <f t="shared" si="92"/>
        <v>310.59887275116529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37.749835933817863</v>
      </c>
      <c r="BQ121" s="21">
        <f>EXP(-LN(2)/25)*BQ120+(1-EXP(-LN(2)/25))/(LN(2)/25)*Calculateur!BL121*Calculateur!BN121*VLOOKUP('Données projet'!$B$11,Paramètres!$A$1:$I$89,3,0)*0.475*44/12</f>
        <v>25.859387853562975</v>
      </c>
      <c r="BR121" s="21">
        <f>EXP(-LN(2)/2)*BR120+(1-EXP(-LN(2)/2))/(LN(2)/2)*BL121*BO121*VLOOKUP('Données projet'!$B$11,Paramètres!$A$1:$I$89,3,0)*0.475*44/12</f>
        <v>1.5306147450974348</v>
      </c>
      <c r="BS121" s="22">
        <f t="shared" si="63"/>
        <v>65.139838532478279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8.7019999999999982</v>
      </c>
      <c r="BY121" s="12">
        <f>IF('Données projet'!$A$114&gt;35,BY120+BX121-CG120,IF(A121&lt;'Données projet'!$A$114,$BV$205^A121,IF(A121='Données projet'!$A$114,'Données projet'!$B$114,BY120+BX121-CG120)))</f>
        <v>366.02000000000027</v>
      </c>
      <c r="BZ121" s="13">
        <f>BY121*VLOOKUP('Données projet'!$B$12,Paramètres!$A$1:$I$89,3,0)*VLOOKUP('Données projet'!$B$12,Paramètres!$A$1:$I$89,5,0)</f>
        <v>348.30463200000025</v>
      </c>
      <c r="CA121" s="13">
        <f t="shared" si="93"/>
        <v>81.213318766761901</v>
      </c>
      <c r="CB121" s="20">
        <f t="shared" si="64"/>
        <v>748.07709758544399</v>
      </c>
      <c r="CC121" s="59">
        <f t="shared" si="65"/>
        <v>1041.4104309187774</v>
      </c>
      <c r="CD121" s="59">
        <f ca="1">AVERAGE(OFFSET($CC$3,0,0,'Données projet'!$E$12+1,1))-AVERAGE(OFFSET($H$3,0,0,'Données projet'!$E$12+1,1))</f>
        <v>449.28947235329758</v>
      </c>
      <c r="CE121" s="59">
        <f t="shared" si="94"/>
        <v>289.36994109443964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48.063564230404566</v>
      </c>
      <c r="CL121" s="21">
        <f>EXP(-LN(2)/25)*CL120+(1-EXP(-LN(2)/25))/(LN(2)/25)*Calculateur!CG121*Calculateur!CI121*VLOOKUP('Données projet'!$B$12,Paramètres!$A$1:$I$89,3,0)*0.475*44/12</f>
        <v>22.452963290453575</v>
      </c>
      <c r="CM121" s="21">
        <f>EXP(-LN(2)/2)*CM120+(1-EXP(-LN(2)/2))/(LN(2)/2)*CG121*CJ121*VLOOKUP('Données projet'!$B$12,Paramètres!$A$1:$I$89,3,0)*0.475*44/12</f>
        <v>2.5612690817802723E-5</v>
      </c>
      <c r="CN121" s="22">
        <f t="shared" si="66"/>
        <v>70.516553133548967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2.8421709430404007E-14</v>
      </c>
      <c r="CU121" s="17">
        <f>CT121*VLOOKUP('Données projet'!$B$13,Paramètres!$A$1:$I$89,3,0)*VLOOKUP('Données projet'!$B$13,Paramètres!$A$1:$I$89,5,0)</f>
        <v>2.4829205358400945E-14</v>
      </c>
      <c r="CV121" s="13">
        <f t="shared" si="95"/>
        <v>4.3867331143352915E-13</v>
      </c>
      <c r="CW121" s="20">
        <f t="shared" si="67"/>
        <v>8.0726688341261168E-13</v>
      </c>
      <c r="CX121" s="59">
        <f t="shared" si="68"/>
        <v>293.33333333333411</v>
      </c>
      <c r="CY121" s="59">
        <f ca="1">AVERAGE(OFFSET($CX$3,0,0,'Données projet'!$E$13+1,1))-AVERAGE(OFFSET($H$3,0,0,'Données projet'!$E$13+1,1))</f>
        <v>261.93797831021766</v>
      </c>
      <c r="CZ121" s="59">
        <f t="shared" si="96"/>
        <v>256.90876395053073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15.541743454954199</v>
      </c>
      <c r="DG121" s="21">
        <f>EXP(-LN(2)/25)*DG120+(1-EXP(-LN(2)/25))/(LN(2)/25)*Calculateur!DB121*Calculateur!DD121*VLOOKUP('Données projet'!$B$13,Paramètres!$A$1:$I$89,3,0)*0.475*44/12</f>
        <v>12.725631137939647</v>
      </c>
      <c r="DH121" s="21">
        <f>EXP(-LN(2)/2)*DH120+(1-EXP(-LN(2)/2))/(LN(2)/2)*DB121*DE121*VLOOKUP('Données projet'!$B$13,Paramètres!$A$1:$I$89,3,0)*0.475*44/12</f>
        <v>8.668220832944512E-5</v>
      </c>
      <c r="DI121" s="22">
        <f t="shared" si="69"/>
        <v>28.267461275102175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10.725999999999999</v>
      </c>
      <c r="N122" s="13">
        <f>IF('Données projet'!$A$36&gt;35,N121+M122-V121,IF(A122&lt;'Données projet'!$A$36,$K$205^A122,IF(A122='Données projet'!$A$36,'Données projet'!$B$36,N121+M122-V121)))</f>
        <v>554.27400000000011</v>
      </c>
      <c r="O122" s="13">
        <f>N122*VLOOKUP('Données projet'!$B$9,Paramètres!$A$1:$I$89,3,0)*VLOOKUP('Données projet'!$B$9,Paramètres!$A$1:$I$89,5,0)</f>
        <v>501.50711520000004</v>
      </c>
      <c r="P122" s="13">
        <f t="shared" si="87"/>
        <v>112.07710632845966</v>
      </c>
      <c r="Q122" s="20">
        <f t="shared" si="107"/>
        <v>1068.6591858287338</v>
      </c>
      <c r="R122" s="59">
        <f t="shared" si="55"/>
        <v>1361.9925191620671</v>
      </c>
      <c r="S122" s="59">
        <f ca="1">AVERAGE(OFFSET($R$3,0,0,'Données projet'!$E$9+1,1))-AVERAGE(OFFSET($H$3,0,0,'Données projet'!$E$9+1,1))</f>
        <v>695.0879239758051</v>
      </c>
      <c r="T122" s="59">
        <f t="shared" si="88"/>
        <v>226.22150997227476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48.578724724976944</v>
      </c>
      <c r="AA122" s="21">
        <f>EXP(-LN(2)/25)*AA121+(1-EXP(-LN(2)/25))/(LN(2)/25)*Calculateur!V122*Calculateur!X122*VLOOKUP('Données projet'!$B$9,Paramètres!$A$1:$I$89,3,0)*0.475*44/12</f>
        <v>25.538129341237983</v>
      </c>
      <c r="AB122" s="21">
        <f>EXP(-LN(2)/2)*AB121+(1-EXP(-LN(2)/2))/(LN(2)/2)*V122*Y122*VLOOKUP('Données projet'!$B$9,Paramètres!$A$1:$I$89,3,0)*0.475*44/12</f>
        <v>2.6707675290943758E-4</v>
      </c>
      <c r="AC122" s="22">
        <f t="shared" si="57"/>
        <v>74.117121142967832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4.7884896048344674E-14</v>
      </c>
      <c r="AK122" s="13">
        <f t="shared" si="89"/>
        <v>7.8374629847779921E-13</v>
      </c>
      <c r="AL122" s="20">
        <f t="shared" si="58"/>
        <v>1.4484243304663672E-12</v>
      </c>
      <c r="AM122" s="59">
        <f t="shared" si="59"/>
        <v>293.33333333333474</v>
      </c>
      <c r="AN122" s="59">
        <f ca="1">AVERAGE(OFFSET($AM$3,0,0,'Données projet'!$E$10+1,1))-AVERAGE(OFFSET($H$3,0,0,'Données projet'!$E$10+1,1))</f>
        <v>424.81155998881928</v>
      </c>
      <c r="AO122" s="59">
        <f t="shared" si="90"/>
        <v>277.34430416544575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94.572064445457315</v>
      </c>
      <c r="AV122" s="21">
        <f>EXP(-LN(2)/25)*AV121+(1-EXP(-LN(2)/25))/(LN(2)/25)*Calculateur!AQ122*Calculateur!AS122*VLOOKUP('Données projet'!$B$10,Paramètres!$A$1:$I$89,3,0)*0.475*44/12</f>
        <v>19.512337853670385</v>
      </c>
      <c r="AW122" s="21">
        <f>EXP(-LN(2)/2)*AW121+(1-EXP(-LN(2)/2))/(LN(2)/2)*AQ122*AT122*VLOOKUP('Données projet'!$B$10,Paramètres!$A$1:$I$89,3,0)*0.475*44/12</f>
        <v>8.2013597990740539E-2</v>
      </c>
      <c r="AX122" s="21">
        <f t="shared" si="60"/>
        <v>114.16641589711844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412.98192000000074</v>
      </c>
      <c r="BF122" s="13">
        <f t="shared" si="91"/>
        <v>94.403638017009513</v>
      </c>
      <c r="BG122" s="20">
        <f t="shared" si="61"/>
        <v>883.69651354629275</v>
      </c>
      <c r="BH122" s="59">
        <f t="shared" si="62"/>
        <v>1177.0298468796261</v>
      </c>
      <c r="BI122" s="59">
        <f ca="1">AVERAGE(OFFSET($BH$3,0,0,'Données projet'!$E$11+1,1))-AVERAGE(OFFSET($H$3,0,0,'Données projet'!$E$11+1,1))</f>
        <v>706.69239849991595</v>
      </c>
      <c r="BJ122" s="59">
        <f t="shared" si="92"/>
        <v>310.59887275116529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37.009584676282074</v>
      </c>
      <c r="BQ122" s="21">
        <f>EXP(-LN(2)/25)*BQ121+(1-EXP(-LN(2)/25))/(LN(2)/25)*Calculateur!BL122*Calculateur!BN122*VLOOKUP('Données projet'!$B$11,Paramètres!$A$1:$I$89,3,0)*0.475*44/12</f>
        <v>25.152261532821189</v>
      </c>
      <c r="BR122" s="21">
        <f>EXP(-LN(2)/2)*BR121+(1-EXP(-LN(2)/2))/(LN(2)/2)*BL122*BO122*VLOOKUP('Données projet'!$B$11,Paramètres!$A$1:$I$89,3,0)*0.475*44/12</f>
        <v>1.082308065642515</v>
      </c>
      <c r="BS122" s="22">
        <f t="shared" si="63"/>
        <v>63.244154274745775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8.7019999999999982</v>
      </c>
      <c r="BY122" s="12">
        <f>IF('Données projet'!$A$114&gt;35,BY121+BX122-CG121,IF(A122&lt;'Données projet'!$A$114,$BV$205^A122,IF(A122='Données projet'!$A$114,'Données projet'!$B$114,BY121+BX122-CG121)))</f>
        <v>374.72200000000026</v>
      </c>
      <c r="BZ122" s="13">
        <f>BY122*VLOOKUP('Données projet'!$B$12,Paramètres!$A$1:$I$89,3,0)*VLOOKUP('Données projet'!$B$12,Paramètres!$A$1:$I$89,5,0)</f>
        <v>356.58545520000024</v>
      </c>
      <c r="CA122" s="13">
        <f t="shared" si="93"/>
        <v>82.917050226144909</v>
      </c>
      <c r="CB122" s="20">
        <f t="shared" si="64"/>
        <v>765.46686361720276</v>
      </c>
      <c r="CC122" s="59">
        <f t="shared" si="65"/>
        <v>1058.800196950536</v>
      </c>
      <c r="CD122" s="59">
        <f ca="1">AVERAGE(OFFSET($CC$3,0,0,'Données projet'!$E$12+1,1))-AVERAGE(OFFSET($H$3,0,0,'Données projet'!$E$12+1,1))</f>
        <v>449.28947235329758</v>
      </c>
      <c r="CE122" s="59">
        <f t="shared" si="94"/>
        <v>289.36994109443964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47.121067051725809</v>
      </c>
      <c r="CL122" s="21">
        <f>EXP(-LN(2)/25)*CL121+(1-EXP(-LN(2)/25))/(LN(2)/25)*Calculateur!CG122*Calculateur!CI122*VLOOKUP('Données projet'!$B$12,Paramètres!$A$1:$I$89,3,0)*0.475*44/12</f>
        <v>21.838985828526098</v>
      </c>
      <c r="CM122" s="21">
        <f>EXP(-LN(2)/2)*CM121+(1-EXP(-LN(2)/2))/(LN(2)/2)*CG122*CJ122*VLOOKUP('Données projet'!$B$12,Paramètres!$A$1:$I$89,3,0)*0.475*44/12</f>
        <v>1.8110907361702725E-5</v>
      </c>
      <c r="CN122" s="22">
        <f t="shared" si="66"/>
        <v>68.96007099115927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2.8421709430404007E-14</v>
      </c>
      <c r="CU122" s="17">
        <f>CT122*VLOOKUP('Données projet'!$B$13,Paramètres!$A$1:$I$89,3,0)*VLOOKUP('Données projet'!$B$13,Paramètres!$A$1:$I$89,5,0)</f>
        <v>2.4829205358400945E-14</v>
      </c>
      <c r="CV122" s="13">
        <f t="shared" si="95"/>
        <v>4.3867331143352915E-13</v>
      </c>
      <c r="CW122" s="20">
        <f t="shared" si="67"/>
        <v>8.0726688341261168E-13</v>
      </c>
      <c r="CX122" s="59">
        <f t="shared" si="68"/>
        <v>293.33333333333411</v>
      </c>
      <c r="CY122" s="59">
        <f ca="1">AVERAGE(OFFSET($CX$3,0,0,'Données projet'!$E$13+1,1))-AVERAGE(OFFSET($H$3,0,0,'Données projet'!$E$13+1,1))</f>
        <v>261.93797831021766</v>
      </c>
      <c r="CZ122" s="59">
        <f t="shared" si="96"/>
        <v>256.90876395053073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15.236979345330029</v>
      </c>
      <c r="DG122" s="21">
        <f>EXP(-LN(2)/25)*DG121+(1-EXP(-LN(2)/25))/(LN(2)/25)*Calculateur!DB122*Calculateur!DD122*VLOOKUP('Données projet'!$B$13,Paramètres!$A$1:$I$89,3,0)*0.475*44/12</f>
        <v>12.37764808526083</v>
      </c>
      <c r="DH122" s="21">
        <f>EXP(-LN(2)/2)*DH121+(1-EXP(-LN(2)/2))/(LN(2)/2)*DB122*DE122*VLOOKUP('Données projet'!$B$13,Paramètres!$A$1:$I$89,3,0)*0.475*44/12</f>
        <v>6.1293577317975676E-5</v>
      </c>
      <c r="DI122" s="22">
        <f t="shared" si="69"/>
        <v>27.614688724168175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10.725999999999999</v>
      </c>
      <c r="M123" s="12">
        <f t="array" ref="M123">INDEX(L:L,MIN(IF(ISNUMBER(L123:L319),ROW(L123:L319),"")))</f>
        <v>10.725999999999999</v>
      </c>
      <c r="N123" s="13">
        <f>IF('Données projet'!$A$36&gt;35,N122+M123-V122,IF(A123&lt;'Données projet'!$A$36,$K$205^A123,IF(A123='Données projet'!$A$36,'Données projet'!$B$36,N122+M123-V122)))</f>
        <v>565.00000000000011</v>
      </c>
      <c r="O123" s="13">
        <f>N123*VLOOKUP('Données projet'!$B$9,Paramètres!$A$1:$I$89,3,0)*VLOOKUP('Données projet'!$B$9,Paramètres!$A$1:$I$89,5,0)</f>
        <v>511.2120000000001</v>
      </c>
      <c r="P123" s="13">
        <f t="shared" si="87"/>
        <v>113.9913622158443</v>
      </c>
      <c r="Q123" s="20">
        <f t="shared" si="107"/>
        <v>1088.8958558592624</v>
      </c>
      <c r="R123" s="59">
        <f t="shared" si="55"/>
        <v>1382.2291891925956</v>
      </c>
      <c r="S123" s="59">
        <f ca="1">AVERAGE(OFFSET($R$3,0,0,'Données projet'!$E$9+1,1))-AVERAGE(OFFSET($H$3,0,0,'Données projet'!$E$9+1,1))</f>
        <v>695.0879239758051</v>
      </c>
      <c r="T123" s="59">
        <f t="shared" si="88"/>
        <v>226.22150997227476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66.050000000000011</v>
      </c>
      <c r="W123" s="16">
        <f>IF(ISNA(VLOOKUP(A123,'Données projet'!$A$35:$I$55,5,0)),0%,VLOOKUP(A123,'Données projet'!$A$35:$I$55,5,0)*VLOOKUP('Données projet'!$B$9,Paramètres!$A$1:$I$89,7,0))</f>
        <v>0.215</v>
      </c>
      <c r="X123" s="16">
        <f>IF(ISNA(VLOOKUP(A123,'Données projet'!$A$35:$I$55,6,0)),0%,VLOOKUP(A123,'Données projet'!$A$35:$I$55,6,0)*VLOOKUP('Données projet'!$B$9,Paramètres!$A$1:$I$89,7,0))</f>
        <v>8.6000000000000007E-2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61.830136046916117</v>
      </c>
      <c r="AA123" s="21">
        <f>EXP(-LN(2)/25)*AA122+(1-EXP(-LN(2)/25))/(LN(2)/25)*Calculateur!V123*Calculateur!X123*VLOOKUP('Données projet'!$B$9,Paramètres!$A$1:$I$89,3,0)*0.475*44/12</f>
        <v>30.499021404319176</v>
      </c>
      <c r="AB123" s="21">
        <f>EXP(-LN(2)/2)*AB122+(1-EXP(-LN(2)/2))/(LN(2)/2)*V123*Y123*VLOOKUP('Données projet'!$B$9,Paramètres!$A$1:$I$89,3,0)*0.475*44/12</f>
        <v>1.888517830795473E-4</v>
      </c>
      <c r="AC123" s="22">
        <f t="shared" si="57"/>
        <v>92.329346303018369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4.7884896048344674E-14</v>
      </c>
      <c r="AK123" s="13">
        <f t="shared" si="89"/>
        <v>7.8374629847779921E-13</v>
      </c>
      <c r="AL123" s="20">
        <f t="shared" si="58"/>
        <v>1.4484243304663672E-12</v>
      </c>
      <c r="AM123" s="59">
        <f t="shared" si="59"/>
        <v>293.33333333333474</v>
      </c>
      <c r="AN123" s="59">
        <f ca="1">AVERAGE(OFFSET($AM$3,0,0,'Données projet'!$E$10+1,1))-AVERAGE(OFFSET($H$3,0,0,'Données projet'!$E$10+1,1))</f>
        <v>424.81155998881928</v>
      </c>
      <c r="AO123" s="59">
        <f t="shared" si="90"/>
        <v>277.34430416544575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92.717563944945454</v>
      </c>
      <c r="AV123" s="21">
        <f>EXP(-LN(2)/25)*AV122+(1-EXP(-LN(2)/25))/(LN(2)/25)*Calculateur!AQ123*Calculateur!AS123*VLOOKUP('Données projet'!$B$10,Paramètres!$A$1:$I$89,3,0)*0.475*44/12</f>
        <v>18.978771948952517</v>
      </c>
      <c r="AW123" s="21">
        <f>EXP(-LN(2)/2)*AW122+(1-EXP(-LN(2)/2))/(LN(2)/2)*AQ123*AT123*VLOOKUP('Données projet'!$B$10,Paramètres!$A$1:$I$89,3,0)*0.475*44/12</f>
        <v>5.7992371288760045E-2</v>
      </c>
      <c r="AX123" s="21">
        <f t="shared" si="60"/>
        <v>111.75432826518673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422.02274400000073</v>
      </c>
      <c r="BF123" s="13">
        <f t="shared" si="91"/>
        <v>96.227416942568027</v>
      </c>
      <c r="BG123" s="20">
        <f t="shared" si="61"/>
        <v>902.61903030830717</v>
      </c>
      <c r="BH123" s="59">
        <f t="shared" si="62"/>
        <v>1195.9523636416404</v>
      </c>
      <c r="BI123" s="59">
        <f ca="1">AVERAGE(OFFSET($BH$3,0,0,'Données projet'!$E$11+1,1))-AVERAGE(OFFSET($H$3,0,0,'Données projet'!$E$11+1,1))</f>
        <v>706.69239849991595</v>
      </c>
      <c r="BJ123" s="59">
        <f t="shared" si="92"/>
        <v>310.59887275116529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36.283849294397875</v>
      </c>
      <c r="BQ123" s="21">
        <f>EXP(-LN(2)/25)*BQ122+(1-EXP(-LN(2)/25))/(LN(2)/25)*Calculateur!BL123*Calculateur!BN123*VLOOKUP('Données projet'!$B$11,Paramètres!$A$1:$I$89,3,0)*0.475*44/12</f>
        <v>24.464471618506245</v>
      </c>
      <c r="BR123" s="21">
        <f>EXP(-LN(2)/2)*BR122+(1-EXP(-LN(2)/2))/(LN(2)/2)*BL123*BO123*VLOOKUP('Données projet'!$B$11,Paramètres!$A$1:$I$89,3,0)*0.475*44/12</f>
        <v>0.76530737254871739</v>
      </c>
      <c r="BS123" s="22">
        <f t="shared" si="63"/>
        <v>61.513628285452839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8.7019999999999982</v>
      </c>
      <c r="BY123" s="12">
        <f>IF('Données projet'!$A$114&gt;35,BY122+BX123-CG122,IF(A123&lt;'Données projet'!$A$114,$BV$205^A123,IF(A123='Données projet'!$A$114,'Données projet'!$B$114,BY122+BX123-CG122)))</f>
        <v>383.42400000000026</v>
      </c>
      <c r="BZ123" s="13">
        <f>BY123*VLOOKUP('Données projet'!$B$12,Paramètres!$A$1:$I$89,3,0)*VLOOKUP('Données projet'!$B$12,Paramètres!$A$1:$I$89,5,0)</f>
        <v>364.86627840000023</v>
      </c>
      <c r="CA123" s="13">
        <f t="shared" si="93"/>
        <v>84.61618210285377</v>
      </c>
      <c r="CB123" s="20">
        <f t="shared" si="64"/>
        <v>782.84861870913744</v>
      </c>
      <c r="CC123" s="59">
        <f t="shared" si="65"/>
        <v>1076.1819520424708</v>
      </c>
      <c r="CD123" s="59">
        <f ca="1">AVERAGE(OFFSET($CC$3,0,0,'Données projet'!$E$12+1,1))-AVERAGE(OFFSET($H$3,0,0,'Données projet'!$E$12+1,1))</f>
        <v>449.28947235329758</v>
      </c>
      <c r="CE123" s="59">
        <f t="shared" si="94"/>
        <v>289.36994109443964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46.197051667854431</v>
      </c>
      <c r="CL123" s="21">
        <f>EXP(-LN(2)/25)*CL122+(1-EXP(-LN(2)/25))/(LN(2)/25)*Calculateur!CG123*Calculateur!CI123*VLOOKUP('Données projet'!$B$12,Paramètres!$A$1:$I$89,3,0)*0.475*44/12</f>
        <v>21.241797612582701</v>
      </c>
      <c r="CM123" s="21">
        <f>EXP(-LN(2)/2)*CM122+(1-EXP(-LN(2)/2))/(LN(2)/2)*CG123*CJ123*VLOOKUP('Données projet'!$B$12,Paramètres!$A$1:$I$89,3,0)*0.475*44/12</f>
        <v>1.2806345408901362E-5</v>
      </c>
      <c r="CN123" s="22">
        <f t="shared" si="66"/>
        <v>67.438862086782535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2.8421709430404007E-14</v>
      </c>
      <c r="CU123" s="17">
        <f>CT123*VLOOKUP('Données projet'!$B$13,Paramètres!$A$1:$I$89,3,0)*VLOOKUP('Données projet'!$B$13,Paramètres!$A$1:$I$89,5,0)</f>
        <v>2.4829205358400945E-14</v>
      </c>
      <c r="CV123" s="13">
        <f t="shared" si="95"/>
        <v>4.3867331143352915E-13</v>
      </c>
      <c r="CW123" s="20">
        <f t="shared" si="67"/>
        <v>8.0726688341261168E-13</v>
      </c>
      <c r="CX123" s="59">
        <f t="shared" si="68"/>
        <v>293.33333333333411</v>
      </c>
      <c r="CY123" s="59">
        <f ca="1">AVERAGE(OFFSET($CX$3,0,0,'Données projet'!$E$13+1,1))-AVERAGE(OFFSET($H$3,0,0,'Données projet'!$E$13+1,1))</f>
        <v>261.93797831021766</v>
      </c>
      <c r="CZ123" s="59">
        <f t="shared" si="96"/>
        <v>256.90876395053073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14.938191474007837</v>
      </c>
      <c r="DG123" s="21">
        <f>EXP(-LN(2)/25)*DG122+(1-EXP(-LN(2)/25))/(LN(2)/25)*Calculateur!DB123*Calculateur!DD123*VLOOKUP('Données projet'!$B$13,Paramètres!$A$1:$I$89,3,0)*0.475*44/12</f>
        <v>12.039180647457149</v>
      </c>
      <c r="DH123" s="21">
        <f>EXP(-LN(2)/2)*DH122+(1-EXP(-LN(2)/2))/(LN(2)/2)*DB123*DE123*VLOOKUP('Données projet'!$B$13,Paramètres!$A$1:$I$89,3,0)*0.475*44/12</f>
        <v>4.334110416472256E-5</v>
      </c>
      <c r="DI123" s="22">
        <f t="shared" si="69"/>
        <v>26.977415462569152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10.745999999999999</v>
      </c>
      <c r="N124" s="13">
        <f>IF('Données projet'!$A$36&gt;35,N123+M124-V123,IF(A124&lt;'Données projet'!$A$36,$K$205^A124,IF(A124='Données projet'!$A$36,'Données projet'!$B$36,N123+M124-V123)))</f>
        <v>509.69600000000008</v>
      </c>
      <c r="O124" s="13">
        <f>N124*VLOOKUP('Données projet'!$B$9,Paramètres!$A$1:$I$89,3,0)*VLOOKUP('Données projet'!$B$9,Paramètres!$A$1:$I$89,5,0)</f>
        <v>461.17294080000005</v>
      </c>
      <c r="P124" s="13">
        <f t="shared" si="87"/>
        <v>104.07397295861892</v>
      </c>
      <c r="Q124" s="20">
        <f t="shared" si="107"/>
        <v>984.47170812959484</v>
      </c>
      <c r="R124" s="59">
        <f t="shared" si="55"/>
        <v>1277.8050414629281</v>
      </c>
      <c r="S124" s="59">
        <f ca="1">AVERAGE(OFFSET($R$3,0,0,'Données projet'!$E$9+1,1))-AVERAGE(OFFSET($H$3,0,0,'Données projet'!$E$9+1,1))</f>
        <v>695.0879239758051</v>
      </c>
      <c r="T124" s="59">
        <f t="shared" si="88"/>
        <v>226.22150997227476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60.617684791695261</v>
      </c>
      <c r="AA124" s="21">
        <f>EXP(-LN(2)/25)*AA123+(1-EXP(-LN(2)/25))/(LN(2)/25)*Calculateur!V124*Calculateur!X124*VLOOKUP('Données projet'!$B$9,Paramètres!$A$1:$I$89,3,0)*0.475*44/12</f>
        <v>29.665024060144241</v>
      </c>
      <c r="AB124" s="21">
        <f>EXP(-LN(2)/2)*AB123+(1-EXP(-LN(2)/2))/(LN(2)/2)*V124*Y124*VLOOKUP('Données projet'!$B$9,Paramètres!$A$1:$I$89,3,0)*0.475*44/12</f>
        <v>1.3353837645471879E-4</v>
      </c>
      <c r="AC124" s="22">
        <f t="shared" si="57"/>
        <v>90.282842390215961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4.7884896048344674E-14</v>
      </c>
      <c r="AK124" s="13">
        <f t="shared" si="89"/>
        <v>7.8374629847779921E-13</v>
      </c>
      <c r="AL124" s="20">
        <f t="shared" si="58"/>
        <v>1.4484243304663672E-12</v>
      </c>
      <c r="AM124" s="59">
        <f t="shared" si="59"/>
        <v>293.33333333333474</v>
      </c>
      <c r="AN124" s="59">
        <f ca="1">AVERAGE(OFFSET($AM$3,0,0,'Données projet'!$E$10+1,1))-AVERAGE(OFFSET($H$3,0,0,'Données projet'!$E$10+1,1))</f>
        <v>424.81155998881928</v>
      </c>
      <c r="AO124" s="59">
        <f t="shared" si="90"/>
        <v>277.34430416544575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90.899429068115026</v>
      </c>
      <c r="AV124" s="21">
        <f>EXP(-LN(2)/25)*AV123+(1-EXP(-LN(2)/25))/(LN(2)/25)*Calculateur!AQ124*Calculateur!AS124*VLOOKUP('Données projet'!$B$10,Paramètres!$A$1:$I$89,3,0)*0.475*44/12</f>
        <v>18.459796431958171</v>
      </c>
      <c r="AW124" s="21">
        <f>EXP(-LN(2)/2)*AW123+(1-EXP(-LN(2)/2))/(LN(2)/2)*AQ124*AT124*VLOOKUP('Données projet'!$B$10,Paramètres!$A$1:$I$89,3,0)*0.475*44/12</f>
        <v>4.1006798995370269E-2</v>
      </c>
      <c r="AX124" s="21">
        <f t="shared" si="60"/>
        <v>109.40023229906856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431.06356800000077</v>
      </c>
      <c r="BF124" s="13">
        <f t="shared" si="91"/>
        <v>98.046653408452883</v>
      </c>
      <c r="BG124" s="20">
        <f t="shared" si="61"/>
        <v>921.53363561972344</v>
      </c>
      <c r="BH124" s="59">
        <f t="shared" si="62"/>
        <v>1214.8669689530568</v>
      </c>
      <c r="BI124" s="59">
        <f ca="1">AVERAGE(OFFSET($BH$3,0,0,'Données projet'!$E$11+1,1))-AVERAGE(OFFSET($H$3,0,0,'Données projet'!$E$11+1,1))</f>
        <v>706.69239849991595</v>
      </c>
      <c r="BJ124" s="59">
        <f t="shared" si="92"/>
        <v>310.59887275116529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35.57234514069755</v>
      </c>
      <c r="BQ124" s="21">
        <f>EXP(-LN(2)/25)*BQ123+(1-EXP(-LN(2)/25))/(LN(2)/25)*Calculateur!BL124*Calculateur!BN124*VLOOKUP('Données projet'!$B$11,Paramètres!$A$1:$I$89,3,0)*0.475*44/12</f>
        <v>23.795489355567543</v>
      </c>
      <c r="BR124" s="21">
        <f>EXP(-LN(2)/2)*BR123+(1-EXP(-LN(2)/2))/(LN(2)/2)*BL124*BO124*VLOOKUP('Données projet'!$B$11,Paramètres!$A$1:$I$89,3,0)*0.475*44/12</f>
        <v>0.54115403282125751</v>
      </c>
      <c r="BS124" s="22">
        <f t="shared" si="63"/>
        <v>59.908988529086351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8.7019999999999982</v>
      </c>
      <c r="BY124" s="12">
        <f>IF('Données projet'!$A$114&gt;35,BY123+BX124-CG123,IF(A124&lt;'Données projet'!$A$114,$BV$205^A124,IF(A124='Données projet'!$A$114,'Données projet'!$B$114,BY123+BX124-CG123)))</f>
        <v>392.12600000000026</v>
      </c>
      <c r="BZ124" s="13">
        <f>BY124*VLOOKUP('Données projet'!$B$12,Paramètres!$A$1:$I$89,3,0)*VLOOKUP('Données projet'!$B$12,Paramètres!$A$1:$I$89,5,0)</f>
        <v>373.14710160000027</v>
      </c>
      <c r="CA124" s="13">
        <f t="shared" si="93"/>
        <v>86.310830804095133</v>
      </c>
      <c r="CB124" s="20">
        <f t="shared" si="64"/>
        <v>800.22256560379947</v>
      </c>
      <c r="CC124" s="59">
        <f t="shared" si="65"/>
        <v>1093.5558989371327</v>
      </c>
      <c r="CD124" s="59">
        <f ca="1">AVERAGE(OFFSET($CC$3,0,0,'Données projet'!$E$12+1,1))-AVERAGE(OFFSET($H$3,0,0,'Données projet'!$E$12+1,1))</f>
        <v>449.28947235329758</v>
      </c>
      <c r="CE124" s="59">
        <f t="shared" si="94"/>
        <v>289.36994109443964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45.291155662067034</v>
      </c>
      <c r="CL124" s="21">
        <f>EXP(-LN(2)/25)*CL123+(1-EXP(-LN(2)/25))/(LN(2)/25)*Calculateur!CG124*Calculateur!CI124*VLOOKUP('Données projet'!$B$12,Paramètres!$A$1:$I$89,3,0)*0.475*44/12</f>
        <v>20.660939539809039</v>
      </c>
      <c r="CM124" s="21">
        <f>EXP(-LN(2)/2)*CM123+(1-EXP(-LN(2)/2))/(LN(2)/2)*CG124*CJ124*VLOOKUP('Données projet'!$B$12,Paramètres!$A$1:$I$89,3,0)*0.475*44/12</f>
        <v>9.0554536808513626E-6</v>
      </c>
      <c r="CN124" s="22">
        <f t="shared" si="66"/>
        <v>65.952104257329751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2.4829205358400945E-14</v>
      </c>
      <c r="CV124" s="13">
        <f t="shared" si="95"/>
        <v>4.3867331143352915E-13</v>
      </c>
      <c r="CW124" s="20">
        <f t="shared" si="67"/>
        <v>8.0726688341261168E-13</v>
      </c>
      <c r="CX124" s="59">
        <f t="shared" si="68"/>
        <v>293.33333333333411</v>
      </c>
      <c r="CY124" s="59">
        <f ca="1">AVERAGE(OFFSET($CX$3,0,0,'Données projet'!$E$13+1,1))-AVERAGE(OFFSET($H$3,0,0,'Données projet'!$E$13+1,1))</f>
        <v>261.93797831021766</v>
      </c>
      <c r="CZ124" s="59">
        <f t="shared" si="96"/>
        <v>256.90876395053073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14.645262650599667</v>
      </c>
      <c r="DG124" s="21">
        <f>EXP(-LN(2)/25)*DG123+(1-EXP(-LN(2)/25))/(LN(2)/25)*Calculateur!DB124*Calculateur!DD124*VLOOKUP('Données projet'!$B$13,Paramètres!$A$1:$I$89,3,0)*0.475*44/12</f>
        <v>11.709968619539438</v>
      </c>
      <c r="DH124" s="21">
        <f>EXP(-LN(2)/2)*DH123+(1-EXP(-LN(2)/2))/(LN(2)/2)*DB124*DE124*VLOOKUP('Données projet'!$B$13,Paramètres!$A$1:$I$89,3,0)*0.475*44/12</f>
        <v>3.0646788658987838E-5</v>
      </c>
      <c r="DI124" s="22">
        <f t="shared" si="69"/>
        <v>26.355261916927766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10.745999999999999</v>
      </c>
      <c r="N125" s="13">
        <f>IF('Données projet'!$A$36&gt;35,N124+M125-V124,IF(A125&lt;'Données projet'!$A$36,$K$205^A125,IF(A125='Données projet'!$A$36,'Données projet'!$B$36,N124+M125-V124)))</f>
        <v>520.44200000000012</v>
      </c>
      <c r="O125" s="13">
        <f>N125*VLOOKUP('Données projet'!$B$9,Paramètres!$A$1:$I$89,3,0)*VLOOKUP('Données projet'!$B$9,Paramètres!$A$1:$I$89,5,0)</f>
        <v>470.89592160000012</v>
      </c>
      <c r="P125" s="13">
        <f t="shared" si="87"/>
        <v>106.0104143991686</v>
      </c>
      <c r="Q125" s="20">
        <f t="shared" si="107"/>
        <v>1004.7785351985522</v>
      </c>
      <c r="R125" s="59">
        <f t="shared" si="55"/>
        <v>1298.1118685318854</v>
      </c>
      <c r="S125" s="59">
        <f ca="1">AVERAGE(OFFSET($R$3,0,0,'Données projet'!$E$9+1,1))-AVERAGE(OFFSET($H$3,0,0,'Données projet'!$E$9+1,1))</f>
        <v>695.0879239758051</v>
      </c>
      <c r="T125" s="59">
        <f t="shared" si="88"/>
        <v>226.22150997227476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59.429008966067045</v>
      </c>
      <c r="AA125" s="21">
        <f>EXP(-LN(2)/25)*AA124+(1-EXP(-LN(2)/25))/(LN(2)/25)*Calculateur!V125*Calculateur!X125*VLOOKUP('Données projet'!$B$9,Paramètres!$A$1:$I$89,3,0)*0.475*44/12</f>
        <v>28.85383241720378</v>
      </c>
      <c r="AB125" s="21">
        <f>EXP(-LN(2)/2)*AB124+(1-EXP(-LN(2)/2))/(LN(2)/2)*V125*Y125*VLOOKUP('Données projet'!$B$9,Paramètres!$A$1:$I$89,3,0)*0.475*44/12</f>
        <v>9.4425891539773652E-5</v>
      </c>
      <c r="AC125" s="22">
        <f t="shared" si="57"/>
        <v>88.282935809162367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4.7884896048344674E-14</v>
      </c>
      <c r="AK125" s="13">
        <f t="shared" si="89"/>
        <v>7.8374629847779921E-13</v>
      </c>
      <c r="AL125" s="20">
        <f t="shared" si="58"/>
        <v>1.4484243304663672E-12</v>
      </c>
      <c r="AM125" s="59">
        <f t="shared" si="59"/>
        <v>293.33333333333474</v>
      </c>
      <c r="AN125" s="59">
        <f ca="1">AVERAGE(OFFSET($AM$3,0,0,'Données projet'!$E$10+1,1))-AVERAGE(OFFSET($H$3,0,0,'Données projet'!$E$10+1,1))</f>
        <v>424.81155998881928</v>
      </c>
      <c r="AO125" s="59">
        <f t="shared" si="90"/>
        <v>277.34430416544575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89.116946707266465</v>
      </c>
      <c r="AV125" s="21">
        <f>EXP(-LN(2)/25)*AV124+(1-EXP(-LN(2)/25))/(LN(2)/25)*Calculateur!AQ125*Calculateur!AS125*VLOOKUP('Données projet'!$B$10,Paramètres!$A$1:$I$89,3,0)*0.475*44/12</f>
        <v>17.955012327767772</v>
      </c>
      <c r="AW125" s="21">
        <f>EXP(-LN(2)/2)*AW124+(1-EXP(-LN(2)/2))/(LN(2)/2)*AQ125*AT125*VLOOKUP('Données projet'!$B$10,Paramètres!$A$1:$I$89,3,0)*0.475*44/12</f>
        <v>2.8996185644380022E-2</v>
      </c>
      <c r="AX125" s="21">
        <f t="shared" si="60"/>
        <v>107.10095522067861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440.1043920000007</v>
      </c>
      <c r="BF125" s="13">
        <f t="shared" si="91"/>
        <v>99.861453660492415</v>
      </c>
      <c r="BG125" s="20">
        <f t="shared" si="61"/>
        <v>940.44051452535894</v>
      </c>
      <c r="BH125" s="59">
        <f t="shared" si="62"/>
        <v>1233.7738478586923</v>
      </c>
      <c r="BI125" s="59">
        <f ca="1">AVERAGE(OFFSET($BH$3,0,0,'Données projet'!$E$11+1,1))-AVERAGE(OFFSET($H$3,0,0,'Données projet'!$E$11+1,1))</f>
        <v>706.69239849991595</v>
      </c>
      <c r="BJ125" s="59">
        <f t="shared" si="92"/>
        <v>310.59887275116529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34.874793149476609</v>
      </c>
      <c r="BQ125" s="21">
        <f>EXP(-LN(2)/25)*BQ124+(1-EXP(-LN(2)/25))/(LN(2)/25)*Calculateur!BL125*Calculateur!BN125*VLOOKUP('Données projet'!$B$11,Paramètres!$A$1:$I$89,3,0)*0.475*44/12</f>
        <v>23.144800447789148</v>
      </c>
      <c r="BR125" s="21">
        <f>EXP(-LN(2)/2)*BR124+(1-EXP(-LN(2)/2))/(LN(2)/2)*BL125*BO125*VLOOKUP('Données projet'!$B$11,Paramètres!$A$1:$I$89,3,0)*0.475*44/12</f>
        <v>0.3826536862743587</v>
      </c>
      <c r="BS125" s="22">
        <f t="shared" si="63"/>
        <v>58.402247283540113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8.7019999999999982</v>
      </c>
      <c r="BY125" s="12">
        <f>IF('Données projet'!$A$114&gt;35,BY124+BX125-CG124,IF(A125&lt;'Données projet'!$A$114,$BV$205^A125,IF(A125='Données projet'!$A$114,'Données projet'!$B$114,BY124+BX125-CG124)))</f>
        <v>400.82800000000026</v>
      </c>
      <c r="BZ125" s="13">
        <f>BY125*VLOOKUP('Données projet'!$B$12,Paramètres!$A$1:$I$89,3,0)*VLOOKUP('Données projet'!$B$12,Paramètres!$A$1:$I$89,5,0)</f>
        <v>381.42792480000026</v>
      </c>
      <c r="CA125" s="13">
        <f t="shared" si="93"/>
        <v>88.001107275506357</v>
      </c>
      <c r="CB125" s="20">
        <f t="shared" si="64"/>
        <v>817.58889753150731</v>
      </c>
      <c r="CC125" s="59">
        <f t="shared" si="65"/>
        <v>1110.9222308648407</v>
      </c>
      <c r="CD125" s="59">
        <f ca="1">AVERAGE(OFFSET($CC$3,0,0,'Données projet'!$E$12+1,1))-AVERAGE(OFFSET($H$3,0,0,'Données projet'!$E$12+1,1))</f>
        <v>449.28947235329758</v>
      </c>
      <c r="CE125" s="59">
        <f t="shared" si="94"/>
        <v>289.36994109443964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44.403023724411121</v>
      </c>
      <c r="CL125" s="21">
        <f>EXP(-LN(2)/25)*CL124+(1-EXP(-LN(2)/25))/(LN(2)/25)*Calculateur!CG125*Calculateur!CI125*VLOOKUP('Données projet'!$B$12,Paramètres!$A$1:$I$89,3,0)*0.475*44/12</f>
        <v>20.095965061581371</v>
      </c>
      <c r="CM125" s="21">
        <f>EXP(-LN(2)/2)*CM124+(1-EXP(-LN(2)/2))/(LN(2)/2)*CG125*CJ125*VLOOKUP('Données projet'!$B$12,Paramètres!$A$1:$I$89,3,0)*0.475*44/12</f>
        <v>6.4031727044506809E-6</v>
      </c>
      <c r="CN125" s="22">
        <f t="shared" si="66"/>
        <v>64.4989951891652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2.4829205358400945E-14</v>
      </c>
      <c r="CV125" s="13">
        <f t="shared" si="95"/>
        <v>4.3867331143352915E-13</v>
      </c>
      <c r="CW125" s="20">
        <f t="shared" si="67"/>
        <v>8.0726688341261168E-13</v>
      </c>
      <c r="CX125" s="59">
        <f t="shared" si="68"/>
        <v>293.33333333333411</v>
      </c>
      <c r="CY125" s="59">
        <f ca="1">AVERAGE(OFFSET($CX$3,0,0,'Données projet'!$E$13+1,1))-AVERAGE(OFFSET($H$3,0,0,'Données projet'!$E$13+1,1))</f>
        <v>261.93797831021766</v>
      </c>
      <c r="CZ125" s="59">
        <f t="shared" si="96"/>
        <v>256.90876395053073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14.358077982749592</v>
      </c>
      <c r="DG125" s="21">
        <f>EXP(-LN(2)/25)*DG124+(1-EXP(-LN(2)/25))/(LN(2)/25)*Calculateur!DB125*Calculateur!DD125*VLOOKUP('Données projet'!$B$13,Paramètres!$A$1:$I$89,3,0)*0.475*44/12</f>
        <v>11.389758911837646</v>
      </c>
      <c r="DH125" s="21">
        <f>EXP(-LN(2)/2)*DH124+(1-EXP(-LN(2)/2))/(LN(2)/2)*DB125*DE125*VLOOKUP('Données projet'!$B$13,Paramètres!$A$1:$I$89,3,0)*0.475*44/12</f>
        <v>2.167055208236128E-5</v>
      </c>
      <c r="DI125" s="22">
        <f t="shared" si="69"/>
        <v>25.747858565139321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10.745999999999999</v>
      </c>
      <c r="N126" s="13">
        <f>IF('Données projet'!$A$36&gt;35,N125+M126-V125,IF(A126&lt;'Données projet'!$A$36,$K$205^A126,IF(A126='Données projet'!$A$36,'Données projet'!$B$36,N125+M126-V125)))</f>
        <v>531.1880000000001</v>
      </c>
      <c r="O126" s="13">
        <f>N126*VLOOKUP('Données projet'!$B$9,Paramètres!$A$1:$I$89,3,0)*VLOOKUP('Données projet'!$B$9,Paramètres!$A$1:$I$89,5,0)</f>
        <v>480.61890240000002</v>
      </c>
      <c r="P126" s="13">
        <f t="shared" si="87"/>
        <v>107.9422070202726</v>
      </c>
      <c r="Q126" s="20">
        <f t="shared" si="107"/>
        <v>1025.0772655736414</v>
      </c>
      <c r="R126" s="59">
        <f t="shared" si="55"/>
        <v>1318.4105989069747</v>
      </c>
      <c r="S126" s="59">
        <f ca="1">AVERAGE(OFFSET($R$3,0,0,'Données projet'!$E$9+1,1))-AVERAGE(OFFSET($H$3,0,0,'Données projet'!$E$9+1,1))</f>
        <v>695.0879239758051</v>
      </c>
      <c r="T126" s="59">
        <f t="shared" si="88"/>
        <v>226.22150997227476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58.263642348358736</v>
      </c>
      <c r="AA126" s="21">
        <f>EXP(-LN(2)/25)*AA125+(1-EXP(-LN(2)/25))/(LN(2)/25)*Calculateur!V126*Calculateur!X126*VLOOKUP('Données projet'!$B$9,Paramètres!$A$1:$I$89,3,0)*0.475*44/12</f>
        <v>28.06482285239824</v>
      </c>
      <c r="AB126" s="21">
        <f>EXP(-LN(2)/2)*AB125+(1-EXP(-LN(2)/2))/(LN(2)/2)*V126*Y126*VLOOKUP('Données projet'!$B$9,Paramètres!$A$1:$I$89,3,0)*0.475*44/12</f>
        <v>6.6769188227359396E-5</v>
      </c>
      <c r="AC126" s="22">
        <f t="shared" si="57"/>
        <v>86.328531969945203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4.7884896048344674E-14</v>
      </c>
      <c r="AK126" s="13">
        <f t="shared" si="89"/>
        <v>7.8374629847779921E-13</v>
      </c>
      <c r="AL126" s="20">
        <f t="shared" si="58"/>
        <v>1.4484243304663672E-12</v>
      </c>
      <c r="AM126" s="59">
        <f t="shared" si="59"/>
        <v>293.33333333333474</v>
      </c>
      <c r="AN126" s="59">
        <f ca="1">AVERAGE(OFFSET($AM$3,0,0,'Données projet'!$E$10+1,1))-AVERAGE(OFFSET($H$3,0,0,'Données projet'!$E$10+1,1))</f>
        <v>424.81155998881928</v>
      </c>
      <c r="AO126" s="59">
        <f t="shared" si="90"/>
        <v>277.34430416544575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87.369417738307249</v>
      </c>
      <c r="AV126" s="21">
        <f>EXP(-LN(2)/25)*AV125+(1-EXP(-LN(2)/25))/(LN(2)/25)*Calculateur!AQ126*Calculateur!AS126*VLOOKUP('Données projet'!$B$10,Paramètres!$A$1:$I$89,3,0)*0.475*44/12</f>
        <v>17.464031571451901</v>
      </c>
      <c r="AW126" s="21">
        <f>EXP(-LN(2)/2)*AW125+(1-EXP(-LN(2)/2))/(LN(2)/2)*AQ126*AT126*VLOOKUP('Données projet'!$B$10,Paramètres!$A$1:$I$89,3,0)*0.475*44/12</f>
        <v>2.0503399497685135E-2</v>
      </c>
      <c r="AX126" s="21">
        <f t="shared" si="60"/>
        <v>104.85395270925683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449.1452160000008</v>
      </c>
      <c r="BF126" s="13">
        <f t="shared" si="91"/>
        <v>101.67191932991005</v>
      </c>
      <c r="BG126" s="20">
        <f t="shared" si="61"/>
        <v>959.33984403292789</v>
      </c>
      <c r="BH126" s="59">
        <f t="shared" si="62"/>
        <v>1252.6731773662611</v>
      </c>
      <c r="BI126" s="59">
        <f ca="1">AVERAGE(OFFSET($BH$3,0,0,'Données projet'!$E$11+1,1))-AVERAGE(OFFSET($H$3,0,0,'Données projet'!$E$11+1,1))</f>
        <v>706.69239849991595</v>
      </c>
      <c r="BJ126" s="59">
        <f t="shared" si="92"/>
        <v>310.59887275116529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34.190919727338809</v>
      </c>
      <c r="BQ126" s="21">
        <f>EXP(-LN(2)/25)*BQ125+(1-EXP(-LN(2)/25))/(LN(2)/25)*Calculateur!BL126*Calculateur!BN126*VLOOKUP('Données projet'!$B$11,Paramètres!$A$1:$I$89,3,0)*0.475*44/12</f>
        <v>22.511904662412196</v>
      </c>
      <c r="BR126" s="21">
        <f>EXP(-LN(2)/2)*BR125+(1-EXP(-LN(2)/2))/(LN(2)/2)*BL126*BO126*VLOOKUP('Données projet'!$B$11,Paramètres!$A$1:$I$89,3,0)*0.475*44/12</f>
        <v>0.27057701641062876</v>
      </c>
      <c r="BS126" s="22">
        <f t="shared" si="63"/>
        <v>56.973401406161628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409.53</v>
      </c>
      <c r="BW126" s="12">
        <f>VLOOKUP(A126,'Données projet'!$A$113:$I$133,9,0)</f>
        <v>8.7019999999999982</v>
      </c>
      <c r="BX126" s="12">
        <f t="array" ref="BX126">INDEX(BW:BW,MIN(IF(ISNUMBER(BW126:BW322),ROW(BW126:BW322),"")))</f>
        <v>8.7019999999999982</v>
      </c>
      <c r="BY126" s="12">
        <f>IF('Données projet'!$A$114&gt;35,BY125+BX126-CG125,IF(A126&lt;'Données projet'!$A$114,$BV$205^A126,IF(A126='Données projet'!$A$114,'Données projet'!$B$114,BY125+BX126-CG125)))</f>
        <v>409.53000000000026</v>
      </c>
      <c r="BZ126" s="13">
        <f>BY126*VLOOKUP('Données projet'!$B$12,Paramètres!$A$1:$I$89,3,0)*VLOOKUP('Données projet'!$B$12,Paramètres!$A$1:$I$89,5,0)</f>
        <v>389.70874800000024</v>
      </c>
      <c r="CA126" s="13">
        <f t="shared" si="93"/>
        <v>89.687117370320195</v>
      </c>
      <c r="CB126" s="20">
        <f t="shared" si="64"/>
        <v>834.94779885330809</v>
      </c>
      <c r="CC126" s="59">
        <f t="shared" si="65"/>
        <v>1128.2811321866413</v>
      </c>
      <c r="CD126" s="59">
        <f ca="1">AVERAGE(OFFSET($CC$3,0,0,'Données projet'!$E$12+1,1))-AVERAGE(OFFSET($H$3,0,0,'Données projet'!$E$12+1,1))</f>
        <v>449.28947235329758</v>
      </c>
      <c r="CE126" s="59">
        <f t="shared" si="94"/>
        <v>289.36994109443964</v>
      </c>
      <c r="CF126" s="15">
        <f>IF(ISNA(VLOOKUP(A126,'Données projet'!$A$113:$I$133,3,0)),0,VLOOKUP(A126,'Données projet'!$A$113:$I$133,3,0))</f>
        <v>11</v>
      </c>
      <c r="CG126" s="15">
        <f>IF(ISNA(VLOOKUP(A126,'Données projet'!$A$113:$I$133,4,0)),0,VLOOKUP(A126,'Données projet'!$A$113:$I$133,4,0))</f>
        <v>203.78999999999996</v>
      </c>
      <c r="CH126" s="16">
        <f>IF(ISNA(VLOOKUP(A126,'Données projet'!$A$113:$I$133,5,0)),0%,VLOOKUP(A126,'Données projet'!$A$113:$I$133,5,0)*VLOOKUP('Données projet'!$B$12,Paramètres!$A$1:$I$89,7,0))</f>
        <v>0.19350000000000001</v>
      </c>
      <c r="CI126" s="16">
        <f>IF(ISNA(VLOOKUP(A126,'Données projet'!$A$113:$I$133,6,0)),0%,VLOOKUP(A126,'Données projet'!$A$113:$I$133,6,0)*VLOOKUP('Données projet'!$B$12,Paramètres!$A$1:$I$89,7,0))</f>
        <v>2.1500000000000002E-2</v>
      </c>
      <c r="CJ126" s="16">
        <f>IF(ISNA(VLOOKUP(A126,'Données projet'!$A$113:$I$133,7,0)),0%,VLOOKUP(A126,'Données projet'!$A$113:$I$133,7,0))</f>
        <v>0.05</v>
      </c>
      <c r="CK126" s="21">
        <f>EXP(-LN(2)/35)*CK125+(1-EXP(-LN(2)/35))/(LN(2)/35)*CG126*CH126*VLOOKUP('Données projet'!$B$12,Paramètres!$A$1:$I$89,3,0)*0.475*44/12</f>
        <v>85.014851503672929</v>
      </c>
      <c r="CL126" s="21">
        <f>EXP(-LN(2)/25)*CL125+(1-EXP(-LN(2)/25))/(LN(2)/25)*Calculateur!CG126*Calculateur!CI126*VLOOKUP('Données projet'!$B$12,Paramètres!$A$1:$I$89,3,0)*0.475*44/12</f>
        <v>24.137463330120998</v>
      </c>
      <c r="CM126" s="21">
        <f>EXP(-LN(2)/2)*CM125+(1-EXP(-LN(2)/2))/(LN(2)/2)*CG126*CJ126*VLOOKUP('Données projet'!$B$12,Paramètres!$A$1:$I$89,3,0)*0.475*44/12</f>
        <v>9.1487511572740559</v>
      </c>
      <c r="CN126" s="22">
        <f t="shared" si="66"/>
        <v>118.30106599106799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2.4829205358400945E-14</v>
      </c>
      <c r="CV126" s="13">
        <f t="shared" si="95"/>
        <v>4.3867331143352915E-13</v>
      </c>
      <c r="CW126" s="20">
        <f t="shared" si="67"/>
        <v>8.0726688341261168E-13</v>
      </c>
      <c r="CX126" s="59">
        <f t="shared" si="68"/>
        <v>293.33333333333411</v>
      </c>
      <c r="CY126" s="59">
        <f ca="1">AVERAGE(OFFSET($CX$3,0,0,'Données projet'!$E$13+1,1))-AVERAGE(OFFSET($H$3,0,0,'Données projet'!$E$13+1,1))</f>
        <v>261.93797831021766</v>
      </c>
      <c r="CZ126" s="59">
        <f t="shared" si="96"/>
        <v>256.90876395053073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14.076524831070705</v>
      </c>
      <c r="DG126" s="21">
        <f>EXP(-LN(2)/25)*DG125+(1-EXP(-LN(2)/25))/(LN(2)/25)*Calculateur!DB126*Calculateur!DD126*VLOOKUP('Données projet'!$B$13,Paramètres!$A$1:$I$89,3,0)*0.475*44/12</f>
        <v>11.078305355432056</v>
      </c>
      <c r="DH126" s="21">
        <f>EXP(-LN(2)/2)*DH125+(1-EXP(-LN(2)/2))/(LN(2)/2)*DB126*DE126*VLOOKUP('Données projet'!$B$13,Paramètres!$A$1:$I$89,3,0)*0.475*44/12</f>
        <v>1.5323394329493919E-5</v>
      </c>
      <c r="DI126" s="22">
        <f t="shared" si="69"/>
        <v>25.15484550989709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10.745999999999999</v>
      </c>
      <c r="N127" s="13">
        <f>IF('Données projet'!$A$36&gt;35,N126+M127-V126,IF(A127&lt;'Données projet'!$A$36,$K$205^A127,IF(A127='Données projet'!$A$36,'Données projet'!$B$36,N126+M127-V126)))</f>
        <v>541.93400000000008</v>
      </c>
      <c r="O127" s="13">
        <f>N127*VLOOKUP('Données projet'!$B$9,Paramètres!$A$1:$I$89,3,0)*VLOOKUP('Données projet'!$B$9,Paramètres!$A$1:$I$89,5,0)</f>
        <v>490.34188320000004</v>
      </c>
      <c r="P127" s="13">
        <f t="shared" si="87"/>
        <v>109.86945570602957</v>
      </c>
      <c r="Q127" s="20">
        <f t="shared" si="107"/>
        <v>1045.3680819280014</v>
      </c>
      <c r="R127" s="59">
        <f t="shared" si="55"/>
        <v>1338.7014152613347</v>
      </c>
      <c r="S127" s="59">
        <f ca="1">AVERAGE(OFFSET($R$3,0,0,'Données projet'!$E$9+1,1))-AVERAGE(OFFSET($H$3,0,0,'Données projet'!$E$9+1,1))</f>
        <v>695.0879239758051</v>
      </c>
      <c r="T127" s="59">
        <f t="shared" si="88"/>
        <v>226.22150997227476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57.121127859220238</v>
      </c>
      <c r="AA127" s="21">
        <f>EXP(-LN(2)/25)*AA126+(1-EXP(-LN(2)/25))/(LN(2)/25)*Calculateur!V127*Calculateur!X127*VLOOKUP('Données projet'!$B$9,Paramètres!$A$1:$I$89,3,0)*0.475*44/12</f>
        <v>27.297388795634518</v>
      </c>
      <c r="AB127" s="21">
        <f>EXP(-LN(2)/2)*AB126+(1-EXP(-LN(2)/2))/(LN(2)/2)*V127*Y127*VLOOKUP('Données projet'!$B$9,Paramètres!$A$1:$I$89,3,0)*0.475*44/12</f>
        <v>4.7212945769886826E-5</v>
      </c>
      <c r="AC127" s="22">
        <f t="shared" si="57"/>
        <v>84.418563867800529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4.7884896048344674E-14</v>
      </c>
      <c r="AK127" s="13">
        <f t="shared" si="89"/>
        <v>7.8374629847779921E-13</v>
      </c>
      <c r="AL127" s="20">
        <f t="shared" si="58"/>
        <v>1.4484243304663672E-12</v>
      </c>
      <c r="AM127" s="59">
        <f t="shared" si="59"/>
        <v>293.33333333333474</v>
      </c>
      <c r="AN127" s="59">
        <f ca="1">AVERAGE(OFFSET($AM$3,0,0,'Données projet'!$E$10+1,1))-AVERAGE(OFFSET($H$3,0,0,'Données projet'!$E$10+1,1))</f>
        <v>424.81155998881928</v>
      </c>
      <c r="AO127" s="59">
        <f t="shared" si="90"/>
        <v>277.34430416544575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85.65615674654191</v>
      </c>
      <c r="AV127" s="21">
        <f>EXP(-LN(2)/25)*AV126+(1-EXP(-LN(2)/25))/(LN(2)/25)*Calculateur!AQ127*Calculateur!AS127*VLOOKUP('Données projet'!$B$10,Paramètres!$A$1:$I$89,3,0)*0.475*44/12</f>
        <v>16.986476709737044</v>
      </c>
      <c r="AW127" s="21">
        <f>EXP(-LN(2)/2)*AW126+(1-EXP(-LN(2)/2))/(LN(2)/2)*AQ127*AT127*VLOOKUP('Données projet'!$B$10,Paramètres!$A$1:$I$89,3,0)*0.475*44/12</f>
        <v>1.4498092822190011E-2</v>
      </c>
      <c r="AX127" s="21">
        <f t="shared" si="60"/>
        <v>102.65713154910115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458.18604000000073</v>
      </c>
      <c r="BF127" s="13">
        <f t="shared" si="91"/>
        <v>103.47814772253736</v>
      </c>
      <c r="BG127" s="20">
        <f t="shared" si="61"/>
        <v>978.23179361675386</v>
      </c>
      <c r="BH127" s="59">
        <f t="shared" si="62"/>
        <v>1271.5651269500872</v>
      </c>
      <c r="BI127" s="59">
        <f ca="1">AVERAGE(OFFSET($BH$3,0,0,'Données projet'!$E$11+1,1))-AVERAGE(OFFSET($H$3,0,0,'Données projet'!$E$11+1,1))</f>
        <v>706.69239849991595</v>
      </c>
      <c r="BJ127" s="59">
        <f t="shared" si="92"/>
        <v>310.59887275116529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43.273149223572069</v>
      </c>
      <c r="BQ127" s="21">
        <f>EXP(-LN(2)/25)*BQ126+(1-EXP(-LN(2)/25))/(LN(2)/25)*Calculateur!BL127*Calculateur!BN127*VLOOKUP('Données projet'!$B$11,Paramètres!$A$1:$I$89,3,0)*0.475*44/12</f>
        <v>27.447339737534058</v>
      </c>
      <c r="BR127" s="21">
        <f>EXP(-LN(2)/2)*BR126+(1-EXP(-LN(2)/2))/(LN(2)/2)*BL127*BO127*VLOOKUP('Données projet'!$B$11,Paramètres!$A$1:$I$89,3,0)*0.475*44/12</f>
        <v>5.7222193437776019</v>
      </c>
      <c r="BS127" s="22">
        <f t="shared" si="63"/>
        <v>76.442708304883723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4.8499999999999943</v>
      </c>
      <c r="BY127" s="12">
        <f>IF('Données projet'!$A$114&gt;35,BY126+BX127-CG126,IF(A127&lt;'Données projet'!$A$114,$BV$205^A127,IF(A127='Données projet'!$A$114,'Données projet'!$B$114,BY126+BX127-CG126)))</f>
        <v>210.59000000000026</v>
      </c>
      <c r="BZ127" s="13">
        <f>BY127*VLOOKUP('Données projet'!$B$12,Paramètres!$A$1:$I$89,3,0)*VLOOKUP('Données projet'!$B$12,Paramètres!$A$1:$I$89,5,0)</f>
        <v>200.39744400000023</v>
      </c>
      <c r="CA127" s="13">
        <f t="shared" si="93"/>
        <v>49.831503792487226</v>
      </c>
      <c r="CB127" s="20">
        <f t="shared" si="64"/>
        <v>435.81541740524904</v>
      </c>
      <c r="CC127" s="59">
        <f t="shared" si="65"/>
        <v>729.14875073858229</v>
      </c>
      <c r="CD127" s="59">
        <f ca="1">AVERAGE(OFFSET($CC$3,0,0,'Données projet'!$E$12+1,1))-AVERAGE(OFFSET($H$3,0,0,'Données projet'!$E$12+1,1))</f>
        <v>449.28947235329758</v>
      </c>
      <c r="CE127" s="59">
        <f t="shared" si="94"/>
        <v>289.36994109443964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83.347762119625173</v>
      </c>
      <c r="CL127" s="21">
        <f>EXP(-LN(2)/25)*CL126+(1-EXP(-LN(2)/25))/(LN(2)/25)*Calculateur!CG127*Calculateur!CI127*VLOOKUP('Données projet'!$B$12,Paramètres!$A$1:$I$89,3,0)*0.475*44/12</f>
        <v>23.47742312602481</v>
      </c>
      <c r="CM127" s="21">
        <f>EXP(-LN(2)/2)*CM126+(1-EXP(-LN(2)/2))/(LN(2)/2)*CG127*CJ127*VLOOKUP('Données projet'!$B$12,Paramètres!$A$1:$I$89,3,0)*0.475*44/12</f>
        <v>6.4691439826967594</v>
      </c>
      <c r="CN127" s="22">
        <f t="shared" si="66"/>
        <v>113.29432922834674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2.4829205358400945E-14</v>
      </c>
      <c r="CV127" s="13">
        <f t="shared" si="95"/>
        <v>4.3867331143352915E-13</v>
      </c>
      <c r="CW127" s="20">
        <f t="shared" si="67"/>
        <v>8.0726688341261168E-13</v>
      </c>
      <c r="CX127" s="59">
        <f t="shared" si="68"/>
        <v>293.33333333333411</v>
      </c>
      <c r="CY127" s="59">
        <f ca="1">AVERAGE(OFFSET($CX$3,0,0,'Données projet'!$E$13+1,1))-AVERAGE(OFFSET($H$3,0,0,'Données projet'!$E$13+1,1))</f>
        <v>261.93797831021766</v>
      </c>
      <c r="CZ127" s="59">
        <f t="shared" si="96"/>
        <v>256.90876395053073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13.800492764965774</v>
      </c>
      <c r="DG127" s="21">
        <f>EXP(-LN(2)/25)*DG126+(1-EXP(-LN(2)/25))/(LN(2)/25)*Calculateur!DB127*Calculateur!DD127*VLOOKUP('Données projet'!$B$13,Paramètres!$A$1:$I$89,3,0)*0.475*44/12</f>
        <v>10.775368512905008</v>
      </c>
      <c r="DH127" s="21">
        <f>EXP(-LN(2)/2)*DH126+(1-EXP(-LN(2)/2))/(LN(2)/2)*DB127*DE127*VLOOKUP('Données projet'!$B$13,Paramètres!$A$1:$I$89,3,0)*0.475*44/12</f>
        <v>1.083527604118064E-5</v>
      </c>
      <c r="DI127" s="22">
        <f t="shared" si="69"/>
        <v>24.575872113146822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10.745999999999999</v>
      </c>
      <c r="N128" s="13">
        <f>IF('Données projet'!$A$36&gt;35,N127+M128-V127,IF(A128&lt;'Données projet'!$A$36,$K$205^A128,IF(A128='Données projet'!$A$36,'Données projet'!$B$36,N127+M128-V127)))</f>
        <v>552.68000000000006</v>
      </c>
      <c r="O128" s="13">
        <f>N128*VLOOKUP('Données projet'!$B$9,Paramètres!$A$1:$I$89,3,0)*VLOOKUP('Données projet'!$B$9,Paramètres!$A$1:$I$89,5,0)</f>
        <v>500.064864</v>
      </c>
      <c r="P128" s="13">
        <f t="shared" si="87"/>
        <v>111.7922609431773</v>
      </c>
      <c r="Q128" s="20">
        <f t="shared" si="107"/>
        <v>1065.6511592760337</v>
      </c>
      <c r="R128" s="59">
        <f t="shared" si="55"/>
        <v>1358.984492609367</v>
      </c>
      <c r="S128" s="59">
        <f ca="1">AVERAGE(OFFSET($R$3,0,0,'Données projet'!$E$9+1,1))-AVERAGE(OFFSET($H$3,0,0,'Données projet'!$E$9+1,1))</f>
        <v>695.0879239758051</v>
      </c>
      <c r="T128" s="59">
        <f t="shared" si="88"/>
        <v>226.22150997227476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56.001017382348714</v>
      </c>
      <c r="AA128" s="21">
        <f>EXP(-LN(2)/25)*AA127+(1-EXP(-LN(2)/25))/(LN(2)/25)*Calculateur!V128*Calculateur!X128*VLOOKUP('Données projet'!$B$9,Paramètres!$A$1:$I$89,3,0)*0.475*44/12</f>
        <v>26.550940263510604</v>
      </c>
      <c r="AB128" s="21">
        <f>EXP(-LN(2)/2)*AB127+(1-EXP(-LN(2)/2))/(LN(2)/2)*V128*Y128*VLOOKUP('Données projet'!$B$9,Paramètres!$A$1:$I$89,3,0)*0.475*44/12</f>
        <v>3.3384594113679698E-5</v>
      </c>
      <c r="AC128" s="22">
        <f t="shared" si="57"/>
        <v>82.551991030453436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4.7884896048344674E-14</v>
      </c>
      <c r="AK128" s="13">
        <f t="shared" si="89"/>
        <v>7.8374629847779921E-13</v>
      </c>
      <c r="AL128" s="20">
        <f t="shared" si="58"/>
        <v>1.4484243304663672E-12</v>
      </c>
      <c r="AM128" s="59">
        <f t="shared" si="59"/>
        <v>293.33333333333474</v>
      </c>
      <c r="AN128" s="59">
        <f ca="1">AVERAGE(OFFSET($AM$3,0,0,'Données projet'!$E$10+1,1))-AVERAGE(OFFSET($H$3,0,0,'Données projet'!$E$10+1,1))</f>
        <v>424.81155998881928</v>
      </c>
      <c r="AO128" s="59">
        <f t="shared" si="90"/>
        <v>277.34430416544575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83.976491757839071</v>
      </c>
      <c r="AV128" s="21">
        <f>EXP(-LN(2)/25)*AV127+(1-EXP(-LN(2)/25))/(LN(2)/25)*Calculateur!AQ128*Calculateur!AS128*VLOOKUP('Données projet'!$B$10,Paramètres!$A$1:$I$89,3,0)*0.475*44/12</f>
        <v>16.521980610829296</v>
      </c>
      <c r="AW128" s="21">
        <f>EXP(-LN(2)/2)*AW127+(1-EXP(-LN(2)/2))/(LN(2)/2)*AQ128*AT128*VLOOKUP('Données projet'!$B$10,Paramètres!$A$1:$I$89,3,0)*0.475*44/12</f>
        <v>1.0251699748842567E-2</v>
      </c>
      <c r="AX128" s="21">
        <f t="shared" si="60"/>
        <v>100.50872406841721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408.71602200000075</v>
      </c>
      <c r="BF128" s="13">
        <f t="shared" si="91"/>
        <v>93.541481959099485</v>
      </c>
      <c r="BG128" s="20">
        <f t="shared" si="61"/>
        <v>874.76515272876622</v>
      </c>
      <c r="BH128" s="59">
        <f t="shared" si="62"/>
        <v>1168.0984860620995</v>
      </c>
      <c r="BI128" s="59">
        <f ca="1">AVERAGE(OFFSET($BH$3,0,0,'Données projet'!$E$11+1,1))-AVERAGE(OFFSET($H$3,0,0,'Données projet'!$E$11+1,1))</f>
        <v>706.69239849991595</v>
      </c>
      <c r="BJ128" s="59">
        <f t="shared" si="92"/>
        <v>310.59887275116529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42.424589161312653</v>
      </c>
      <c r="BQ128" s="21">
        <f>EXP(-LN(2)/25)*BQ127+(1-EXP(-LN(2)/25))/(LN(2)/25)*Calculateur!BL128*Calculateur!BN128*VLOOKUP('Données projet'!$B$11,Paramètres!$A$1:$I$89,3,0)*0.475*44/12</f>
        <v>26.696790789018323</v>
      </c>
      <c r="BR128" s="21">
        <f>EXP(-LN(2)/2)*BR127+(1-EXP(-LN(2)/2))/(LN(2)/2)*BL128*BO128*VLOOKUP('Données projet'!$B$11,Paramètres!$A$1:$I$89,3,0)*0.475*44/12</f>
        <v>4.0462201014219783</v>
      </c>
      <c r="BS128" s="22">
        <f t="shared" si="63"/>
        <v>73.167600051752956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215.44</v>
      </c>
      <c r="BW128" s="12">
        <f>VLOOKUP(A128,'Données projet'!$A$113:$I$133,9,0)</f>
        <v>4.8499999999999943</v>
      </c>
      <c r="BX128" s="12">
        <f t="array" ref="BX128">INDEX(BW:BW,MIN(IF(ISNUMBER(BW128:BW324),ROW(BW128:BW324),"")))</f>
        <v>4.8499999999999943</v>
      </c>
      <c r="BY128" s="12">
        <f>IF('Données projet'!$A$114&gt;35,BY127+BX128-CG127,IF(A128&lt;'Données projet'!$A$114,$BV$205^A128,IF(A128='Données projet'!$A$114,'Données projet'!$B$114,BY127+BX128-CG127)))</f>
        <v>215.44000000000025</v>
      </c>
      <c r="BZ128" s="13">
        <f>BY128*VLOOKUP('Données projet'!$B$12,Paramètres!$A$1:$I$89,3,0)*VLOOKUP('Données projet'!$B$12,Paramètres!$A$1:$I$89,5,0)</f>
        <v>205.01270400000027</v>
      </c>
      <c r="CA128" s="13">
        <f t="shared" si="93"/>
        <v>50.844216177769056</v>
      </c>
      <c r="CB128" s="20">
        <f t="shared" si="64"/>
        <v>445.61746930961482</v>
      </c>
      <c r="CC128" s="59">
        <f t="shared" si="65"/>
        <v>738.95080264294813</v>
      </c>
      <c r="CD128" s="59">
        <f ca="1">AVERAGE(OFFSET($CC$3,0,0,'Données projet'!$E$12+1,1))-AVERAGE(OFFSET($H$3,0,0,'Données projet'!$E$12+1,1))</f>
        <v>449.28947235329758</v>
      </c>
      <c r="CE128" s="59">
        <f t="shared" si="94"/>
        <v>289.36994109443964</v>
      </c>
      <c r="CF128" s="15">
        <f>IF(ISNA(VLOOKUP(A128,'Données projet'!$A$113:$I$133,3,0)),0,VLOOKUP(A128,'Données projet'!$A$113:$I$133,3,0))</f>
        <v>12</v>
      </c>
      <c r="CG128" s="15">
        <f>IF(ISNA(VLOOKUP(A128,'Données projet'!$A$113:$I$133,4,0)),0,VLOOKUP(A128,'Données projet'!$A$113:$I$133,4,0))</f>
        <v>70.609999999999985</v>
      </c>
      <c r="CH128" s="16">
        <f>IF(ISNA(VLOOKUP(A128,'Données projet'!$A$113:$I$133,5,0)),0%,VLOOKUP(A128,'Données projet'!$A$113:$I$133,5,0)*VLOOKUP('Données projet'!$B$12,Paramètres!$A$1:$I$89,7,0))</f>
        <v>0.19350000000000001</v>
      </c>
      <c r="CI128" s="16">
        <f>IF(ISNA(VLOOKUP(A128,'Données projet'!$A$113:$I$133,6,0)),0%,VLOOKUP(A128,'Données projet'!$A$113:$I$133,6,0)*VLOOKUP('Données projet'!$B$12,Paramètres!$A$1:$I$89,7,0))</f>
        <v>2.1500000000000002E-2</v>
      </c>
      <c r="CJ128" s="16">
        <f>IF(ISNA(VLOOKUP(A128,'Données projet'!$A$113:$I$133,7,0)),0%,VLOOKUP(A128,'Données projet'!$A$113:$I$133,7,0))</f>
        <v>0.05</v>
      </c>
      <c r="CK128" s="21">
        <f>EXP(-LN(2)/35)*CK127+(1-EXP(-LN(2)/35))/(LN(2)/35)*CG128*CH128*VLOOKUP('Données projet'!$B$12,Paramètres!$A$1:$I$89,3,0)*0.475*44/12</f>
        <v>96.08640633302457</v>
      </c>
      <c r="CL128" s="21">
        <f>EXP(-LN(2)/25)*CL127+(1-EXP(-LN(2)/25))/(LN(2)/25)*Calculateur!CG128*Calculateur!CI128*VLOOKUP('Données projet'!$B$12,Paramètres!$A$1:$I$89,3,0)*0.475*44/12</f>
        <v>24.426148516534532</v>
      </c>
      <c r="CM128" s="21">
        <f>EXP(-LN(2)/2)*CM127+(1-EXP(-LN(2)/2))/(LN(2)/2)*CG128*CJ128*VLOOKUP('Données projet'!$B$12,Paramètres!$A$1:$I$89,3,0)*0.475*44/12</f>
        <v>7.7442710568858573</v>
      </c>
      <c r="CN128" s="22">
        <f t="shared" si="66"/>
        <v>128.25682590644496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2.4829205358400945E-14</v>
      </c>
      <c r="CV128" s="13">
        <f t="shared" si="95"/>
        <v>4.3867331143352915E-13</v>
      </c>
      <c r="CW128" s="20">
        <f t="shared" si="67"/>
        <v>8.0726688341261168E-13</v>
      </c>
      <c r="CX128" s="59">
        <f t="shared" si="68"/>
        <v>293.33333333333411</v>
      </c>
      <c r="CY128" s="59">
        <f ca="1">AVERAGE(OFFSET($CX$3,0,0,'Données projet'!$E$13+1,1))-AVERAGE(OFFSET($H$3,0,0,'Données projet'!$E$13+1,1))</f>
        <v>261.93797831021766</v>
      </c>
      <c r="CZ128" s="59">
        <f t="shared" si="96"/>
        <v>256.90876395053073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13.529873519314226</v>
      </c>
      <c r="DG128" s="21">
        <f>EXP(-LN(2)/25)*DG127+(1-EXP(-LN(2)/25))/(LN(2)/25)*Calculateur!DB128*Calculateur!DD128*VLOOKUP('Données projet'!$B$13,Paramètres!$A$1:$I$89,3,0)*0.475*44/12</f>
        <v>10.480715494267617</v>
      </c>
      <c r="DH128" s="21">
        <f>EXP(-LN(2)/2)*DH127+(1-EXP(-LN(2)/2))/(LN(2)/2)*DB128*DE128*VLOOKUP('Données projet'!$B$13,Paramètres!$A$1:$I$89,3,0)*0.475*44/12</f>
        <v>7.6616971647469595E-6</v>
      </c>
      <c r="DI128" s="22">
        <f t="shared" si="69"/>
        <v>24.010596675279007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10.745999999999999</v>
      </c>
      <c r="N129" s="13">
        <f>IF('Données projet'!$A$36&gt;35,N128+M129-V128,IF(A129&lt;'Données projet'!$A$36,$K$205^A129,IF(A129='Données projet'!$A$36,'Données projet'!$B$36,N128+M129-V128)))</f>
        <v>563.42600000000004</v>
      </c>
      <c r="O129" s="13">
        <f>N129*VLOOKUP('Données projet'!$B$9,Paramètres!$A$1:$I$89,3,0)*VLOOKUP('Données projet'!$B$9,Paramètres!$A$1:$I$89,5,0)</f>
        <v>509.78784480000002</v>
      </c>
      <c r="P129" s="13">
        <f t="shared" si="87"/>
        <v>113.71071908731024</v>
      </c>
      <c r="Q129" s="20">
        <f t="shared" si="107"/>
        <v>1085.9266654370654</v>
      </c>
      <c r="R129" s="59">
        <f t="shared" si="55"/>
        <v>1379.2599987703986</v>
      </c>
      <c r="S129" s="59">
        <f ca="1">AVERAGE(OFFSET($R$3,0,0,'Données projet'!$E$9+1,1))-AVERAGE(OFFSET($H$3,0,0,'Données projet'!$E$9+1,1))</f>
        <v>695.0879239758051</v>
      </c>
      <c r="T129" s="59">
        <f t="shared" si="88"/>
        <v>226.22150997227476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54.902871588728708</v>
      </c>
      <c r="AA129" s="21">
        <f>EXP(-LN(2)/25)*AA128+(1-EXP(-LN(2)/25))/(LN(2)/25)*Calculateur!V129*Calculateur!X129*VLOOKUP('Données projet'!$B$9,Paramètres!$A$1:$I$89,3,0)*0.475*44/12</f>
        <v>25.824903405751641</v>
      </c>
      <c r="AB129" s="21">
        <f>EXP(-LN(2)/2)*AB128+(1-EXP(-LN(2)/2))/(LN(2)/2)*V129*Y129*VLOOKUP('Données projet'!$B$9,Paramètres!$A$1:$I$89,3,0)*0.475*44/12</f>
        <v>2.3606472884943413E-5</v>
      </c>
      <c r="AC129" s="22">
        <f t="shared" si="57"/>
        <v>80.727798600953221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4.7884896048344674E-14</v>
      </c>
      <c r="AK129" s="13">
        <f t="shared" si="89"/>
        <v>7.8374629847779921E-13</v>
      </c>
      <c r="AL129" s="20">
        <f t="shared" si="58"/>
        <v>1.4484243304663672E-12</v>
      </c>
      <c r="AM129" s="59">
        <f t="shared" si="59"/>
        <v>293.33333333333474</v>
      </c>
      <c r="AN129" s="59">
        <f ca="1">AVERAGE(OFFSET($AM$3,0,0,'Données projet'!$E$10+1,1))-AVERAGE(OFFSET($H$3,0,0,'Données projet'!$E$10+1,1))</f>
        <v>424.81155998881928</v>
      </c>
      <c r="AO129" s="59">
        <f t="shared" si="90"/>
        <v>277.34430416544575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82.329763975070207</v>
      </c>
      <c r="AV129" s="21">
        <f>EXP(-LN(2)/25)*AV128+(1-EXP(-LN(2)/25))/(LN(2)/25)*Calculateur!AQ129*Calculateur!AS129*VLOOKUP('Données projet'!$B$10,Paramètres!$A$1:$I$89,3,0)*0.475*44/12</f>
        <v>16.070186182172971</v>
      </c>
      <c r="AW129" s="21">
        <f>EXP(-LN(2)/2)*AW128+(1-EXP(-LN(2)/2))/(LN(2)/2)*AQ129*AT129*VLOOKUP('Données projet'!$B$10,Paramètres!$A$1:$I$89,3,0)*0.475*44/12</f>
        <v>7.2490464110950056E-3</v>
      </c>
      <c r="AX129" s="21">
        <f t="shared" si="60"/>
        <v>98.407199203654272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417.86534400000068</v>
      </c>
      <c r="BF129" s="13">
        <f t="shared" si="91"/>
        <v>95.389327572593899</v>
      </c>
      <c r="BG129" s="20">
        <f t="shared" si="61"/>
        <v>893.91855298893552</v>
      </c>
      <c r="BH129" s="59">
        <f t="shared" si="62"/>
        <v>1187.2518863222688</v>
      </c>
      <c r="BI129" s="59">
        <f ca="1">AVERAGE(OFFSET($BH$3,0,0,'Données projet'!$E$11+1,1))-AVERAGE(OFFSET($H$3,0,0,'Données projet'!$E$11+1,1))</f>
        <v>706.69239849991595</v>
      </c>
      <c r="BJ129" s="59">
        <f t="shared" si="92"/>
        <v>310.59887275116529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41.592668844303617</v>
      </c>
      <c r="BQ129" s="21">
        <f>EXP(-LN(2)/25)*BQ128+(1-EXP(-LN(2)/25))/(LN(2)/25)*Calculateur!BL129*Calculateur!BN129*VLOOKUP('Données projet'!$B$11,Paramètres!$A$1:$I$89,3,0)*0.475*44/12</f>
        <v>25.966765640969406</v>
      </c>
      <c r="BR129" s="21">
        <f>EXP(-LN(2)/2)*BR128+(1-EXP(-LN(2)/2))/(LN(2)/2)*BL129*BO129*VLOOKUP('Données projet'!$B$11,Paramètres!$A$1:$I$89,3,0)*0.475*44/12</f>
        <v>2.8611096718888009</v>
      </c>
      <c r="BS129" s="22">
        <f t="shared" si="63"/>
        <v>70.420544157161814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3.3249999999999886</v>
      </c>
      <c r="BY129" s="12">
        <f>IF('Données projet'!$A$114&gt;35,BY128+BX129-CG128,IF(A129&lt;'Données projet'!$A$114,$BV$205^A129,IF(A129='Données projet'!$A$114,'Données projet'!$B$114,BY128+BX129-CG128)))</f>
        <v>148.15500000000026</v>
      </c>
      <c r="BZ129" s="13">
        <f>BY129*VLOOKUP('Données projet'!$B$12,Paramètres!$A$1:$I$89,3,0)*VLOOKUP('Données projet'!$B$12,Paramètres!$A$1:$I$89,5,0)</f>
        <v>140.98429800000025</v>
      </c>
      <c r="CA129" s="13">
        <f t="shared" si="93"/>
        <v>36.522402318303413</v>
      </c>
      <c r="CB129" s="20">
        <f t="shared" si="64"/>
        <v>309.15750305437888</v>
      </c>
      <c r="CC129" s="59">
        <f t="shared" si="65"/>
        <v>602.49083638771219</v>
      </c>
      <c r="CD129" s="59">
        <f ca="1">AVERAGE(OFFSET($CC$3,0,0,'Données projet'!$E$12+1,1))-AVERAGE(OFFSET($H$3,0,0,'Données projet'!$E$12+1,1))</f>
        <v>449.28947235329758</v>
      </c>
      <c r="CE129" s="59">
        <f t="shared" si="94"/>
        <v>289.36994109443964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94.20221051175487</v>
      </c>
      <c r="CL129" s="21">
        <f>EXP(-LN(2)/25)*CL128+(1-EXP(-LN(2)/25))/(LN(2)/25)*Calculateur!CG129*Calculateur!CI129*VLOOKUP('Données projet'!$B$12,Paramètres!$A$1:$I$89,3,0)*0.475*44/12</f>
        <v>23.758214200834573</v>
      </c>
      <c r="CM129" s="21">
        <f>EXP(-LN(2)/2)*CM128+(1-EXP(-LN(2)/2))/(LN(2)/2)*CG129*CJ129*VLOOKUP('Données projet'!$B$12,Paramètres!$A$1:$I$89,3,0)*0.475*44/12</f>
        <v>5.4760265796707017</v>
      </c>
      <c r="CN129" s="22">
        <f t="shared" si="66"/>
        <v>123.43645129226014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2.4829205358400945E-14</v>
      </c>
      <c r="CV129" s="13">
        <f t="shared" si="95"/>
        <v>4.3867331143352915E-13</v>
      </c>
      <c r="CW129" s="20">
        <f t="shared" si="67"/>
        <v>8.0726688341261168E-13</v>
      </c>
      <c r="CX129" s="59">
        <f t="shared" si="68"/>
        <v>293.33333333333411</v>
      </c>
      <c r="CY129" s="59">
        <f ca="1">AVERAGE(OFFSET($CX$3,0,0,'Données projet'!$E$13+1,1))-AVERAGE(OFFSET($H$3,0,0,'Données projet'!$E$13+1,1))</f>
        <v>261.93797831021766</v>
      </c>
      <c r="CZ129" s="59">
        <f t="shared" si="96"/>
        <v>256.90876395053073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13.264560952008463</v>
      </c>
      <c r="DG129" s="21">
        <f>EXP(-LN(2)/25)*DG128+(1-EXP(-LN(2)/25))/(LN(2)/25)*Calculateur!DB129*Calculateur!DD129*VLOOKUP('Données projet'!$B$13,Paramètres!$A$1:$I$89,3,0)*0.475*44/12</f>
        <v>10.194119777919996</v>
      </c>
      <c r="DH129" s="21">
        <f>EXP(-LN(2)/2)*DH128+(1-EXP(-LN(2)/2))/(LN(2)/2)*DB129*DE129*VLOOKUP('Données projet'!$B$13,Paramètres!$A$1:$I$89,3,0)*0.475*44/12</f>
        <v>5.41763802059032E-6</v>
      </c>
      <c r="DI129" s="22">
        <f t="shared" si="69"/>
        <v>23.458686147566482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10.745999999999999</v>
      </c>
      <c r="N130" s="13">
        <f>IF('Données projet'!$A$36&gt;35,N129+M130-V129,IF(A130&lt;'Données projet'!$A$36,$K$205^A130,IF(A130='Données projet'!$A$36,'Données projet'!$B$36,N129+M130-V129)))</f>
        <v>574.17200000000003</v>
      </c>
      <c r="O130" s="13">
        <f>N130*VLOOKUP('Données projet'!$B$9,Paramètres!$A$1:$I$89,3,0)*VLOOKUP('Données projet'!$B$9,Paramètres!$A$1:$I$89,5,0)</f>
        <v>519.51082560000009</v>
      </c>
      <c r="P130" s="13">
        <f t="shared" si="87"/>
        <v>115.62492260821269</v>
      </c>
      <c r="Q130" s="20">
        <f t="shared" si="107"/>
        <v>1106.1947614626372</v>
      </c>
      <c r="R130" s="59">
        <f t="shared" si="55"/>
        <v>1399.5280947959704</v>
      </c>
      <c r="S130" s="59">
        <f ca="1">AVERAGE(OFFSET($R$3,0,0,'Données projet'!$E$9+1,1))-AVERAGE(OFFSET($H$3,0,0,'Données projet'!$E$9+1,1))</f>
        <v>695.0879239758051</v>
      </c>
      <c r="T130" s="59">
        <f t="shared" si="88"/>
        <v>226.22150997227476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53.826259764318799</v>
      </c>
      <c r="AA130" s="21">
        <f>EXP(-LN(2)/25)*AA129+(1-EXP(-LN(2)/25))/(LN(2)/25)*Calculateur!V130*Calculateur!X130*VLOOKUP('Données projet'!$B$9,Paramètres!$A$1:$I$89,3,0)*0.475*44/12</f>
        <v>25.118720064048716</v>
      </c>
      <c r="AB130" s="21">
        <f>EXP(-LN(2)/2)*AB129+(1-EXP(-LN(2)/2))/(LN(2)/2)*V130*Y130*VLOOKUP('Données projet'!$B$9,Paramètres!$A$1:$I$89,3,0)*0.475*44/12</f>
        <v>1.6692297056839849E-5</v>
      </c>
      <c r="AC130" s="22">
        <f t="shared" si="57"/>
        <v>78.94499652066456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4.7884896048344674E-14</v>
      </c>
      <c r="AK130" s="13">
        <f t="shared" si="89"/>
        <v>7.8374629847779921E-13</v>
      </c>
      <c r="AL130" s="20">
        <f t="shared" si="58"/>
        <v>1.4484243304663672E-12</v>
      </c>
      <c r="AM130" s="59">
        <f t="shared" si="59"/>
        <v>293.33333333333474</v>
      </c>
      <c r="AN130" s="59">
        <f ca="1">AVERAGE(OFFSET($AM$3,0,0,'Données projet'!$E$10+1,1))-AVERAGE(OFFSET($H$3,0,0,'Données projet'!$E$10+1,1))</f>
        <v>424.81155998881928</v>
      </c>
      <c r="AO130" s="59">
        <f t="shared" si="90"/>
        <v>277.34430416544575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80.715327519716666</v>
      </c>
      <c r="AV130" s="21">
        <f>EXP(-LN(2)/25)*AV129+(1-EXP(-LN(2)/25))/(LN(2)/25)*Calculateur!AQ130*Calculateur!AS130*VLOOKUP('Données projet'!$B$10,Paramètres!$A$1:$I$89,3,0)*0.475*44/12</f>
        <v>15.630746095927089</v>
      </c>
      <c r="AW130" s="21">
        <f>EXP(-LN(2)/2)*AW129+(1-EXP(-LN(2)/2))/(LN(2)/2)*AQ130*AT130*VLOOKUP('Données projet'!$B$10,Paramètres!$A$1:$I$89,3,0)*0.475*44/12</f>
        <v>5.1258498744212837E-3</v>
      </c>
      <c r="AX130" s="21">
        <f t="shared" si="60"/>
        <v>96.351199465518178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427.01466600000072</v>
      </c>
      <c r="BF130" s="13">
        <f t="shared" si="91"/>
        <v>97.232469323868258</v>
      </c>
      <c r="BG130" s="20">
        <f t="shared" si="61"/>
        <v>913.06376068907173</v>
      </c>
      <c r="BH130" s="59">
        <f t="shared" si="62"/>
        <v>1206.3970940224051</v>
      </c>
      <c r="BI130" s="59">
        <f ca="1">AVERAGE(OFFSET($BH$3,0,0,'Données projet'!$E$11+1,1))-AVERAGE(OFFSET($H$3,0,0,'Données projet'!$E$11+1,1))</f>
        <v>706.69239849991595</v>
      </c>
      <c r="BJ130" s="59">
        <f t="shared" si="92"/>
        <v>310.59887275116529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40.777061977289833</v>
      </c>
      <c r="BQ130" s="21">
        <f>EXP(-LN(2)/25)*BQ129+(1-EXP(-LN(2)/25))/(LN(2)/25)*Calculateur!BL130*Calculateur!BN130*VLOOKUP('Données projet'!$B$11,Paramètres!$A$1:$I$89,3,0)*0.475*44/12</f>
        <v>25.25670306898424</v>
      </c>
      <c r="BR130" s="21">
        <f>EXP(-LN(2)/2)*BR129+(1-EXP(-LN(2)/2))/(LN(2)/2)*BL130*BO130*VLOOKUP('Données projet'!$B$11,Paramètres!$A$1:$I$89,3,0)*0.475*44/12</f>
        <v>2.0231100507109891</v>
      </c>
      <c r="BS130" s="22">
        <f t="shared" si="63"/>
        <v>68.056875096985053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151.47999999999999</v>
      </c>
      <c r="BW130" s="12">
        <f>VLOOKUP(A130,'Données projet'!$A$113:$I$133,9,0)</f>
        <v>3.3249999999999886</v>
      </c>
      <c r="BX130" s="12">
        <f t="array" ref="BX130">INDEX(BW:BW,MIN(IF(ISNUMBER(BW130:BW326),ROW(BW130:BW326),"")))</f>
        <v>3.3249999999999886</v>
      </c>
      <c r="BY130" s="12">
        <f>IF('Données projet'!$A$114&gt;35,BY129+BX130-CG129,IF(A130&lt;'Données projet'!$A$114,$BV$205^A130,IF(A130='Données projet'!$A$114,'Données projet'!$B$114,BY129+BX130-CG129)))</f>
        <v>151.48000000000025</v>
      </c>
      <c r="BZ130" s="13">
        <f>BY130*VLOOKUP('Données projet'!$B$12,Paramètres!$A$1:$I$89,3,0)*VLOOKUP('Données projet'!$B$12,Paramètres!$A$1:$I$89,5,0)</f>
        <v>144.14836800000023</v>
      </c>
      <c r="CA130" s="13">
        <f t="shared" si="93"/>
        <v>37.245717260811411</v>
      </c>
      <c r="CB130" s="20">
        <f t="shared" si="64"/>
        <v>315.92803182924689</v>
      </c>
      <c r="CC130" s="59">
        <f t="shared" si="65"/>
        <v>609.2613651625802</v>
      </c>
      <c r="CD130" s="59">
        <f ca="1">AVERAGE(OFFSET($CC$3,0,0,'Données projet'!$E$12+1,1))-AVERAGE(OFFSET($H$3,0,0,'Données projet'!$E$12+1,1))</f>
        <v>449.28947235329758</v>
      </c>
      <c r="CE130" s="59">
        <f t="shared" si="94"/>
        <v>289.36994109443964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46.039999999999992</v>
      </c>
      <c r="CH130" s="16">
        <f>IF(ISNA(VLOOKUP(A130,'Données projet'!$A$113:$I$133,5,0)),0%,VLOOKUP(A130,'Données projet'!$A$113:$I$133,5,0)*VLOOKUP('Données projet'!$B$12,Paramètres!$A$1:$I$89,7,0))</f>
        <v>0.19350000000000001</v>
      </c>
      <c r="CI130" s="16">
        <f>IF(ISNA(VLOOKUP(A130,'Données projet'!$A$113:$I$133,6,0)),0%,VLOOKUP(A130,'Données projet'!$A$113:$I$133,6,0)*VLOOKUP('Données projet'!$B$12,Paramètres!$A$1:$I$89,7,0))</f>
        <v>2.1500000000000002E-2</v>
      </c>
      <c r="CJ130" s="16">
        <f>IF(ISNA(VLOOKUP(A130,'Données projet'!$A$113:$I$133,7,0)),0%,VLOOKUP(A130,'Données projet'!$A$113:$I$133,7,0))</f>
        <v>0.05</v>
      </c>
      <c r="CK130" s="21">
        <f>EXP(-LN(2)/35)*CK129+(1-EXP(-LN(2)/35))/(LN(2)/35)*CG130*CH130*VLOOKUP('Données projet'!$B$12,Paramètres!$A$1:$I$89,3,0)*0.475*44/12</f>
        <v>101.72665075790898</v>
      </c>
      <c r="CL130" s="21">
        <f>EXP(-LN(2)/25)*CL129+(1-EXP(-LN(2)/25))/(LN(2)/25)*Calculateur!CG130*Calculateur!CI130*VLOOKUP('Données projet'!$B$12,Paramètres!$A$1:$I$89,3,0)*0.475*44/12</f>
        <v>24.145743276292311</v>
      </c>
      <c r="CM130" s="21">
        <f>EXP(-LN(2)/2)*CM129+(1-EXP(-LN(2)/2))/(LN(2)/2)*CG130*CJ130*VLOOKUP('Données projet'!$B$12,Paramètres!$A$1:$I$89,3,0)*0.475*44/12</f>
        <v>5.9390097363253265</v>
      </c>
      <c r="CN130" s="22">
        <f t="shared" si="66"/>
        <v>131.81140377052662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2.4829205358400945E-14</v>
      </c>
      <c r="CV130" s="13">
        <f t="shared" si="95"/>
        <v>4.3867331143352915E-13</v>
      </c>
      <c r="CW130" s="20">
        <f t="shared" si="67"/>
        <v>8.0726688341261168E-13</v>
      </c>
      <c r="CX130" s="59">
        <f t="shared" si="68"/>
        <v>293.33333333333411</v>
      </c>
      <c r="CY130" s="59">
        <f ca="1">AVERAGE(OFFSET($CX$3,0,0,'Données projet'!$E$13+1,1))-AVERAGE(OFFSET($H$3,0,0,'Données projet'!$E$13+1,1))</f>
        <v>261.93797831021766</v>
      </c>
      <c r="CZ130" s="59">
        <f t="shared" si="96"/>
        <v>256.90876395053073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13.004451002322879</v>
      </c>
      <c r="DG130" s="21">
        <f>EXP(-LN(2)/25)*DG129+(1-EXP(-LN(2)/25))/(LN(2)/25)*Calculateur!DB130*Calculateur!DD130*VLOOKUP('Données projet'!$B$13,Paramètres!$A$1:$I$89,3,0)*0.475*44/12</f>
        <v>9.9153610365073135</v>
      </c>
      <c r="DH130" s="21">
        <f>EXP(-LN(2)/2)*DH129+(1-EXP(-LN(2)/2))/(LN(2)/2)*DB130*DE130*VLOOKUP('Données projet'!$B$13,Paramètres!$A$1:$I$89,3,0)*0.475*44/12</f>
        <v>3.8308485823734798E-6</v>
      </c>
      <c r="DI130" s="22">
        <f t="shared" si="69"/>
        <v>22.919815869678779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10.745999999999999</v>
      </c>
      <c r="N131" s="13">
        <f>IF('Données projet'!$A$36&gt;35,N130+M131-V130,IF(A131&lt;'Données projet'!$A$36,$K$205^A131,IF(A131='Données projet'!$A$36,'Données projet'!$B$36,N130+M131-V130)))</f>
        <v>584.91800000000001</v>
      </c>
      <c r="O131" s="13">
        <f>N131*VLOOKUP('Données projet'!$B$9,Paramètres!$A$1:$I$89,3,0)*VLOOKUP('Données projet'!$B$9,Paramètres!$A$1:$I$89,5,0)</f>
        <v>529.23380639999993</v>
      </c>
      <c r="P131" s="13">
        <f t="shared" si="87"/>
        <v>117.53496031630661</v>
      </c>
      <c r="Q131" s="20">
        <f t="shared" ref="Q131:Q153" si="108">(O131+P131)*0.475*44/12</f>
        <v>1126.4556020309005</v>
      </c>
      <c r="R131" s="59">
        <f t="shared" ref="R131:R194" si="109">Q131+(I131+J131)*44/12</f>
        <v>1419.7889353642338</v>
      </c>
      <c r="S131" s="59">
        <f ca="1">AVERAGE(OFFSET($R$3,0,0,'Données projet'!$E$9+1,1))-AVERAGE(OFFSET($H$3,0,0,'Données projet'!$E$9+1,1))</f>
        <v>695.0879239758051</v>
      </c>
      <c r="T131" s="59">
        <f t="shared" si="88"/>
        <v>226.22150997227476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52.770759641117195</v>
      </c>
      <c r="AA131" s="21">
        <f>EXP(-LN(2)/25)*AA130+(1-EXP(-LN(2)/25))/(LN(2)/25)*Calculateur!V131*Calculateur!X131*VLOOKUP('Données projet'!$B$9,Paramètres!$A$1:$I$89,3,0)*0.475*44/12</f>
        <v>24.431847342961227</v>
      </c>
      <c r="AB131" s="21">
        <f>EXP(-LN(2)/2)*AB130+(1-EXP(-LN(2)/2))/(LN(2)/2)*V131*Y131*VLOOKUP('Données projet'!$B$9,Paramètres!$A$1:$I$89,3,0)*0.475*44/12</f>
        <v>1.1803236442471706E-5</v>
      </c>
      <c r="AC131" s="22">
        <f t="shared" si="57"/>
        <v>77.202618787314861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4.7884896048344674E-14</v>
      </c>
      <c r="AK131" s="13">
        <f t="shared" si="89"/>
        <v>7.8374629847779921E-13</v>
      </c>
      <c r="AL131" s="20">
        <f t="shared" si="58"/>
        <v>1.4484243304663672E-12</v>
      </c>
      <c r="AM131" s="59">
        <f t="shared" si="59"/>
        <v>293.33333333333474</v>
      </c>
      <c r="AN131" s="59">
        <f ca="1">AVERAGE(OFFSET($AM$3,0,0,'Données projet'!$E$10+1,1))-AVERAGE(OFFSET($H$3,0,0,'Données projet'!$E$10+1,1))</f>
        <v>424.81155998881928</v>
      </c>
      <c r="AO131" s="59">
        <f t="shared" si="90"/>
        <v>277.34430416544575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79.132549178543599</v>
      </c>
      <c r="AV131" s="21">
        <f>EXP(-LN(2)/25)*AV130+(1-EXP(-LN(2)/25))/(LN(2)/25)*Calculateur!AQ131*Calculateur!AS131*VLOOKUP('Données projet'!$B$10,Paramètres!$A$1:$I$89,3,0)*0.475*44/12</f>
        <v>15.203322521948749</v>
      </c>
      <c r="AW131" s="21">
        <f>EXP(-LN(2)/2)*AW130+(1-EXP(-LN(2)/2))/(LN(2)/2)*AQ131*AT131*VLOOKUP('Données projet'!$B$10,Paramètres!$A$1:$I$89,3,0)*0.475*44/12</f>
        <v>3.6245232055475028E-3</v>
      </c>
      <c r="AX131" s="21">
        <f t="shared" si="60"/>
        <v>94.339496223697893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436.16398800000076</v>
      </c>
      <c r="BF131" s="13">
        <f t="shared" si="91"/>
        <v>99.071019607718114</v>
      </c>
      <c r="BG131" s="20">
        <f t="shared" si="61"/>
        <v>932.20097158344367</v>
      </c>
      <c r="BH131" s="59">
        <f t="shared" si="62"/>
        <v>1225.534304916777</v>
      </c>
      <c r="BI131" s="59">
        <f ca="1">AVERAGE(OFFSET($BH$3,0,0,'Données projet'!$E$11+1,1))-AVERAGE(OFFSET($H$3,0,0,'Données projet'!$E$11+1,1))</f>
        <v>706.69239849991595</v>
      </c>
      <c r="BJ131" s="59">
        <f t="shared" si="92"/>
        <v>310.59887275116529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39.977448663467122</v>
      </c>
      <c r="BQ131" s="21">
        <f>EXP(-LN(2)/25)*BQ130+(1-EXP(-LN(2)/25))/(LN(2)/25)*Calculateur!BL131*Calculateur!BN131*VLOOKUP('Données projet'!$B$11,Paramètres!$A$1:$I$89,3,0)*0.475*44/12</f>
        <v>24.566057195370576</v>
      </c>
      <c r="BR131" s="21">
        <f>EXP(-LN(2)/2)*BR130+(1-EXP(-LN(2)/2))/(LN(2)/2)*BL131*BO131*VLOOKUP('Données projet'!$B$11,Paramètres!$A$1:$I$89,3,0)*0.475*44/12</f>
        <v>1.4305548359444005</v>
      </c>
      <c r="BS131" s="22">
        <f t="shared" si="63"/>
        <v>65.974060694782111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2.4366666666666674</v>
      </c>
      <c r="BY131" s="12">
        <f>IF('Données projet'!$A$114&gt;35,BY130+BX131-CG130,IF(A131&lt;'Données projet'!$A$114,$BV$205^A131,IF(A131='Données projet'!$A$114,'Données projet'!$B$114,BY130+BX131-CG130)))</f>
        <v>107.87666666666692</v>
      </c>
      <c r="BZ131" s="13">
        <f>BY131*VLOOKUP('Données projet'!$B$12,Paramètres!$A$1:$I$89,3,0)*VLOOKUP('Données projet'!$B$12,Paramètres!$A$1:$I$89,5,0)</f>
        <v>102.65543600000025</v>
      </c>
      <c r="CA131" s="13">
        <f t="shared" si="93"/>
        <v>27.593650392739352</v>
      </c>
      <c r="CB131" s="20">
        <f t="shared" si="64"/>
        <v>226.85049213402147</v>
      </c>
      <c r="CC131" s="59">
        <f t="shared" si="65"/>
        <v>520.18382546735484</v>
      </c>
      <c r="CD131" s="59">
        <f ca="1">AVERAGE(OFFSET($CC$3,0,0,'Données projet'!$E$12+1,1))-AVERAGE(OFFSET($H$3,0,0,'Données projet'!$E$12+1,1))</f>
        <v>449.28947235329758</v>
      </c>
      <c r="CE131" s="59">
        <f t="shared" si="94"/>
        <v>289.36994109443964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99.731853183676705</v>
      </c>
      <c r="CL131" s="21">
        <f>EXP(-LN(2)/25)*CL130+(1-EXP(-LN(2)/25))/(LN(2)/25)*Calculateur!CG131*Calculateur!CI131*VLOOKUP('Données projet'!$B$12,Paramètres!$A$1:$I$89,3,0)*0.475*44/12</f>
        <v>23.485476656632645</v>
      </c>
      <c r="CM131" s="21">
        <f>EXP(-LN(2)/2)*CM130+(1-EXP(-LN(2)/2))/(LN(2)/2)*CG131*CJ131*VLOOKUP('Données projet'!$B$12,Paramètres!$A$1:$I$89,3,0)*0.475*44/12</f>
        <v>4.1995140580885684</v>
      </c>
      <c r="CN131" s="22">
        <f t="shared" si="66"/>
        <v>127.41684389839791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2.4829205358400945E-14</v>
      </c>
      <c r="CV131" s="13">
        <f t="shared" si="95"/>
        <v>4.3867331143352915E-13</v>
      </c>
      <c r="CW131" s="20">
        <f t="shared" si="67"/>
        <v>8.0726688341261168E-13</v>
      </c>
      <c r="CX131" s="59">
        <f t="shared" si="68"/>
        <v>293.33333333333411</v>
      </c>
      <c r="CY131" s="59">
        <f ca="1">AVERAGE(OFFSET($CX$3,0,0,'Données projet'!$E$13+1,1))-AVERAGE(OFFSET($H$3,0,0,'Données projet'!$E$13+1,1))</f>
        <v>261.93797831021766</v>
      </c>
      <c r="CZ131" s="59">
        <f t="shared" si="96"/>
        <v>256.90876395053073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12.749441650099225</v>
      </c>
      <c r="DG131" s="21">
        <f>EXP(-LN(2)/25)*DG130+(1-EXP(-LN(2)/25))/(LN(2)/25)*Calculateur!DB131*Calculateur!DD131*VLOOKUP('Données projet'!$B$13,Paramètres!$A$1:$I$89,3,0)*0.475*44/12</f>
        <v>9.6442249675378466</v>
      </c>
      <c r="DH131" s="21">
        <f>EXP(-LN(2)/2)*DH130+(1-EXP(-LN(2)/2))/(LN(2)/2)*DB131*DE131*VLOOKUP('Données projet'!$B$13,Paramètres!$A$1:$I$89,3,0)*0.475*44/12</f>
        <v>2.70881901029516E-6</v>
      </c>
      <c r="DI131" s="22">
        <f t="shared" si="69"/>
        <v>22.393669326456084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10.745999999999999</v>
      </c>
      <c r="N132" s="13">
        <f>IF('Données projet'!$A$36&gt;35,N131+M132-V131,IF(A132&lt;'Données projet'!$A$36,$K$205^A132,IF(A132='Données projet'!$A$36,'Données projet'!$B$36,N131+M132-V131)))</f>
        <v>595.66399999999999</v>
      </c>
      <c r="O132" s="13">
        <f>N132*VLOOKUP('Données projet'!$B$9,Paramètres!$A$1:$I$89,3,0)*VLOOKUP('Données projet'!$B$9,Paramètres!$A$1:$I$89,5,0)</f>
        <v>538.95678720000001</v>
      </c>
      <c r="P132" s="13">
        <f t="shared" si="87"/>
        <v>119.44091757198787</v>
      </c>
      <c r="Q132" s="20">
        <f t="shared" si="108"/>
        <v>1146.709335811212</v>
      </c>
      <c r="R132" s="59">
        <f t="shared" si="109"/>
        <v>1440.0426691445452</v>
      </c>
      <c r="S132" s="59">
        <f ca="1">AVERAGE(OFFSET($R$3,0,0,'Données projet'!$E$9+1,1))-AVERAGE(OFFSET($H$3,0,0,'Données projet'!$E$9+1,1))</f>
        <v>695.0879239758051</v>
      </c>
      <c r="T132" s="59">
        <f t="shared" si="88"/>
        <v>226.22150997227476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51.73595723154007</v>
      </c>
      <c r="AA132" s="21">
        <f>EXP(-LN(2)/25)*AA131+(1-EXP(-LN(2)/25))/(LN(2)/25)*Calculateur!V132*Calculateur!X132*VLOOKUP('Données projet'!$B$9,Paramètres!$A$1:$I$89,3,0)*0.475*44/12</f>
        <v>23.763757192552941</v>
      </c>
      <c r="AB132" s="21">
        <f>EXP(-LN(2)/2)*AB131+(1-EXP(-LN(2)/2))/(LN(2)/2)*V132*Y132*VLOOKUP('Données projet'!$B$9,Paramètres!$A$1:$I$89,3,0)*0.475*44/12</f>
        <v>8.3461485284199245E-6</v>
      </c>
      <c r="AC132" s="22">
        <f t="shared" ref="AC132:AC153" si="111">SUM(Z132:AB132)</f>
        <v>75.499722770241547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4.7884896048344674E-14</v>
      </c>
      <c r="AK132" s="13">
        <f t="shared" si="89"/>
        <v>7.8374629847779921E-13</v>
      </c>
      <c r="AL132" s="20">
        <f t="shared" ref="AL132:AL153" si="112">(AJ132+AK132)*0.475*44/12</f>
        <v>1.4484243304663672E-12</v>
      </c>
      <c r="AM132" s="59">
        <f t="shared" ref="AM132:AM195" si="113">AL132+(AD132+AE132)*44/12</f>
        <v>293.33333333333474</v>
      </c>
      <c r="AN132" s="59">
        <f ca="1">AVERAGE(OFFSET($AM$3,0,0,'Données projet'!$E$10+1,1))-AVERAGE(OFFSET($H$3,0,0,'Données projet'!$E$10+1,1))</f>
        <v>424.81155998881928</v>
      </c>
      <c r="AO132" s="59">
        <f t="shared" si="90"/>
        <v>277.34430416544575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77.580808155241471</v>
      </c>
      <c r="AV132" s="21">
        <f>EXP(-LN(2)/25)*AV131+(1-EXP(-LN(2)/25))/(LN(2)/25)*Calculateur!AQ132*Calculateur!AS132*VLOOKUP('Données projet'!$B$10,Paramètres!$A$1:$I$89,3,0)*0.475*44/12</f>
        <v>14.787586868078076</v>
      </c>
      <c r="AW132" s="21">
        <f>EXP(-LN(2)/2)*AW131+(1-EXP(-LN(2)/2))/(LN(2)/2)*AQ132*AT132*VLOOKUP('Données projet'!$B$10,Paramètres!$A$1:$I$89,3,0)*0.475*44/12</f>
        <v>2.5629249372106418E-3</v>
      </c>
      <c r="AX132" s="21">
        <f t="shared" ref="AX132:AX153" si="114">SUM(AU132:AW132)</f>
        <v>92.370957948256759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445.3133100000008</v>
      </c>
      <c r="BF132" s="13">
        <f t="shared" si="91"/>
        <v>100.90508583412877</v>
      </c>
      <c r="BG132" s="20">
        <f t="shared" ref="BG132:BG153" si="115">(BE132+BF132)*0.475*44/12</f>
        <v>951.33037274444223</v>
      </c>
      <c r="BH132" s="59">
        <f t="shared" ref="BH132:BH195" si="116">BG132+(AY132+AZ132)*44/12</f>
        <v>1244.6637060777755</v>
      </c>
      <c r="BI132" s="59">
        <f ca="1">AVERAGE(OFFSET($BH$3,0,0,'Données projet'!$E$11+1,1))-AVERAGE(OFFSET($H$3,0,0,'Données projet'!$E$11+1,1))</f>
        <v>706.69239849991595</v>
      </c>
      <c r="BJ132" s="59">
        <f t="shared" si="92"/>
        <v>310.59887275116529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39.193515279012516</v>
      </c>
      <c r="BQ132" s="21">
        <f>EXP(-LN(2)/25)*BQ131+(1-EXP(-LN(2)/25))/(LN(2)/25)*Calculateur!BL132*Calculateur!BN132*VLOOKUP('Données projet'!$B$11,Paramètres!$A$1:$I$89,3,0)*0.475*44/12</f>
        <v>23.894297069490367</v>
      </c>
      <c r="BR132" s="21">
        <f>EXP(-LN(2)/2)*BR131+(1-EXP(-LN(2)/2))/(LN(2)/2)*BL132*BO132*VLOOKUP('Données projet'!$B$11,Paramètres!$A$1:$I$89,3,0)*0.475*44/12</f>
        <v>1.0115550253554946</v>
      </c>
      <c r="BS132" s="22">
        <f t="shared" ref="BS132:BS153" si="117">SUM(BP132:BR132)</f>
        <v>64.099367373858371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2.4366666666666674</v>
      </c>
      <c r="BY132" s="12">
        <f>IF('Données projet'!$A$114&gt;35,BY131+BX132-CG131,IF(A132&lt;'Données projet'!$A$114,$BV$205^A132,IF(A132='Données projet'!$A$114,'Données projet'!$B$114,BY131+BX132-CG131)))</f>
        <v>110.31333333333359</v>
      </c>
      <c r="BZ132" s="13">
        <f>BY132*VLOOKUP('Données projet'!$B$12,Paramètres!$A$1:$I$89,3,0)*VLOOKUP('Données projet'!$B$12,Paramètres!$A$1:$I$89,5,0)</f>
        <v>104.97416800000025</v>
      </c>
      <c r="CA132" s="13">
        <f t="shared" si="93"/>
        <v>28.143655751142813</v>
      </c>
      <c r="CB132" s="20">
        <f t="shared" ref="CB132:CB153" si="118">(BZ132+CA132)*0.475*44/12</f>
        <v>231.84687636657415</v>
      </c>
      <c r="CC132" s="59">
        <f t="shared" ref="CC132:CC195" si="119">CB132+(BT132+BU132)*44/12</f>
        <v>525.18020969990744</v>
      </c>
      <c r="CD132" s="59">
        <f ca="1">AVERAGE(OFFSET($CC$3,0,0,'Données projet'!$E$12+1,1))-AVERAGE(OFFSET($H$3,0,0,'Données projet'!$E$12+1,1))</f>
        <v>449.28947235329758</v>
      </c>
      <c r="CE132" s="59">
        <f t="shared" si="94"/>
        <v>289.36994109443964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97.776172373168748</v>
      </c>
      <c r="CL132" s="21">
        <f>EXP(-LN(2)/25)*CL131+(1-EXP(-LN(2)/25))/(LN(2)/25)*Calculateur!CG132*Calculateur!CI132*VLOOKUP('Données projet'!$B$12,Paramètres!$A$1:$I$89,3,0)*0.475*44/12</f>
        <v>22.843265062409486</v>
      </c>
      <c r="CM132" s="21">
        <f>EXP(-LN(2)/2)*CM131+(1-EXP(-LN(2)/2))/(LN(2)/2)*CG132*CJ132*VLOOKUP('Données projet'!$B$12,Paramètres!$A$1:$I$89,3,0)*0.475*44/12</f>
        <v>2.9695048681626637</v>
      </c>
      <c r="CN132" s="22">
        <f t="shared" ref="CN132:CN153" si="120">SUM(CK132:CM132)</f>
        <v>123.58894230374089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2.4829205358400945E-14</v>
      </c>
      <c r="CV132" s="13">
        <f t="shared" si="95"/>
        <v>4.3867331143352915E-13</v>
      </c>
      <c r="CW132" s="20">
        <f t="shared" ref="CW132:CW153" si="121">(CU132+CV132)*0.475*44/12</f>
        <v>8.0726688341261168E-13</v>
      </c>
      <c r="CX132" s="59">
        <f t="shared" ref="CX132:CX195" si="122">CW132+(CO132+CP132)*44/12</f>
        <v>293.33333333333411</v>
      </c>
      <c r="CY132" s="59">
        <f ca="1">AVERAGE(OFFSET($CX$3,0,0,'Données projet'!$E$13+1,1))-AVERAGE(OFFSET($H$3,0,0,'Données projet'!$E$13+1,1))</f>
        <v>261.93797831021766</v>
      </c>
      <c r="CZ132" s="59">
        <f t="shared" si="96"/>
        <v>256.90876395053073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12.499432875732332</v>
      </c>
      <c r="DG132" s="21">
        <f>EXP(-LN(2)/25)*DG131+(1-EXP(-LN(2)/25))/(LN(2)/25)*Calculateur!DB132*Calculateur!DD132*VLOOKUP('Données projet'!$B$13,Paramètres!$A$1:$I$89,3,0)*0.475*44/12</f>
        <v>9.3805031286327747</v>
      </c>
      <c r="DH132" s="21">
        <f>EXP(-LN(2)/2)*DH131+(1-EXP(-LN(2)/2))/(LN(2)/2)*DB132*DE132*VLOOKUP('Données projet'!$B$13,Paramètres!$A$1:$I$89,3,0)*0.475*44/12</f>
        <v>1.9154242911867399E-6</v>
      </c>
      <c r="DI132" s="22">
        <f t="shared" ref="DI132:DI153" si="123">SUM(DF132:DH132)</f>
        <v>21.879937919789398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10.745999999999999</v>
      </c>
      <c r="M133" s="12">
        <f t="array" ref="M133">INDEX(L:L,MIN(IF(ISNUMBER(L133:L329),ROW(L133:L329),"")))</f>
        <v>10.745999999999999</v>
      </c>
      <c r="N133" s="13">
        <f>IF('Données projet'!$A$36&gt;35,N132+M133-V132,IF(A133&lt;'Données projet'!$A$36,$K$205^A133,IF(A133='Données projet'!$A$36,'Données projet'!$B$36,N132+M133-V132)))</f>
        <v>606.41</v>
      </c>
      <c r="O133" s="13">
        <f>N133*VLOOKUP('Données projet'!$B$9,Paramètres!$A$1:$I$89,3,0)*VLOOKUP('Données projet'!$B$9,Paramètres!$A$1:$I$89,5,0)</f>
        <v>548.67976799999997</v>
      </c>
      <c r="P133" s="13">
        <f t="shared" ref="P133:P196" si="141">EXP(-1.0587+0.8836*LN(O133)+0.284)</f>
        <v>121.34287647942783</v>
      </c>
      <c r="Q133" s="20">
        <f t="shared" si="108"/>
        <v>1166.95610580167</v>
      </c>
      <c r="R133" s="59">
        <f t="shared" si="109"/>
        <v>1460.2894391350032</v>
      </c>
      <c r="S133" s="59">
        <f ca="1">AVERAGE(OFFSET($R$3,0,0,'Données projet'!$E$9+1,1))-AVERAGE(OFFSET($H$3,0,0,'Données projet'!$E$9+1,1))</f>
        <v>695.0879239758051</v>
      </c>
      <c r="T133" s="59">
        <f t="shared" ref="T133:T196" si="142">$T$3</f>
        <v>226.22150997227476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75.799999999999955</v>
      </c>
      <c r="W133" s="16">
        <f>IF(ISNA(VLOOKUP(A133,'Données projet'!$A$35:$I$55,5,0)),0%,VLOOKUP(A133,'Données projet'!$A$35:$I$55,5,0)*VLOOKUP('Données projet'!$B$9,Paramètres!$A$1:$I$89,7,0))</f>
        <v>0.215</v>
      </c>
      <c r="X133" s="16">
        <f>IF(ISNA(VLOOKUP(A133,'Données projet'!$A$35:$I$55,6,0)),0%,VLOOKUP(A133,'Données projet'!$A$35:$I$55,6,0)*VLOOKUP('Données projet'!$B$9,Paramètres!$A$1:$I$89,7,0))</f>
        <v>8.6000000000000007E-2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67.022188447492425</v>
      </c>
      <c r="AA133" s="21">
        <f>EXP(-LN(2)/25)*AA132+(1-EXP(-LN(2)/25))/(LN(2)/25)*Calculateur!V133*Calculateur!X133*VLOOKUP('Données projet'!$B$9,Paramètres!$A$1:$I$89,3,0)*0.475*44/12</f>
        <v>29.608559822433588</v>
      </c>
      <c r="AB133" s="21">
        <f>EXP(-LN(2)/2)*AB132+(1-EXP(-LN(2)/2))/(LN(2)/2)*V133*Y133*VLOOKUP('Données projet'!$B$9,Paramètres!$A$1:$I$89,3,0)*0.475*44/12</f>
        <v>5.9016182212358532E-6</v>
      </c>
      <c r="AC133" s="22">
        <f t="shared" si="111"/>
        <v>96.63075417154424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4.7884896048344674E-14</v>
      </c>
      <c r="AK133" s="13">
        <f t="shared" ref="AK133:AK153" si="143">EXP(-1.0587+0.8836*LN(AJ133)+0.284)</f>
        <v>7.8374629847779921E-13</v>
      </c>
      <c r="AL133" s="20">
        <f t="shared" si="112"/>
        <v>1.4484243304663672E-12</v>
      </c>
      <c r="AM133" s="59">
        <f t="shared" si="113"/>
        <v>293.33333333333474</v>
      </c>
      <c r="AN133" s="59">
        <f ca="1">AVERAGE(OFFSET($AM$3,0,0,'Données projet'!$E$10+1,1))-AVERAGE(OFFSET($H$3,0,0,'Données projet'!$E$10+1,1))</f>
        <v>424.81155998881928</v>
      </c>
      <c r="AO133" s="59">
        <f t="shared" ref="AO133:AO196" si="144">$AO$3</f>
        <v>277.34430416544575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76.059495826937734</v>
      </c>
      <c r="AV133" s="21">
        <f>EXP(-LN(2)/25)*AV132+(1-EXP(-LN(2)/25))/(LN(2)/25)*Calculateur!AQ133*Calculateur!AS133*VLOOKUP('Données projet'!$B$10,Paramètres!$A$1:$I$89,3,0)*0.475*44/12</f>
        <v>14.383219527525085</v>
      </c>
      <c r="AW133" s="21">
        <f>EXP(-LN(2)/2)*AW132+(1-EXP(-LN(2)/2))/(LN(2)/2)*AQ133*AT133*VLOOKUP('Données projet'!$B$10,Paramètres!$A$1:$I$89,3,0)*0.475*44/12</f>
        <v>1.8122616027737514E-3</v>
      </c>
      <c r="AX133" s="21">
        <f t="shared" si="114"/>
        <v>90.444527616065599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454.46263200000084</v>
      </c>
      <c r="BF133" s="13">
        <f t="shared" ref="BF133:BF153" si="145">EXP(-1.0587+0.8836*LN(BE133)+0.284)</f>
        <v>102.73477074715666</v>
      </c>
      <c r="BG133" s="20">
        <f t="shared" si="115"/>
        <v>970.45214311796599</v>
      </c>
      <c r="BH133" s="59">
        <f t="shared" si="116"/>
        <v>1263.7854764512992</v>
      </c>
      <c r="BI133" s="59">
        <f ca="1">AVERAGE(OFFSET($BH$3,0,0,'Données projet'!$E$11+1,1))-AVERAGE(OFFSET($H$3,0,0,'Données projet'!$E$11+1,1))</f>
        <v>706.69239849991595</v>
      </c>
      <c r="BJ133" s="59">
        <f t="shared" ref="BJ133:BJ196" si="146">$BJ$3</f>
        <v>310.59887275116529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38.424954350074913</v>
      </c>
      <c r="BQ133" s="21">
        <f>EXP(-LN(2)/25)*BQ132+(1-EXP(-LN(2)/25))/(LN(2)/25)*Calculateur!BL133*Calculateur!BN133*VLOOKUP('Données projet'!$B$11,Paramètres!$A$1:$I$89,3,0)*0.475*44/12</f>
        <v>23.240906259578683</v>
      </c>
      <c r="BR133" s="21">
        <f>EXP(-LN(2)/2)*BR132+(1-EXP(-LN(2)/2))/(LN(2)/2)*BL133*BO133*VLOOKUP('Données projet'!$B$11,Paramètres!$A$1:$I$89,3,0)*0.475*44/12</f>
        <v>0.71527741797220024</v>
      </c>
      <c r="BS133" s="22">
        <f t="shared" si="117"/>
        <v>62.381138027625795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112.75</v>
      </c>
      <c r="BW133" s="12">
        <f>VLOOKUP(A133,'Données projet'!$A$113:$I$133,9,0)</f>
        <v>2.4366666666666674</v>
      </c>
      <c r="BX133" s="12">
        <f t="array" ref="BX133">INDEX(BW:BW,MIN(IF(ISNUMBER(BW133:BW329),ROW(BW133:BW329),"")))</f>
        <v>2.4366666666666674</v>
      </c>
      <c r="BY133" s="12">
        <f>IF('Données projet'!$A$114&gt;35,BY132+BX133-CG132,IF(A133&lt;'Données projet'!$A$114,$BV$205^A133,IF(A133='Données projet'!$A$114,'Données projet'!$B$114,BY132+BX133-CG132)))</f>
        <v>112.75000000000026</v>
      </c>
      <c r="BZ133" s="13">
        <f>BY133*VLOOKUP('Données projet'!$B$12,Paramètres!$A$1:$I$89,3,0)*VLOOKUP('Données projet'!$B$12,Paramètres!$A$1:$I$89,5,0)</f>
        <v>107.29290000000026</v>
      </c>
      <c r="CA133" s="13">
        <f t="shared" ref="CA133:CA153" si="147">EXP(-1.0587+0.8836*LN(BZ133)+0.284)</f>
        <v>28.692248678828363</v>
      </c>
      <c r="CB133" s="20">
        <f t="shared" si="118"/>
        <v>236.84080061562653</v>
      </c>
      <c r="CC133" s="59">
        <f t="shared" si="119"/>
        <v>530.17413394895982</v>
      </c>
      <c r="CD133" s="59">
        <f ca="1">AVERAGE(OFFSET($CC$3,0,0,'Données projet'!$E$12+1,1))-AVERAGE(OFFSET($H$3,0,0,'Données projet'!$E$12+1,1))</f>
        <v>449.28947235329758</v>
      </c>
      <c r="CE133" s="59">
        <f t="shared" ref="CE133:CE196" si="148">$CE$3</f>
        <v>289.36994109443964</v>
      </c>
      <c r="CF133" s="15">
        <f>IF(ISNA(VLOOKUP(A133,'Données projet'!$A$113:$I$133,3,0)),0,VLOOKUP(A133,'Données projet'!$A$113:$I$133,3,0))</f>
        <v>14</v>
      </c>
      <c r="CG133" s="15">
        <f>IF(ISNA(VLOOKUP(A133,'Données projet'!$A$113:$I$133,4,0)),0,VLOOKUP(A133,'Données projet'!$A$113:$I$133,4,0))</f>
        <v>112.75</v>
      </c>
      <c r="CH133" s="16">
        <f>IF(ISNA(VLOOKUP(A133,'Données projet'!$A$113:$I$133,5,0)),0%,VLOOKUP(A133,'Données projet'!$A$113:$I$133,5,0)*VLOOKUP('Données projet'!$B$12,Paramètres!$A$1:$I$89,7,0))</f>
        <v>0.19350000000000001</v>
      </c>
      <c r="CI133" s="16">
        <f>IF(ISNA(VLOOKUP(A133,'Données projet'!$A$113:$I$133,6,0)),0%,VLOOKUP(A133,'Données projet'!$A$113:$I$133,6,0)*VLOOKUP('Données projet'!$B$12,Paramètres!$A$1:$I$89,7,0))</f>
        <v>2.1500000000000002E-2</v>
      </c>
      <c r="CJ133" s="16">
        <f>IF(ISNA(VLOOKUP(A133,'Données projet'!$A$113:$I$133,7,0)),0%,VLOOKUP(A133,'Données projet'!$A$113:$I$133,7,0))</f>
        <v>0.05</v>
      </c>
      <c r="CK133" s="21">
        <f>EXP(-LN(2)/35)*CK132+(1-EXP(-LN(2)/35))/(LN(2)/35)*CG133*CH133*VLOOKUP('Données projet'!$B$12,Paramètres!$A$1:$I$89,3,0)*0.475*44/12</f>
        <v>118.80970654859827</v>
      </c>
      <c r="CL133" s="21">
        <f>EXP(-LN(2)/25)*CL132+(1-EXP(-LN(2)/25))/(LN(2)/25)*Calculateur!CG133*Calculateur!CI133*VLOOKUP('Données projet'!$B$12,Paramètres!$A$1:$I$89,3,0)*0.475*44/12</f>
        <v>24.758670219839001</v>
      </c>
      <c r="CM133" s="21">
        <f>EXP(-LN(2)/2)*CM132+(1-EXP(-LN(2)/2))/(LN(2)/2)*CG133*CJ133*VLOOKUP('Données projet'!$B$12,Paramètres!$A$1:$I$89,3,0)*0.475*44/12</f>
        <v>7.1614439738475077</v>
      </c>
      <c r="CN133" s="22">
        <f t="shared" si="120"/>
        <v>150.72982074228477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2.4829205358400945E-14</v>
      </c>
      <c r="CV133" s="13">
        <f t="shared" ref="CV133:CV153" si="149">EXP(-1.0587+0.8836*LN(CU133)+0.284)</f>
        <v>4.3867331143352915E-13</v>
      </c>
      <c r="CW133" s="20">
        <f t="shared" si="121"/>
        <v>8.0726688341261168E-13</v>
      </c>
      <c r="CX133" s="59">
        <f t="shared" si="122"/>
        <v>293.33333333333411</v>
      </c>
      <c r="CY133" s="59">
        <f ca="1">AVERAGE(OFFSET($CX$3,0,0,'Données projet'!$E$13+1,1))-AVERAGE(OFFSET($H$3,0,0,'Données projet'!$E$13+1,1))</f>
        <v>261.93797831021766</v>
      </c>
      <c r="CZ133" s="59">
        <f t="shared" ref="CZ133:CZ196" si="150">$CZ$3</f>
        <v>256.90876395053073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12.254326620940477</v>
      </c>
      <c r="DG133" s="21">
        <f>EXP(-LN(2)/25)*DG132+(1-EXP(-LN(2)/25))/(LN(2)/25)*Calculateur!DB133*Calculateur!DD133*VLOOKUP('Données projet'!$B$13,Paramètres!$A$1:$I$89,3,0)*0.475*44/12</f>
        <v>9.1239927772810905</v>
      </c>
      <c r="DH133" s="21">
        <f>EXP(-LN(2)/2)*DH132+(1-EXP(-LN(2)/2))/(LN(2)/2)*DB133*DE133*VLOOKUP('Données projet'!$B$13,Paramètres!$A$1:$I$89,3,0)*0.475*44/12</f>
        <v>1.35440950514758E-6</v>
      </c>
      <c r="DI133" s="22">
        <f t="shared" si="123"/>
        <v>21.378320752631073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10.843999999999994</v>
      </c>
      <c r="N134" s="13">
        <f>IF('Données projet'!$A$36&gt;35,N133+M134-V133,IF(A134&lt;'Données projet'!$A$36,$K$205^A134,IF(A134='Données projet'!$A$36,'Données projet'!$B$36,N133+M134-V133)))</f>
        <v>541.45399999999995</v>
      </c>
      <c r="O134" s="13">
        <f>N134*VLOOKUP('Données projet'!$B$9,Paramètres!$A$1:$I$89,3,0)*VLOOKUP('Données projet'!$B$9,Paramètres!$A$1:$I$89,5,0)</f>
        <v>489.90757919999993</v>
      </c>
      <c r="P134" s="13">
        <f t="shared" si="141"/>
        <v>109.78346531715303</v>
      </c>
      <c r="Q134" s="20">
        <f t="shared" si="108"/>
        <v>1044.4619025340414</v>
      </c>
      <c r="R134" s="59">
        <f t="shared" si="109"/>
        <v>1337.7952358673747</v>
      </c>
      <c r="S134" s="59">
        <f ca="1">AVERAGE(OFFSET($R$3,0,0,'Données projet'!$E$9+1,1))-AVERAGE(OFFSET($H$3,0,0,'Données projet'!$E$9+1,1))</f>
        <v>695.0879239758051</v>
      </c>
      <c r="T134" s="59">
        <f t="shared" si="142"/>
        <v>226.22150997227476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65.707924211535541</v>
      </c>
      <c r="AA134" s="21">
        <f>EXP(-LN(2)/25)*AA133+(1-EXP(-LN(2)/25))/(LN(2)/25)*Calculateur!V134*Calculateur!X134*VLOOKUP('Données projet'!$B$9,Paramètres!$A$1:$I$89,3,0)*0.475*44/12</f>
        <v>28.79891219704265</v>
      </c>
      <c r="AB134" s="21">
        <f>EXP(-LN(2)/2)*AB133+(1-EXP(-LN(2)/2))/(LN(2)/2)*V134*Y134*VLOOKUP('Données projet'!$B$9,Paramètres!$A$1:$I$89,3,0)*0.475*44/12</f>
        <v>4.1730742642099622E-6</v>
      </c>
      <c r="AC134" s="22">
        <f t="shared" si="111"/>
        <v>94.506840581652455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4.7884896048344674E-14</v>
      </c>
      <c r="AK134" s="13">
        <f t="shared" si="143"/>
        <v>7.8374629847779921E-13</v>
      </c>
      <c r="AL134" s="20">
        <f t="shared" si="112"/>
        <v>1.4484243304663672E-12</v>
      </c>
      <c r="AM134" s="59">
        <f t="shared" si="113"/>
        <v>293.33333333333474</v>
      </c>
      <c r="AN134" s="59">
        <f ca="1">AVERAGE(OFFSET($AM$3,0,0,'Données projet'!$E$10+1,1))-AVERAGE(OFFSET($H$3,0,0,'Données projet'!$E$10+1,1))</f>
        <v>424.81155998881928</v>
      </c>
      <c r="AO134" s="59">
        <f t="shared" si="144"/>
        <v>277.34430416544575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74.568015505483132</v>
      </c>
      <c r="AV134" s="21">
        <f>EXP(-LN(2)/25)*AV133+(1-EXP(-LN(2)/25))/(LN(2)/25)*Calculateur!AQ134*Calculateur!AS134*VLOOKUP('Données projet'!$B$10,Paramètres!$A$1:$I$89,3,0)*0.475*44/12</f>
        <v>13.98990963316427</v>
      </c>
      <c r="AW134" s="21">
        <f>EXP(-LN(2)/2)*AW133+(1-EXP(-LN(2)/2))/(LN(2)/2)*AQ134*AT134*VLOOKUP('Données projet'!$B$10,Paramètres!$A$1:$I$89,3,0)*0.475*44/12</f>
        <v>1.2814624686053209E-3</v>
      </c>
      <c r="AX134" s="21">
        <f t="shared" si="114"/>
        <v>88.559206601116017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463.61195400000088</v>
      </c>
      <c r="BF134" s="13">
        <f t="shared" si="145"/>
        <v>104.56017271740512</v>
      </c>
      <c r="BG134" s="20">
        <f t="shared" si="115"/>
        <v>989.56645403281527</v>
      </c>
      <c r="BH134" s="59">
        <f t="shared" si="116"/>
        <v>1282.8997873661485</v>
      </c>
      <c r="BI134" s="59">
        <f ca="1">AVERAGE(OFFSET($BH$3,0,0,'Données projet'!$E$11+1,1))-AVERAGE(OFFSET($H$3,0,0,'Données projet'!$E$11+1,1))</f>
        <v>706.69239849991595</v>
      </c>
      <c r="BJ134" s="59">
        <f t="shared" si="146"/>
        <v>310.59887275116529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37.671464432177892</v>
      </c>
      <c r="BQ134" s="21">
        <f>EXP(-LN(2)/25)*BQ133+(1-EXP(-LN(2)/25))/(LN(2)/25)*Calculateur!BL134*Calculateur!BN134*VLOOKUP('Données projet'!$B$11,Paramètres!$A$1:$I$89,3,0)*0.475*44/12</f>
        <v>22.60538245572436</v>
      </c>
      <c r="BR134" s="21">
        <f>EXP(-LN(2)/2)*BR133+(1-EXP(-LN(2)/2))/(LN(2)/2)*BL134*BO134*VLOOKUP('Données projet'!$B$11,Paramètres!$A$1:$I$89,3,0)*0.475*44/12</f>
        <v>0.50577751267774729</v>
      </c>
      <c r="BS134" s="22">
        <f t="shared" si="117"/>
        <v>60.782624400579998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2.5579538487363607E-13</v>
      </c>
      <c r="BZ134" s="13">
        <f>BY134*VLOOKUP('Données projet'!$B$12,Paramètres!$A$1:$I$89,3,0)*VLOOKUP('Données projet'!$B$12,Paramètres!$A$1:$I$89,5,0)</f>
        <v>2.4341488824575211E-13</v>
      </c>
      <c r="CA134" s="13">
        <f t="shared" si="147"/>
        <v>3.2970717324875541E-12</v>
      </c>
      <c r="CB134" s="20">
        <f t="shared" si="118"/>
        <v>6.1663475311105072E-12</v>
      </c>
      <c r="CC134" s="59">
        <f t="shared" si="119"/>
        <v>293.33333333333945</v>
      </c>
      <c r="CD134" s="59">
        <f ca="1">AVERAGE(OFFSET($CC$3,0,0,'Données projet'!$E$12+1,1))-AVERAGE(OFFSET($H$3,0,0,'Données projet'!$E$12+1,1))</f>
        <v>449.28947235329758</v>
      </c>
      <c r="CE134" s="59">
        <f t="shared" si="148"/>
        <v>289.36994109443964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116.47992066994576</v>
      </c>
      <c r="CL134" s="21">
        <f>EXP(-LN(2)/25)*CL133+(1-EXP(-LN(2)/25))/(LN(2)/25)*Calculateur!CG134*Calculateur!CI134*VLOOKUP('Données projet'!$B$12,Paramètres!$A$1:$I$89,3,0)*0.475*44/12</f>
        <v>24.081643080675622</v>
      </c>
      <c r="CM134" s="21">
        <f>EXP(-LN(2)/2)*CM133+(1-EXP(-LN(2)/2))/(LN(2)/2)*CG134*CJ134*VLOOKUP('Données projet'!$B$12,Paramètres!$A$1:$I$89,3,0)*0.475*44/12</f>
        <v>5.0639055969951094</v>
      </c>
      <c r="CN134" s="22">
        <f t="shared" si="120"/>
        <v>145.6254693476165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2.4829205358400945E-14</v>
      </c>
      <c r="CV134" s="13">
        <f t="shared" si="149"/>
        <v>4.3867331143352915E-13</v>
      </c>
      <c r="CW134" s="20">
        <f t="shared" si="121"/>
        <v>8.0726688341261168E-13</v>
      </c>
      <c r="CX134" s="59">
        <f t="shared" si="122"/>
        <v>293.33333333333411</v>
      </c>
      <c r="CY134" s="59">
        <f ca="1">AVERAGE(OFFSET($CX$3,0,0,'Données projet'!$E$13+1,1))-AVERAGE(OFFSET($H$3,0,0,'Données projet'!$E$13+1,1))</f>
        <v>261.93797831021766</v>
      </c>
      <c r="CZ134" s="59">
        <f t="shared" si="150"/>
        <v>256.90876395053073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12.014026750305037</v>
      </c>
      <c r="DG134" s="21">
        <f>EXP(-LN(2)/25)*DG133+(1-EXP(-LN(2)/25))/(LN(2)/25)*Calculateur!DB134*Calculateur!DD134*VLOOKUP('Données projet'!$B$13,Paramètres!$A$1:$I$89,3,0)*0.475*44/12</f>
        <v>8.8744967149764129</v>
      </c>
      <c r="DH134" s="21">
        <f>EXP(-LN(2)/2)*DH133+(1-EXP(-LN(2)/2))/(LN(2)/2)*DB134*DE134*VLOOKUP('Données projet'!$B$13,Paramètres!$A$1:$I$89,3,0)*0.475*44/12</f>
        <v>9.5771214559336994E-7</v>
      </c>
      <c r="DI134" s="22">
        <f t="shared" si="123"/>
        <v>20.888524422993598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10.843999999999994</v>
      </c>
      <c r="N135" s="13">
        <f>IF('Données projet'!$A$36&gt;35,N134+M135-V134,IF(A135&lt;'Données projet'!$A$36,$K$205^A135,IF(A135='Données projet'!$A$36,'Données projet'!$B$36,N134+M135-V134)))</f>
        <v>552.298</v>
      </c>
      <c r="O135" s="13">
        <f>N135*VLOOKUP('Données projet'!$B$9,Paramètres!$A$1:$I$89,3,0)*VLOOKUP('Données projet'!$B$9,Paramètres!$A$1:$I$89,5,0)</f>
        <v>499.71923039999996</v>
      </c>
      <c r="P135" s="13">
        <f t="shared" si="141"/>
        <v>111.72398392673504</v>
      </c>
      <c r="Q135" s="20">
        <f t="shared" si="108"/>
        <v>1064.9302649523968</v>
      </c>
      <c r="R135" s="59">
        <f t="shared" si="109"/>
        <v>1358.26359828573</v>
      </c>
      <c r="S135" s="59">
        <f ca="1">AVERAGE(OFFSET($R$3,0,0,'Données projet'!$E$9+1,1))-AVERAGE(OFFSET($H$3,0,0,'Données projet'!$E$9+1,1))</f>
        <v>695.0879239758051</v>
      </c>
      <c r="T135" s="59">
        <f t="shared" si="142"/>
        <v>226.22150997227476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64.419431895623731</v>
      </c>
      <c r="AA135" s="21">
        <f>EXP(-LN(2)/25)*AA134+(1-EXP(-LN(2)/25))/(LN(2)/25)*Calculateur!V135*Calculateur!X135*VLOOKUP('Données projet'!$B$9,Paramètres!$A$1:$I$89,3,0)*0.475*44/12</f>
        <v>28.011404428545546</v>
      </c>
      <c r="AB135" s="21">
        <f>EXP(-LN(2)/2)*AB134+(1-EXP(-LN(2)/2))/(LN(2)/2)*V135*Y135*VLOOKUP('Données projet'!$B$9,Paramètres!$A$1:$I$89,3,0)*0.475*44/12</f>
        <v>2.9508091106179266E-6</v>
      </c>
      <c r="AC135" s="22">
        <f t="shared" si="111"/>
        <v>92.430839274978382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4.7884896048344674E-14</v>
      </c>
      <c r="AK135" s="13">
        <f t="shared" si="143"/>
        <v>7.8374629847779921E-13</v>
      </c>
      <c r="AL135" s="20">
        <f t="shared" si="112"/>
        <v>1.4484243304663672E-12</v>
      </c>
      <c r="AM135" s="59">
        <f t="shared" si="113"/>
        <v>293.33333333333474</v>
      </c>
      <c r="AN135" s="59">
        <f ca="1">AVERAGE(OFFSET($AM$3,0,0,'Données projet'!$E$10+1,1))-AVERAGE(OFFSET($H$3,0,0,'Données projet'!$E$10+1,1))</f>
        <v>424.81155998881928</v>
      </c>
      <c r="AO135" s="59">
        <f t="shared" si="144"/>
        <v>277.34430416544575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73.105782203419096</v>
      </c>
      <c r="AV135" s="21">
        <f>EXP(-LN(2)/25)*AV134+(1-EXP(-LN(2)/25))/(LN(2)/25)*Calculateur!AQ135*Calculateur!AS135*VLOOKUP('Données projet'!$B$10,Paramètres!$A$1:$I$89,3,0)*0.475*44/12</f>
        <v>13.60735481854802</v>
      </c>
      <c r="AW135" s="21">
        <f>EXP(-LN(2)/2)*AW134+(1-EXP(-LN(2)/2))/(LN(2)/2)*AQ135*AT135*VLOOKUP('Données projet'!$B$10,Paramètres!$A$1:$I$89,3,0)*0.475*44/12</f>
        <v>9.061308013868757E-4</v>
      </c>
      <c r="AX135" s="21">
        <f t="shared" si="114"/>
        <v>86.714043152768497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472.76127600000092</v>
      </c>
      <c r="BF135" s="13">
        <f t="shared" si="145"/>
        <v>106.38138601076099</v>
      </c>
      <c r="BG135" s="20">
        <f t="shared" si="115"/>
        <v>1008.6734696687436</v>
      </c>
      <c r="BH135" s="59">
        <f t="shared" si="116"/>
        <v>1302.0068030020768</v>
      </c>
      <c r="BI135" s="59">
        <f ca="1">AVERAGE(OFFSET($BH$3,0,0,'Données projet'!$E$11+1,1))-AVERAGE(OFFSET($H$3,0,0,'Données projet'!$E$11+1,1))</f>
        <v>706.69239849991595</v>
      </c>
      <c r="BJ135" s="59">
        <f t="shared" si="146"/>
        <v>310.59887275116529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36.932749991987365</v>
      </c>
      <c r="BQ135" s="21">
        <f>EXP(-LN(2)/25)*BQ134+(1-EXP(-LN(2)/25))/(LN(2)/25)*Calculateur!BL135*Calculateur!BN135*VLOOKUP('Données projet'!$B$11,Paramètres!$A$1:$I$89,3,0)*0.475*44/12</f>
        <v>21.987237083707178</v>
      </c>
      <c r="BR135" s="21">
        <f>EXP(-LN(2)/2)*BR134+(1-EXP(-LN(2)/2))/(LN(2)/2)*BL135*BO135*VLOOKUP('Données projet'!$B$11,Paramètres!$A$1:$I$89,3,0)*0.475*44/12</f>
        <v>0.35763870898610012</v>
      </c>
      <c r="BS135" s="22">
        <f t="shared" si="117"/>
        <v>59.277625784680644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2.5579538487363607E-13</v>
      </c>
      <c r="BZ135" s="13">
        <f>BY135*VLOOKUP('Données projet'!$B$12,Paramètres!$A$1:$I$89,3,0)*VLOOKUP('Données projet'!$B$12,Paramètres!$A$1:$I$89,5,0)</f>
        <v>2.4341488824575211E-13</v>
      </c>
      <c r="CA135" s="13">
        <f t="shared" si="147"/>
        <v>3.2970717324875541E-12</v>
      </c>
      <c r="CB135" s="20">
        <f t="shared" si="118"/>
        <v>6.1663475311105072E-12</v>
      </c>
      <c r="CC135" s="59">
        <f t="shared" si="119"/>
        <v>293.33333333333945</v>
      </c>
      <c r="CD135" s="59">
        <f ca="1">AVERAGE(OFFSET($CC$3,0,0,'Données projet'!$E$12+1,1))-AVERAGE(OFFSET($H$3,0,0,'Données projet'!$E$12+1,1))</f>
        <v>449.28947235329758</v>
      </c>
      <c r="CE135" s="59">
        <f t="shared" si="148"/>
        <v>289.36994109443964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114.19582047134455</v>
      </c>
      <c r="CL135" s="21">
        <f>EXP(-LN(2)/25)*CL134+(1-EXP(-LN(2)/25))/(LN(2)/25)*Calculateur!CG135*Calculateur!CI135*VLOOKUP('Données projet'!$B$12,Paramètres!$A$1:$I$89,3,0)*0.475*44/12</f>
        <v>23.423129284235976</v>
      </c>
      <c r="CM135" s="21">
        <f>EXP(-LN(2)/2)*CM134+(1-EXP(-LN(2)/2))/(LN(2)/2)*CG135*CJ135*VLOOKUP('Données projet'!$B$12,Paramètres!$A$1:$I$89,3,0)*0.475*44/12</f>
        <v>3.5807219869237543</v>
      </c>
      <c r="CN135" s="22">
        <f t="shared" si="120"/>
        <v>141.19967174250428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2.4829205358400945E-14</v>
      </c>
      <c r="CV135" s="13">
        <f t="shared" si="149"/>
        <v>4.3867331143352915E-13</v>
      </c>
      <c r="CW135" s="20">
        <f t="shared" si="121"/>
        <v>8.0726688341261168E-13</v>
      </c>
      <c r="CX135" s="59">
        <f t="shared" si="122"/>
        <v>293.33333333333411</v>
      </c>
      <c r="CY135" s="59">
        <f ca="1">AVERAGE(OFFSET($CX$3,0,0,'Données projet'!$E$13+1,1))-AVERAGE(OFFSET($H$3,0,0,'Données projet'!$E$13+1,1))</f>
        <v>261.93797831021766</v>
      </c>
      <c r="CZ135" s="59">
        <f t="shared" si="150"/>
        <v>256.90876395053073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11.778439013564309</v>
      </c>
      <c r="DG135" s="21">
        <f>EXP(-LN(2)/25)*DG134+(1-EXP(-LN(2)/25))/(LN(2)/25)*Calculateur!DB135*Calculateur!DD135*VLOOKUP('Données projet'!$B$13,Paramètres!$A$1:$I$89,3,0)*0.475*44/12</f>
        <v>8.6318231356158837</v>
      </c>
      <c r="DH135" s="21">
        <f>EXP(-LN(2)/2)*DH134+(1-EXP(-LN(2)/2))/(LN(2)/2)*DB135*DE135*VLOOKUP('Données projet'!$B$13,Paramètres!$A$1:$I$89,3,0)*0.475*44/12</f>
        <v>6.7720475257379E-7</v>
      </c>
      <c r="DI135" s="22">
        <f t="shared" si="123"/>
        <v>20.410262826384944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10.843999999999994</v>
      </c>
      <c r="N136" s="13">
        <f>IF('Données projet'!$A$36&gt;35,N135+M136-V135,IF(A136&lt;'Données projet'!$A$36,$K$205^A136,IF(A136='Données projet'!$A$36,'Données projet'!$B$36,N135+M136-V135)))</f>
        <v>563.14200000000005</v>
      </c>
      <c r="O136" s="13">
        <f>N136*VLOOKUP('Données projet'!$B$9,Paramètres!$A$1:$I$89,3,0)*VLOOKUP('Données projet'!$B$9,Paramètres!$A$1:$I$89,5,0)</f>
        <v>509.53088160000004</v>
      </c>
      <c r="P136" s="13">
        <f t="shared" si="141"/>
        <v>113.66007236881403</v>
      </c>
      <c r="Q136" s="20">
        <f t="shared" si="108"/>
        <v>1085.3909114956843</v>
      </c>
      <c r="R136" s="59">
        <f t="shared" si="109"/>
        <v>1378.7242448290176</v>
      </c>
      <c r="S136" s="59">
        <f ca="1">AVERAGE(OFFSET($R$3,0,0,'Données projet'!$E$9+1,1))-AVERAGE(OFFSET($H$3,0,0,'Données projet'!$E$9+1,1))</f>
        <v>695.0879239758051</v>
      </c>
      <c r="T136" s="59">
        <f t="shared" si="142"/>
        <v>226.22150997227476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63.156206128124246</v>
      </c>
      <c r="AA136" s="21">
        <f>EXP(-LN(2)/25)*AA135+(1-EXP(-LN(2)/25))/(LN(2)/25)*Calculateur!V136*Calculateur!X136*VLOOKUP('Données projet'!$B$9,Paramètres!$A$1:$I$89,3,0)*0.475*44/12</f>
        <v>27.24543110139123</v>
      </c>
      <c r="AB136" s="21">
        <f>EXP(-LN(2)/2)*AB135+(1-EXP(-LN(2)/2))/(LN(2)/2)*V136*Y136*VLOOKUP('Données projet'!$B$9,Paramètres!$A$1:$I$89,3,0)*0.475*44/12</f>
        <v>2.0865371321049811E-6</v>
      </c>
      <c r="AC136" s="22">
        <f t="shared" si="111"/>
        <v>90.401639316052609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4.7884896048344674E-14</v>
      </c>
      <c r="AK136" s="13">
        <f t="shared" si="143"/>
        <v>7.8374629847779921E-13</v>
      </c>
      <c r="AL136" s="20">
        <f t="shared" si="112"/>
        <v>1.4484243304663672E-12</v>
      </c>
      <c r="AM136" s="59">
        <f t="shared" si="113"/>
        <v>293.33333333333474</v>
      </c>
      <c r="AN136" s="59">
        <f ca="1">AVERAGE(OFFSET($AM$3,0,0,'Données projet'!$E$10+1,1))-AVERAGE(OFFSET($H$3,0,0,'Données projet'!$E$10+1,1))</f>
        <v>424.81155998881928</v>
      </c>
      <c r="AO136" s="59">
        <f t="shared" si="144"/>
        <v>277.34430416544575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71.672222404534281</v>
      </c>
      <c r="AV136" s="21">
        <f>EXP(-LN(2)/25)*AV135+(1-EXP(-LN(2)/25))/(LN(2)/25)*Calculateur!AQ136*Calculateur!AS136*VLOOKUP('Données projet'!$B$10,Paramètres!$A$1:$I$89,3,0)*0.475*44/12</f>
        <v>13.235260985455135</v>
      </c>
      <c r="AW136" s="21">
        <f>EXP(-LN(2)/2)*AW135+(1-EXP(-LN(2)/2))/(LN(2)/2)*AQ136*AT136*VLOOKUP('Données projet'!$B$10,Paramètres!$A$1:$I$89,3,0)*0.475*44/12</f>
        <v>6.4073123430266046E-4</v>
      </c>
      <c r="AX136" s="21">
        <f t="shared" si="114"/>
        <v>84.908124121223707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481.9105980000009</v>
      </c>
      <c r="BF136" s="13">
        <f t="shared" si="145"/>
        <v>108.19850103573877</v>
      </c>
      <c r="BG136" s="20">
        <f t="shared" si="115"/>
        <v>1027.7733474872464</v>
      </c>
      <c r="BH136" s="59">
        <f t="shared" si="116"/>
        <v>1321.1066808205796</v>
      </c>
      <c r="BI136" s="59">
        <f ca="1">AVERAGE(OFFSET($BH$3,0,0,'Données projet'!$E$11+1,1))-AVERAGE(OFFSET($H$3,0,0,'Données projet'!$E$11+1,1))</f>
        <v>706.69239849991595</v>
      </c>
      <c r="BJ136" s="59">
        <f t="shared" si="146"/>
        <v>310.59887275116529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36.208521291397652</v>
      </c>
      <c r="BQ136" s="21">
        <f>EXP(-LN(2)/25)*BQ135+(1-EXP(-LN(2)/25))/(LN(2)/25)*Calculateur!BL136*Calculateur!BN136*VLOOKUP('Données projet'!$B$11,Paramètres!$A$1:$I$89,3,0)*0.475*44/12</f>
        <v>21.385994929394659</v>
      </c>
      <c r="BR136" s="21">
        <f>EXP(-LN(2)/2)*BR135+(1-EXP(-LN(2)/2))/(LN(2)/2)*BL136*BO136*VLOOKUP('Données projet'!$B$11,Paramètres!$A$1:$I$89,3,0)*0.475*44/12</f>
        <v>0.25288875633887364</v>
      </c>
      <c r="BS136" s="22">
        <f t="shared" si="117"/>
        <v>57.847404977131191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2.5579538487363607E-13</v>
      </c>
      <c r="BZ136" s="13">
        <f>BY136*VLOOKUP('Données projet'!$B$12,Paramètres!$A$1:$I$89,3,0)*VLOOKUP('Données projet'!$B$12,Paramètres!$A$1:$I$89,5,0)</f>
        <v>2.4341488824575211E-13</v>
      </c>
      <c r="CA136" s="13">
        <f t="shared" si="147"/>
        <v>3.2970717324875541E-12</v>
      </c>
      <c r="CB136" s="20">
        <f t="shared" si="118"/>
        <v>6.1663475311105072E-12</v>
      </c>
      <c r="CC136" s="59">
        <f t="shared" si="119"/>
        <v>293.33333333333945</v>
      </c>
      <c r="CD136" s="59">
        <f ca="1">AVERAGE(OFFSET($CC$3,0,0,'Données projet'!$E$12+1,1))-AVERAGE(OFFSET($H$3,0,0,'Données projet'!$E$12+1,1))</f>
        <v>449.28947235329758</v>
      </c>
      <c r="CE136" s="59">
        <f t="shared" si="148"/>
        <v>289.36994109443964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111.95651008447435</v>
      </c>
      <c r="CL136" s="21">
        <f>EXP(-LN(2)/25)*CL135+(1-EXP(-LN(2)/25))/(LN(2)/25)*Calculateur!CG136*Calculateur!CI136*VLOOKUP('Données projet'!$B$12,Paramètres!$A$1:$I$89,3,0)*0.475*44/12</f>
        <v>22.78262258218971</v>
      </c>
      <c r="CM136" s="21">
        <f>EXP(-LN(2)/2)*CM135+(1-EXP(-LN(2)/2))/(LN(2)/2)*CG136*CJ136*VLOOKUP('Données projet'!$B$12,Paramètres!$A$1:$I$89,3,0)*0.475*44/12</f>
        <v>2.5319527984975552</v>
      </c>
      <c r="CN136" s="22">
        <f t="shared" si="120"/>
        <v>137.2710854651616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2.4829205358400945E-14</v>
      </c>
      <c r="CV136" s="13">
        <f t="shared" si="149"/>
        <v>4.3867331143352915E-13</v>
      </c>
      <c r="CW136" s="20">
        <f t="shared" si="121"/>
        <v>8.0726688341261168E-13</v>
      </c>
      <c r="CX136" s="59">
        <f t="shared" si="122"/>
        <v>293.33333333333411</v>
      </c>
      <c r="CY136" s="59">
        <f ca="1">AVERAGE(OFFSET($CX$3,0,0,'Données projet'!$E$13+1,1))-AVERAGE(OFFSET($H$3,0,0,'Données projet'!$E$13+1,1))</f>
        <v>261.93797831021766</v>
      </c>
      <c r="CZ136" s="59">
        <f t="shared" si="150"/>
        <v>256.90876395053073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11.547471008646736</v>
      </c>
      <c r="DG136" s="21">
        <f>EXP(-LN(2)/25)*DG135+(1-EXP(-LN(2)/25))/(LN(2)/25)*Calculateur!DB136*Calculateur!DD136*VLOOKUP('Données projet'!$B$13,Paramètres!$A$1:$I$89,3,0)*0.475*44/12</f>
        <v>8.3957854780446173</v>
      </c>
      <c r="DH136" s="21">
        <f>EXP(-LN(2)/2)*DH135+(1-EXP(-LN(2)/2))/(LN(2)/2)*DB136*DE136*VLOOKUP('Données projet'!$B$13,Paramètres!$A$1:$I$89,3,0)*0.475*44/12</f>
        <v>4.7885607279668497E-7</v>
      </c>
      <c r="DI136" s="22">
        <f t="shared" si="123"/>
        <v>19.943256965547427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10.843999999999994</v>
      </c>
      <c r="N137" s="13">
        <f>IF('Données projet'!$A$36&gt;35,N136+M137-V136,IF(A137&lt;'Données projet'!$A$36,$K$205^A137,IF(A137='Données projet'!$A$36,'Données projet'!$B$36,N136+M137-V136)))</f>
        <v>573.9860000000001</v>
      </c>
      <c r="O137" s="13">
        <f>N137*VLOOKUP('Données projet'!$B$9,Paramètres!$A$1:$I$89,3,0)*VLOOKUP('Données projet'!$B$9,Paramètres!$A$1:$I$89,5,0)</f>
        <v>519.34253280000007</v>
      </c>
      <c r="P137" s="13">
        <f t="shared" si="141"/>
        <v>115.5918257868824</v>
      </c>
      <c r="Q137" s="20">
        <f t="shared" si="108"/>
        <v>1105.8440078721535</v>
      </c>
      <c r="R137" s="59">
        <f t="shared" si="109"/>
        <v>1399.1773412054868</v>
      </c>
      <c r="S137" s="59">
        <f ca="1">AVERAGE(OFFSET($R$3,0,0,'Données projet'!$E$9+1,1))-AVERAGE(OFFSET($H$3,0,0,'Données projet'!$E$9+1,1))</f>
        <v>695.0879239758051</v>
      </c>
      <c r="T137" s="59">
        <f t="shared" si="142"/>
        <v>226.22150997227476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61.917751447433787</v>
      </c>
      <c r="AA137" s="21">
        <f>EXP(-LN(2)/25)*AA136+(1-EXP(-LN(2)/25))/(LN(2)/25)*Calculateur!V137*Calculateur!X137*VLOOKUP('Données projet'!$B$9,Paramètres!$A$1:$I$89,3,0)*0.475*44/12</f>
        <v>26.500403355148734</v>
      </c>
      <c r="AB137" s="21">
        <f>EXP(-LN(2)/2)*AB136+(1-EXP(-LN(2)/2))/(LN(2)/2)*V137*Y137*VLOOKUP('Données projet'!$B$9,Paramètres!$A$1:$I$89,3,0)*0.475*44/12</f>
        <v>1.4754045553089633E-6</v>
      </c>
      <c r="AC137" s="22">
        <f t="shared" si="111"/>
        <v>88.41815627798708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4.7884896048344674E-14</v>
      </c>
      <c r="AK137" s="13">
        <f t="shared" si="143"/>
        <v>7.8374629847779921E-13</v>
      </c>
      <c r="AL137" s="20">
        <f t="shared" si="112"/>
        <v>1.4484243304663672E-12</v>
      </c>
      <c r="AM137" s="59">
        <f t="shared" si="113"/>
        <v>293.33333333333474</v>
      </c>
      <c r="AN137" s="59">
        <f ca="1">AVERAGE(OFFSET($AM$3,0,0,'Données projet'!$E$10+1,1))-AVERAGE(OFFSET($H$3,0,0,'Données projet'!$E$10+1,1))</f>
        <v>424.81155998881928</v>
      </c>
      <c r="AO137" s="59">
        <f t="shared" si="144"/>
        <v>277.34430416544575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70.266773838920457</v>
      </c>
      <c r="AV137" s="21">
        <f>EXP(-LN(2)/25)*AV136+(1-EXP(-LN(2)/25))/(LN(2)/25)*Calculateur!AQ137*Calculateur!AS137*VLOOKUP('Données projet'!$B$10,Paramètres!$A$1:$I$89,3,0)*0.475*44/12</f>
        <v>12.873342077795739</v>
      </c>
      <c r="AW137" s="21">
        <f>EXP(-LN(2)/2)*AW136+(1-EXP(-LN(2)/2))/(LN(2)/2)*AQ137*AT137*VLOOKUP('Données projet'!$B$10,Paramètres!$A$1:$I$89,3,0)*0.475*44/12</f>
        <v>4.5306540069343785E-4</v>
      </c>
      <c r="AX137" s="21">
        <f t="shared" si="114"/>
        <v>83.140568982116889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491.05992000000094</v>
      </c>
      <c r="BF137" s="13">
        <f t="shared" si="145"/>
        <v>110.01160457151111</v>
      </c>
      <c r="BG137" s="20">
        <f t="shared" si="115"/>
        <v>1046.8662386287169</v>
      </c>
      <c r="BH137" s="59">
        <f t="shared" si="116"/>
        <v>1340.1995719620502</v>
      </c>
      <c r="BI137" s="59">
        <f ca="1">AVERAGE(OFFSET($BH$3,0,0,'Données projet'!$E$11+1,1))-AVERAGE(OFFSET($H$3,0,0,'Données projet'!$E$11+1,1))</f>
        <v>706.69239849991595</v>
      </c>
      <c r="BJ137" s="59">
        <f t="shared" si="146"/>
        <v>310.59887275116529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50.146692926414062</v>
      </c>
      <c r="BQ137" s="21">
        <f>EXP(-LN(2)/25)*BQ136+(1-EXP(-LN(2)/25))/(LN(2)/25)*Calculateur!BL137*Calculateur!BN137*VLOOKUP('Données projet'!$B$11,Paramètres!$A$1:$I$89,3,0)*0.475*44/12</f>
        <v>26.637403018620649</v>
      </c>
      <c r="BR137" s="21">
        <f>EXP(-LN(2)/2)*BR136+(1-EXP(-LN(2)/2))/(LN(2)/2)*BL137*BO137*VLOOKUP('Données projet'!$B$11,Paramètres!$A$1:$I$89,3,0)*0.475*44/12</f>
        <v>0.17881935449305006</v>
      </c>
      <c r="BS137" s="22">
        <f t="shared" si="117"/>
        <v>76.962915299527751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2.5579538487363607E-13</v>
      </c>
      <c r="BZ137" s="13">
        <f>BY137*VLOOKUP('Données projet'!$B$12,Paramètres!$A$1:$I$89,3,0)*VLOOKUP('Données projet'!$B$12,Paramètres!$A$1:$I$89,5,0)</f>
        <v>2.4341488824575211E-13</v>
      </c>
      <c r="CA137" s="13">
        <f t="shared" si="147"/>
        <v>3.2970717324875541E-12</v>
      </c>
      <c r="CB137" s="20">
        <f t="shared" si="118"/>
        <v>6.1663475311105072E-12</v>
      </c>
      <c r="CC137" s="59">
        <f t="shared" si="119"/>
        <v>293.33333333333945</v>
      </c>
      <c r="CD137" s="59">
        <f ca="1">AVERAGE(OFFSET($CC$3,0,0,'Données projet'!$E$12+1,1))-AVERAGE(OFFSET($H$3,0,0,'Données projet'!$E$12+1,1))</f>
        <v>449.28947235329758</v>
      </c>
      <c r="CE137" s="59">
        <f t="shared" si="148"/>
        <v>289.36994109443964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109.7611112084462</v>
      </c>
      <c r="CL137" s="21">
        <f>EXP(-LN(2)/25)*CL136+(1-EXP(-LN(2)/25))/(LN(2)/25)*Calculateur!CG137*Calculateur!CI137*VLOOKUP('Données projet'!$B$12,Paramètres!$A$1:$I$89,3,0)*0.475*44/12</f>
        <v>22.159630569593681</v>
      </c>
      <c r="CM137" s="21">
        <f>EXP(-LN(2)/2)*CM136+(1-EXP(-LN(2)/2))/(LN(2)/2)*CG137*CJ137*VLOOKUP('Données projet'!$B$12,Paramètres!$A$1:$I$89,3,0)*0.475*44/12</f>
        <v>1.7903609934618776</v>
      </c>
      <c r="CN137" s="22">
        <f t="shared" si="120"/>
        <v>133.71110277150177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2.4829205358400945E-14</v>
      </c>
      <c r="CV137" s="13">
        <f t="shared" si="149"/>
        <v>4.3867331143352915E-13</v>
      </c>
      <c r="CW137" s="20">
        <f t="shared" si="121"/>
        <v>8.0726688341261168E-13</v>
      </c>
      <c r="CX137" s="59">
        <f t="shared" si="122"/>
        <v>293.33333333333411</v>
      </c>
      <c r="CY137" s="59">
        <f ca="1">AVERAGE(OFFSET($CX$3,0,0,'Données projet'!$E$13+1,1))-AVERAGE(OFFSET($H$3,0,0,'Données projet'!$E$13+1,1))</f>
        <v>261.93797831021766</v>
      </c>
      <c r="CZ137" s="59">
        <f t="shared" si="150"/>
        <v>256.90876395053073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11.321032145429024</v>
      </c>
      <c r="DG137" s="21">
        <f>EXP(-LN(2)/25)*DG136+(1-EXP(-LN(2)/25))/(LN(2)/25)*Calculateur!DB137*Calculateur!DD137*VLOOKUP('Données projet'!$B$13,Paramètres!$A$1:$I$89,3,0)*0.475*44/12</f>
        <v>8.1662022826323177</v>
      </c>
      <c r="DH137" s="21">
        <f>EXP(-LN(2)/2)*DH136+(1-EXP(-LN(2)/2))/(LN(2)/2)*DB137*DE137*VLOOKUP('Données projet'!$B$13,Paramètres!$A$1:$I$89,3,0)*0.475*44/12</f>
        <v>3.38602376286895E-7</v>
      </c>
      <c r="DI137" s="22">
        <f t="shared" si="123"/>
        <v>19.487234766663718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10.843999999999994</v>
      </c>
      <c r="N138" s="13">
        <f>IF('Données projet'!$A$36&gt;35,N137+M138-V137,IF(A138&lt;'Données projet'!$A$36,$K$205^A138,IF(A138='Données projet'!$A$36,'Données projet'!$B$36,N137+M138-V137)))</f>
        <v>584.83000000000015</v>
      </c>
      <c r="O138" s="13">
        <f>N138*VLOOKUP('Données projet'!$B$9,Paramètres!$A$1:$I$89,3,0)*VLOOKUP('Données projet'!$B$9,Paramètres!$A$1:$I$89,5,0)</f>
        <v>529.15418400000021</v>
      </c>
      <c r="P138" s="13">
        <f t="shared" si="141"/>
        <v>117.51933552372023</v>
      </c>
      <c r="Q138" s="20">
        <f t="shared" si="108"/>
        <v>1126.2897131704797</v>
      </c>
      <c r="R138" s="59">
        <f t="shared" si="109"/>
        <v>1419.6230465038129</v>
      </c>
      <c r="S138" s="59">
        <f ca="1">AVERAGE(OFFSET($R$3,0,0,'Données projet'!$E$9+1,1))-AVERAGE(OFFSET($H$3,0,0,'Données projet'!$E$9+1,1))</f>
        <v>695.0879239758051</v>
      </c>
      <c r="T138" s="59">
        <f t="shared" si="142"/>
        <v>226.22150997227476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60.703582107648899</v>
      </c>
      <c r="AA138" s="21">
        <f>EXP(-LN(2)/25)*AA137+(1-EXP(-LN(2)/25))/(LN(2)/25)*Calculateur!V138*Calculateur!X138*VLOOKUP('Données projet'!$B$9,Paramètres!$A$1:$I$89,3,0)*0.475*44/12</f>
        <v>25.775748431806548</v>
      </c>
      <c r="AB138" s="21">
        <f>EXP(-LN(2)/2)*AB137+(1-EXP(-LN(2)/2))/(LN(2)/2)*V138*Y138*VLOOKUP('Données projet'!$B$9,Paramètres!$A$1:$I$89,3,0)*0.475*44/12</f>
        <v>1.0432685660524906E-6</v>
      </c>
      <c r="AC138" s="22">
        <f t="shared" si="111"/>
        <v>86.479331582724015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4.7884896048344674E-14</v>
      </c>
      <c r="AK138" s="13">
        <f t="shared" si="143"/>
        <v>7.8374629847779921E-13</v>
      </c>
      <c r="AL138" s="20">
        <f t="shared" si="112"/>
        <v>1.4484243304663672E-12</v>
      </c>
      <c r="AM138" s="59">
        <f t="shared" si="113"/>
        <v>293.33333333333474</v>
      </c>
      <c r="AN138" s="59">
        <f ca="1">AVERAGE(OFFSET($AM$3,0,0,'Données projet'!$E$10+1,1))-AVERAGE(OFFSET($H$3,0,0,'Données projet'!$E$10+1,1))</f>
        <v>424.81155998881928</v>
      </c>
      <c r="AO138" s="59">
        <f t="shared" si="144"/>
        <v>277.34430416544575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68.888885262439345</v>
      </c>
      <c r="AV138" s="21">
        <f>EXP(-LN(2)/25)*AV137+(1-EXP(-LN(2)/25))/(LN(2)/25)*Calculateur!AQ138*Calculateur!AS138*VLOOKUP('Données projet'!$B$10,Paramètres!$A$1:$I$89,3,0)*0.475*44/12</f>
        <v>12.521319861698776</v>
      </c>
      <c r="AW138" s="21">
        <f>EXP(-LN(2)/2)*AW137+(1-EXP(-LN(2)/2))/(LN(2)/2)*AQ138*AT138*VLOOKUP('Données projet'!$B$10,Paramètres!$A$1:$I$89,3,0)*0.475*44/12</f>
        <v>3.2036561715133023E-4</v>
      </c>
      <c r="AX138" s="21">
        <f t="shared" si="114"/>
        <v>81.410525489755273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438.70101600000095</v>
      </c>
      <c r="BF138" s="13">
        <f t="shared" si="145"/>
        <v>99.580035175975198</v>
      </c>
      <c r="BG138" s="20">
        <f t="shared" si="115"/>
        <v>937.50616413149157</v>
      </c>
      <c r="BH138" s="59">
        <f t="shared" si="116"/>
        <v>1230.8394974648249</v>
      </c>
      <c r="BI138" s="59">
        <f ca="1">AVERAGE(OFFSET($BH$3,0,0,'Données projet'!$E$11+1,1))-AVERAGE(OFFSET($H$3,0,0,'Données projet'!$E$11+1,1))</f>
        <v>706.69239849991595</v>
      </c>
      <c r="BJ138" s="59">
        <f t="shared" si="146"/>
        <v>310.59887275116529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49.163346864589606</v>
      </c>
      <c r="BQ138" s="21">
        <f>EXP(-LN(2)/25)*BQ137+(1-EXP(-LN(2)/25))/(LN(2)/25)*Calculateur!BL138*Calculateur!BN138*VLOOKUP('Données projet'!$B$11,Paramètres!$A$1:$I$89,3,0)*0.475*44/12</f>
        <v>25.909001832276324</v>
      </c>
      <c r="BR138" s="21">
        <f>EXP(-LN(2)/2)*BR137+(1-EXP(-LN(2)/2))/(LN(2)/2)*BL138*BO138*VLOOKUP('Données projet'!$B$11,Paramètres!$A$1:$I$89,3,0)*0.475*44/12</f>
        <v>0.12644437816943682</v>
      </c>
      <c r="BS138" s="22">
        <f t="shared" si="117"/>
        <v>75.198793075035368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2.5579538487363607E-13</v>
      </c>
      <c r="BZ138" s="13">
        <f>BY138*VLOOKUP('Données projet'!$B$12,Paramètres!$A$1:$I$89,3,0)*VLOOKUP('Données projet'!$B$12,Paramètres!$A$1:$I$89,5,0)</f>
        <v>2.4341488824575211E-13</v>
      </c>
      <c r="CA138" s="13">
        <f t="shared" si="147"/>
        <v>3.2970717324875541E-12</v>
      </c>
      <c r="CB138" s="20">
        <f t="shared" si="118"/>
        <v>6.1663475311105072E-12</v>
      </c>
      <c r="CC138" s="59">
        <f t="shared" si="119"/>
        <v>293.33333333333945</v>
      </c>
      <c r="CD138" s="59">
        <f ca="1">AVERAGE(OFFSET($CC$3,0,0,'Données projet'!$E$12+1,1))-AVERAGE(OFFSET($H$3,0,0,'Données projet'!$E$12+1,1))</f>
        <v>449.28947235329758</v>
      </c>
      <c r="CE138" s="59">
        <f t="shared" si="148"/>
        <v>289.36994109443964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107.60876276531587</v>
      </c>
      <c r="CL138" s="21">
        <f>EXP(-LN(2)/25)*CL137+(1-EXP(-LN(2)/25))/(LN(2)/25)*Calculateur!CG138*Calculateur!CI138*VLOOKUP('Données projet'!$B$12,Paramètres!$A$1:$I$89,3,0)*0.475*44/12</f>
        <v>21.553674306343815</v>
      </c>
      <c r="CM138" s="21">
        <f>EXP(-LN(2)/2)*CM137+(1-EXP(-LN(2)/2))/(LN(2)/2)*CG138*CJ138*VLOOKUP('Données projet'!$B$12,Paramètres!$A$1:$I$89,3,0)*0.475*44/12</f>
        <v>1.2659763992487778</v>
      </c>
      <c r="CN138" s="22">
        <f t="shared" si="120"/>
        <v>130.42841347090848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2.4829205358400945E-14</v>
      </c>
      <c r="CV138" s="13">
        <f t="shared" si="149"/>
        <v>4.3867331143352915E-13</v>
      </c>
      <c r="CW138" s="20">
        <f t="shared" si="121"/>
        <v>8.0726688341261168E-13</v>
      </c>
      <c r="CX138" s="59">
        <f t="shared" si="122"/>
        <v>293.33333333333411</v>
      </c>
      <c r="CY138" s="59">
        <f ca="1">AVERAGE(OFFSET($CX$3,0,0,'Données projet'!$E$13+1,1))-AVERAGE(OFFSET($H$3,0,0,'Données projet'!$E$13+1,1))</f>
        <v>261.93797831021766</v>
      </c>
      <c r="CZ138" s="59">
        <f t="shared" si="150"/>
        <v>256.90876395053073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11.099033610204943</v>
      </c>
      <c r="DG138" s="21">
        <f>EXP(-LN(2)/25)*DG137+(1-EXP(-LN(2)/25))/(LN(2)/25)*Calculateur!DB138*Calculateur!DD138*VLOOKUP('Données projet'!$B$13,Paramètres!$A$1:$I$89,3,0)*0.475*44/12</f>
        <v>7.9428970517718227</v>
      </c>
      <c r="DH138" s="21">
        <f>EXP(-LN(2)/2)*DH137+(1-EXP(-LN(2)/2))/(LN(2)/2)*DB138*DE138*VLOOKUP('Données projet'!$B$13,Paramètres!$A$1:$I$89,3,0)*0.475*44/12</f>
        <v>2.3942803639834249E-7</v>
      </c>
      <c r="DI138" s="22">
        <f t="shared" si="123"/>
        <v>19.0419309014048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10.843999999999994</v>
      </c>
      <c r="N139" s="13">
        <f>IF('Données projet'!$A$36&gt;35,N138+M139-V138,IF(A139&lt;'Données projet'!$A$36,$K$205^A139,IF(A139='Données projet'!$A$36,'Données projet'!$B$36,N138+M139-V138)))</f>
        <v>595.67400000000021</v>
      </c>
      <c r="O139" s="13">
        <f>N139*VLOOKUP('Données projet'!$B$9,Paramètres!$A$1:$I$89,3,0)*VLOOKUP('Données projet'!$B$9,Paramètres!$A$1:$I$89,5,0)</f>
        <v>538.96583520000013</v>
      </c>
      <c r="P139" s="13">
        <f t="shared" si="141"/>
        <v>119.44268934083149</v>
      </c>
      <c r="Q139" s="20">
        <f t="shared" si="108"/>
        <v>1146.7281802419484</v>
      </c>
      <c r="R139" s="59">
        <f t="shared" si="109"/>
        <v>1440.0615135752817</v>
      </c>
      <c r="S139" s="59">
        <f ca="1">AVERAGE(OFFSET($R$3,0,0,'Données projet'!$E$9+1,1))-AVERAGE(OFFSET($H$3,0,0,'Données projet'!$E$9+1,1))</f>
        <v>695.0879239758051</v>
      </c>
      <c r="T139" s="59">
        <f t="shared" si="142"/>
        <v>226.22150997227476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59.513221888047021</v>
      </c>
      <c r="AA139" s="21">
        <f>EXP(-LN(2)/25)*AA138+(1-EXP(-LN(2)/25))/(LN(2)/25)*Calculateur!V139*Calculateur!X139*VLOOKUP('Données projet'!$B$9,Paramètres!$A$1:$I$89,3,0)*0.475*44/12</f>
        <v>25.070909235451101</v>
      </c>
      <c r="AB139" s="21">
        <f>EXP(-LN(2)/2)*AB138+(1-EXP(-LN(2)/2))/(LN(2)/2)*V139*Y139*VLOOKUP('Données projet'!$B$9,Paramètres!$A$1:$I$89,3,0)*0.475*44/12</f>
        <v>7.3770227765448166E-7</v>
      </c>
      <c r="AC139" s="22">
        <f t="shared" si="111"/>
        <v>84.584131861200405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4.7884896048344674E-14</v>
      </c>
      <c r="AK139" s="13">
        <f t="shared" si="143"/>
        <v>7.8374629847779921E-13</v>
      </c>
      <c r="AL139" s="20">
        <f t="shared" si="112"/>
        <v>1.4484243304663672E-12</v>
      </c>
      <c r="AM139" s="59">
        <f t="shared" si="113"/>
        <v>293.33333333333474</v>
      </c>
      <c r="AN139" s="59">
        <f ca="1">AVERAGE(OFFSET($AM$3,0,0,'Données projet'!$E$10+1,1))-AVERAGE(OFFSET($H$3,0,0,'Données projet'!$E$10+1,1))</f>
        <v>424.81155998881928</v>
      </c>
      <c r="AO139" s="59">
        <f t="shared" si="144"/>
        <v>277.34430416544575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67.538016240513983</v>
      </c>
      <c r="AV139" s="21">
        <f>EXP(-LN(2)/25)*AV138+(1-EXP(-LN(2)/25))/(LN(2)/25)*Calculateur!AQ139*Calculateur!AS139*VLOOKUP('Données projet'!$B$10,Paramètres!$A$1:$I$89,3,0)*0.475*44/12</f>
        <v>12.178923711613029</v>
      </c>
      <c r="AW139" s="21">
        <f>EXP(-LN(2)/2)*AW138+(1-EXP(-LN(2)/2))/(LN(2)/2)*AQ139*AT139*VLOOKUP('Données projet'!$B$10,Paramètres!$A$1:$I$89,3,0)*0.475*44/12</f>
        <v>2.2653270034671892E-4</v>
      </c>
      <c r="AX139" s="21">
        <f t="shared" si="114"/>
        <v>79.717166484827359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447.97303200000096</v>
      </c>
      <c r="BF139" s="13">
        <f t="shared" si="145"/>
        <v>101.43742531380877</v>
      </c>
      <c r="BG139" s="20">
        <f t="shared" si="115"/>
        <v>956.88987982155186</v>
      </c>
      <c r="BH139" s="59">
        <f t="shared" si="116"/>
        <v>1250.2232131548851</v>
      </c>
      <c r="BI139" s="59">
        <f ca="1">AVERAGE(OFFSET($BH$3,0,0,'Données projet'!$E$11+1,1))-AVERAGE(OFFSET($H$3,0,0,'Données projet'!$E$11+1,1))</f>
        <v>706.69239849991595</v>
      </c>
      <c r="BJ139" s="59">
        <f t="shared" si="146"/>
        <v>310.59887275116529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48.199283619255652</v>
      </c>
      <c r="BQ139" s="21">
        <f>EXP(-LN(2)/25)*BQ138+(1-EXP(-LN(2)/25))/(LN(2)/25)*Calculateur!BL139*Calculateur!BN139*VLOOKUP('Données projet'!$B$11,Paramètres!$A$1:$I$89,3,0)*0.475*44/12</f>
        <v>25.200518814677537</v>
      </c>
      <c r="BR139" s="21">
        <f>EXP(-LN(2)/2)*BR138+(1-EXP(-LN(2)/2))/(LN(2)/2)*BL139*BO139*VLOOKUP('Données projet'!$B$11,Paramètres!$A$1:$I$89,3,0)*0.475*44/12</f>
        <v>8.9409677246525029E-2</v>
      </c>
      <c r="BS139" s="22">
        <f t="shared" si="117"/>
        <v>73.489212111179711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2.5579538487363607E-13</v>
      </c>
      <c r="BZ139" s="13">
        <f>BY139*VLOOKUP('Données projet'!$B$12,Paramètres!$A$1:$I$89,3,0)*VLOOKUP('Données projet'!$B$12,Paramètres!$A$1:$I$89,5,0)</f>
        <v>2.4341488824575211E-13</v>
      </c>
      <c r="CA139" s="13">
        <f t="shared" si="147"/>
        <v>3.2970717324875541E-12</v>
      </c>
      <c r="CB139" s="20">
        <f t="shared" si="118"/>
        <v>6.1663475311105072E-12</v>
      </c>
      <c r="CC139" s="59">
        <f t="shared" si="119"/>
        <v>293.33333333333945</v>
      </c>
      <c r="CD139" s="59">
        <f ca="1">AVERAGE(OFFSET($CC$3,0,0,'Données projet'!$E$12+1,1))-AVERAGE(OFFSET($H$3,0,0,'Données projet'!$E$12+1,1))</f>
        <v>449.28947235329758</v>
      </c>
      <c r="CE139" s="59">
        <f t="shared" si="148"/>
        <v>289.36994109443964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105.49862056235241</v>
      </c>
      <c r="CL139" s="21">
        <f>EXP(-LN(2)/25)*CL138+(1-EXP(-LN(2)/25))/(LN(2)/25)*Calculateur!CG139*Calculateur!CI139*VLOOKUP('Données projet'!$B$12,Paramètres!$A$1:$I$89,3,0)*0.475*44/12</f>
        <v>20.964287948978374</v>
      </c>
      <c r="CM139" s="21">
        <f>EXP(-LN(2)/2)*CM138+(1-EXP(-LN(2)/2))/(LN(2)/2)*CG139*CJ139*VLOOKUP('Données projet'!$B$12,Paramètres!$A$1:$I$89,3,0)*0.475*44/12</f>
        <v>0.89518049673093891</v>
      </c>
      <c r="CN139" s="22">
        <f t="shared" si="120"/>
        <v>127.35808900806174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2.4829205358400945E-14</v>
      </c>
      <c r="CV139" s="13">
        <f t="shared" si="149"/>
        <v>4.3867331143352915E-13</v>
      </c>
      <c r="CW139" s="20">
        <f t="shared" si="121"/>
        <v>8.0726688341261168E-13</v>
      </c>
      <c r="CX139" s="59">
        <f t="shared" si="122"/>
        <v>293.33333333333411</v>
      </c>
      <c r="CY139" s="59">
        <f ca="1">AVERAGE(OFFSET($CX$3,0,0,'Données projet'!$E$13+1,1))-AVERAGE(OFFSET($H$3,0,0,'Données projet'!$E$13+1,1))</f>
        <v>261.93797831021766</v>
      </c>
      <c r="CZ139" s="59">
        <f t="shared" si="150"/>
        <v>256.90876395053073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10.88138833085087</v>
      </c>
      <c r="DG139" s="21">
        <f>EXP(-LN(2)/25)*DG138+(1-EXP(-LN(2)/25))/(LN(2)/25)*Calculateur!DB139*Calculateur!DD139*VLOOKUP('Données projet'!$B$13,Paramètres!$A$1:$I$89,3,0)*0.475*44/12</f>
        <v>7.72569811419232</v>
      </c>
      <c r="DH139" s="21">
        <f>EXP(-LN(2)/2)*DH138+(1-EXP(-LN(2)/2))/(LN(2)/2)*DB139*DE139*VLOOKUP('Données projet'!$B$13,Paramètres!$A$1:$I$89,3,0)*0.475*44/12</f>
        <v>1.693011881434475E-7</v>
      </c>
      <c r="DI139" s="22">
        <f t="shared" si="123"/>
        <v>18.607086614344379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10.843999999999994</v>
      </c>
      <c r="N140" s="13">
        <f>IF('Données projet'!$A$36&gt;35,N139+M140-V139,IF(A140&lt;'Données projet'!$A$36,$K$205^A140,IF(A140='Données projet'!$A$36,'Données projet'!$B$36,N139+M140-V139)))</f>
        <v>606.51800000000026</v>
      </c>
      <c r="O140" s="13">
        <f>N140*VLOOKUP('Données projet'!$B$9,Paramètres!$A$1:$I$89,3,0)*VLOOKUP('Données projet'!$B$9,Paramètres!$A$1:$I$89,5,0)</f>
        <v>548.77748640000016</v>
      </c>
      <c r="P140" s="13">
        <f t="shared" si="141"/>
        <v>121.36197162144936</v>
      </c>
      <c r="Q140" s="20">
        <f t="shared" si="108"/>
        <v>1167.1595560540247</v>
      </c>
      <c r="R140" s="59">
        <f t="shared" si="109"/>
        <v>1460.492889387358</v>
      </c>
      <c r="S140" s="59">
        <f ca="1">AVERAGE(OFFSET($R$3,0,0,'Données projet'!$E$9+1,1))-AVERAGE(OFFSET($H$3,0,0,'Données projet'!$E$9+1,1))</f>
        <v>695.0879239758051</v>
      </c>
      <c r="T140" s="59">
        <f t="shared" si="142"/>
        <v>226.22150997227476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58.346203906303494</v>
      </c>
      <c r="AA140" s="21">
        <f>EXP(-LN(2)/25)*AA139+(1-EXP(-LN(2)/25))/(LN(2)/25)*Calculateur!V140*Calculateur!X140*VLOOKUP('Données projet'!$B$9,Paramètres!$A$1:$I$89,3,0)*0.475*44/12</f>
        <v>24.385343903985873</v>
      </c>
      <c r="AB140" s="21">
        <f>EXP(-LN(2)/2)*AB139+(1-EXP(-LN(2)/2))/(LN(2)/2)*V140*Y140*VLOOKUP('Données projet'!$B$9,Paramètres!$A$1:$I$89,3,0)*0.475*44/12</f>
        <v>5.2163428302624528E-7</v>
      </c>
      <c r="AC140" s="22">
        <f t="shared" si="111"/>
        <v>82.731548331923648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4.7884896048344674E-14</v>
      </c>
      <c r="AK140" s="13">
        <f t="shared" si="143"/>
        <v>7.8374629847779921E-13</v>
      </c>
      <c r="AL140" s="20">
        <f t="shared" si="112"/>
        <v>1.4484243304663672E-12</v>
      </c>
      <c r="AM140" s="59">
        <f t="shared" si="113"/>
        <v>293.33333333333474</v>
      </c>
      <c r="AN140" s="59">
        <f ca="1">AVERAGE(OFFSET($AM$3,0,0,'Données projet'!$E$10+1,1))-AVERAGE(OFFSET($H$3,0,0,'Données projet'!$E$10+1,1))</f>
        <v>424.81155998881928</v>
      </c>
      <c r="AO140" s="59">
        <f t="shared" si="144"/>
        <v>277.34430416544575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66.21363693615983</v>
      </c>
      <c r="AV140" s="21">
        <f>EXP(-LN(2)/25)*AV139+(1-EXP(-LN(2)/25))/(LN(2)/25)*Calculateur!AQ140*Calculateur!AS140*VLOOKUP('Données projet'!$B$10,Paramètres!$A$1:$I$89,3,0)*0.475*44/12</f>
        <v>11.845890402257208</v>
      </c>
      <c r="AW140" s="21">
        <f>EXP(-LN(2)/2)*AW139+(1-EXP(-LN(2)/2))/(LN(2)/2)*AQ140*AT140*VLOOKUP('Données projet'!$B$10,Paramètres!$A$1:$I$89,3,0)*0.475*44/12</f>
        <v>1.6018280857566511E-4</v>
      </c>
      <c r="AX140" s="21">
        <f t="shared" si="114"/>
        <v>78.059687521225612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457.24504800000096</v>
      </c>
      <c r="BF140" s="13">
        <f t="shared" si="145"/>
        <v>103.29034565107023</v>
      </c>
      <c r="BG140" s="20">
        <f t="shared" si="115"/>
        <v>976.26581060894898</v>
      </c>
      <c r="BH140" s="59">
        <f t="shared" si="116"/>
        <v>1269.5991439422824</v>
      </c>
      <c r="BI140" s="59">
        <f ca="1">AVERAGE(OFFSET($BH$3,0,0,'Données projet'!$E$11+1,1))-AVERAGE(OFFSET($H$3,0,0,'Données projet'!$E$11+1,1))</f>
        <v>706.69239849991595</v>
      </c>
      <c r="BJ140" s="59">
        <f t="shared" si="146"/>
        <v>310.59887275116529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47.25412506614218</v>
      </c>
      <c r="BQ140" s="21">
        <f>EXP(-LN(2)/25)*BQ139+(1-EXP(-LN(2)/25))/(LN(2)/25)*Calculateur!BL140*Calculateur!BN140*VLOOKUP('Données projet'!$B$11,Paramètres!$A$1:$I$89,3,0)*0.475*44/12</f>
        <v>24.511409302452492</v>
      </c>
      <c r="BR140" s="21">
        <f>EXP(-LN(2)/2)*BR139+(1-EXP(-LN(2)/2))/(LN(2)/2)*BL140*BO140*VLOOKUP('Données projet'!$B$11,Paramètres!$A$1:$I$89,3,0)*0.475*44/12</f>
        <v>6.3222189084718411E-2</v>
      </c>
      <c r="BS140" s="22">
        <f t="shared" si="117"/>
        <v>71.828756557679384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2.5579538487363607E-13</v>
      </c>
      <c r="BZ140" s="13">
        <f>BY140*VLOOKUP('Données projet'!$B$12,Paramètres!$A$1:$I$89,3,0)*VLOOKUP('Données projet'!$B$12,Paramètres!$A$1:$I$89,5,0)</f>
        <v>2.4341488824575211E-13</v>
      </c>
      <c r="CA140" s="13">
        <f t="shared" si="147"/>
        <v>3.2970717324875541E-12</v>
      </c>
      <c r="CB140" s="20">
        <f t="shared" si="118"/>
        <v>6.1663475311105072E-12</v>
      </c>
      <c r="CC140" s="59">
        <f t="shared" si="119"/>
        <v>293.33333333333945</v>
      </c>
      <c r="CD140" s="59">
        <f ca="1">AVERAGE(OFFSET($CC$3,0,0,'Données projet'!$E$12+1,1))-AVERAGE(OFFSET($H$3,0,0,'Données projet'!$E$12+1,1))</f>
        <v>449.28947235329758</v>
      </c>
      <c r="CE140" s="59">
        <f t="shared" si="148"/>
        <v>289.36994109443964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103.42985696092941</v>
      </c>
      <c r="CL140" s="21">
        <f>EXP(-LN(2)/25)*CL139+(1-EXP(-LN(2)/25))/(LN(2)/25)*Calculateur!CG140*Calculateur!CI140*VLOOKUP('Données projet'!$B$12,Paramètres!$A$1:$I$89,3,0)*0.475*44/12</f>
        <v>20.391018392549572</v>
      </c>
      <c r="CM140" s="21">
        <f>EXP(-LN(2)/2)*CM139+(1-EXP(-LN(2)/2))/(LN(2)/2)*CG140*CJ140*VLOOKUP('Données projet'!$B$12,Paramètres!$A$1:$I$89,3,0)*0.475*44/12</f>
        <v>0.63298819962438901</v>
      </c>
      <c r="CN140" s="22">
        <f t="shared" si="120"/>
        <v>124.45386355310337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2.4829205358400945E-14</v>
      </c>
      <c r="CV140" s="13">
        <f t="shared" si="149"/>
        <v>4.3867331143352915E-13</v>
      </c>
      <c r="CW140" s="20">
        <f t="shared" si="121"/>
        <v>8.0726688341261168E-13</v>
      </c>
      <c r="CX140" s="59">
        <f t="shared" si="122"/>
        <v>293.33333333333411</v>
      </c>
      <c r="CY140" s="59">
        <f ca="1">AVERAGE(OFFSET($CX$3,0,0,'Données projet'!$E$13+1,1))-AVERAGE(OFFSET($H$3,0,0,'Données projet'!$E$13+1,1))</f>
        <v>261.93797831021766</v>
      </c>
      <c r="CZ140" s="59">
        <f t="shared" si="150"/>
        <v>256.90876395053073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10.668010942674417</v>
      </c>
      <c r="DG140" s="21">
        <f>EXP(-LN(2)/25)*DG139+(1-EXP(-LN(2)/25))/(LN(2)/25)*Calculateur!DB140*Calculateur!DD140*VLOOKUP('Données projet'!$B$13,Paramètres!$A$1:$I$89,3,0)*0.475*44/12</f>
        <v>7.5144384929829249</v>
      </c>
      <c r="DH140" s="21">
        <f>EXP(-LN(2)/2)*DH139+(1-EXP(-LN(2)/2))/(LN(2)/2)*DB140*DE140*VLOOKUP('Données projet'!$B$13,Paramètres!$A$1:$I$89,3,0)*0.475*44/12</f>
        <v>1.1971401819917124E-7</v>
      </c>
      <c r="DI140" s="22">
        <f t="shared" si="123"/>
        <v>18.18244955537136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10.843999999999994</v>
      </c>
      <c r="N141" s="13">
        <f>IF('Données projet'!$A$36&gt;35,N140+M141-V140,IF(A141&lt;'Données projet'!$A$36,$K$205^A141,IF(A141='Données projet'!$A$36,'Données projet'!$B$36,N140+M141-V140)))</f>
        <v>617.36200000000031</v>
      </c>
      <c r="O141" s="13">
        <f>N141*VLOOKUP('Données projet'!$B$9,Paramètres!$A$1:$I$89,3,0)*VLOOKUP('Données projet'!$B$9,Paramètres!$A$1:$I$89,5,0)</f>
        <v>558.5891376000003</v>
      </c>
      <c r="P141" s="13">
        <f t="shared" si="141"/>
        <v>123.27726355861266</v>
      </c>
      <c r="Q141" s="20">
        <f t="shared" si="108"/>
        <v>1187.5839820179174</v>
      </c>
      <c r="R141" s="59">
        <f t="shared" si="109"/>
        <v>1480.9173153512506</v>
      </c>
      <c r="S141" s="59">
        <f ca="1">AVERAGE(OFFSET($R$3,0,0,'Données projet'!$E$9+1,1))-AVERAGE(OFFSET($H$3,0,0,'Données projet'!$E$9+1,1))</f>
        <v>695.0879239758051</v>
      </c>
      <c r="T141" s="59">
        <f t="shared" si="142"/>
        <v>226.22150997227476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57.202070435371276</v>
      </c>
      <c r="AA141" s="21">
        <f>EXP(-LN(2)/25)*AA140+(1-EXP(-LN(2)/25))/(LN(2)/25)*Calculateur!V141*Calculateur!X141*VLOOKUP('Données projet'!$B$9,Paramètres!$A$1:$I$89,3,0)*0.475*44/12</f>
        <v>23.718525392561876</v>
      </c>
      <c r="AB141" s="21">
        <f>EXP(-LN(2)/2)*AB140+(1-EXP(-LN(2)/2))/(LN(2)/2)*V141*Y141*VLOOKUP('Données projet'!$B$9,Paramètres!$A$1:$I$89,3,0)*0.475*44/12</f>
        <v>3.6885113882724083E-7</v>
      </c>
      <c r="AC141" s="22">
        <f t="shared" si="111"/>
        <v>80.920596196784288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4.7884896048344674E-14</v>
      </c>
      <c r="AK141" s="13">
        <f t="shared" si="143"/>
        <v>7.8374629847779921E-13</v>
      </c>
      <c r="AL141" s="20">
        <f t="shared" si="112"/>
        <v>1.4484243304663672E-12</v>
      </c>
      <c r="AM141" s="59">
        <f t="shared" si="113"/>
        <v>293.33333333333474</v>
      </c>
      <c r="AN141" s="59">
        <f ca="1">AVERAGE(OFFSET($AM$3,0,0,'Données projet'!$E$10+1,1))-AVERAGE(OFFSET($H$3,0,0,'Données projet'!$E$10+1,1))</f>
        <v>424.81155998881928</v>
      </c>
      <c r="AO141" s="59">
        <f t="shared" si="144"/>
        <v>277.34430416544575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64.915227902172447</v>
      </c>
      <c r="AV141" s="21">
        <f>EXP(-LN(2)/25)*AV140+(1-EXP(-LN(2)/25))/(LN(2)/25)*Calculateur!AQ141*Calculateur!AS141*VLOOKUP('Données projet'!$B$10,Paramètres!$A$1:$I$89,3,0)*0.475*44/12</f>
        <v>11.521963906259183</v>
      </c>
      <c r="AW141" s="21">
        <f>EXP(-LN(2)/2)*AW140+(1-EXP(-LN(2)/2))/(LN(2)/2)*AQ141*AT141*VLOOKUP('Données projet'!$B$10,Paramètres!$A$1:$I$89,3,0)*0.475*44/12</f>
        <v>1.1326635017335946E-4</v>
      </c>
      <c r="AX141" s="21">
        <f t="shared" si="114"/>
        <v>76.437305074781804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466.51706400000097</v>
      </c>
      <c r="BF141" s="13">
        <f t="shared" si="145"/>
        <v>105.13889727137632</v>
      </c>
      <c r="BG141" s="20">
        <f t="shared" si="115"/>
        <v>995.63413254764862</v>
      </c>
      <c r="BH141" s="59">
        <f t="shared" si="116"/>
        <v>1288.967465880982</v>
      </c>
      <c r="BI141" s="59">
        <f ca="1">AVERAGE(OFFSET($BH$3,0,0,'Données projet'!$E$11+1,1))-AVERAGE(OFFSET($H$3,0,0,'Données projet'!$E$11+1,1))</f>
        <v>706.69239849991595</v>
      </c>
      <c r="BJ141" s="59">
        <f t="shared" si="146"/>
        <v>310.59887275116529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46.32750049576547</v>
      </c>
      <c r="BQ141" s="21">
        <f>EXP(-LN(2)/25)*BQ140+(1-EXP(-LN(2)/25))/(LN(2)/25)*Calculateur!BL141*Calculateur!BN141*VLOOKUP('Données projet'!$B$11,Paramètres!$A$1:$I$89,3,0)*0.475*44/12</f>
        <v>23.841143526077936</v>
      </c>
      <c r="BR141" s="21">
        <f>EXP(-LN(2)/2)*BR140+(1-EXP(-LN(2)/2))/(LN(2)/2)*BL141*BO141*VLOOKUP('Données projet'!$B$11,Paramètres!$A$1:$I$89,3,0)*0.475*44/12</f>
        <v>4.4704838623262515E-2</v>
      </c>
      <c r="BS141" s="22">
        <f t="shared" si="117"/>
        <v>70.213348860466667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2.5579538487363607E-13</v>
      </c>
      <c r="BZ141" s="13">
        <f>BY141*VLOOKUP('Données projet'!$B$12,Paramètres!$A$1:$I$89,3,0)*VLOOKUP('Données projet'!$B$12,Paramètres!$A$1:$I$89,5,0)</f>
        <v>2.4341488824575211E-13</v>
      </c>
      <c r="CA141" s="13">
        <f t="shared" si="147"/>
        <v>3.2970717324875541E-12</v>
      </c>
      <c r="CB141" s="20">
        <f t="shared" si="118"/>
        <v>6.1663475311105072E-12</v>
      </c>
      <c r="CC141" s="59">
        <f t="shared" si="119"/>
        <v>293.33333333333945</v>
      </c>
      <c r="CD141" s="59">
        <f ca="1">AVERAGE(OFFSET($CC$3,0,0,'Données projet'!$E$12+1,1))-AVERAGE(OFFSET($H$3,0,0,'Données projet'!$E$12+1,1))</f>
        <v>449.28947235329758</v>
      </c>
      <c r="CE141" s="59">
        <f t="shared" si="148"/>
        <v>289.36994109443964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101.40166055190912</v>
      </c>
      <c r="CL141" s="21">
        <f>EXP(-LN(2)/25)*CL140+(1-EXP(-LN(2)/25))/(LN(2)/25)*Calculateur!CG141*Calculateur!CI141*VLOOKUP('Données projet'!$B$12,Paramètres!$A$1:$I$89,3,0)*0.475*44/12</f>
        <v>19.833424922288252</v>
      </c>
      <c r="CM141" s="21">
        <f>EXP(-LN(2)/2)*CM140+(1-EXP(-LN(2)/2))/(LN(2)/2)*CG141*CJ141*VLOOKUP('Données projet'!$B$12,Paramètres!$A$1:$I$89,3,0)*0.475*44/12</f>
        <v>0.44759024836546951</v>
      </c>
      <c r="CN141" s="22">
        <f t="shared" si="120"/>
        <v>121.68267572256285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2.4829205358400945E-14</v>
      </c>
      <c r="CV141" s="13">
        <f t="shared" si="149"/>
        <v>4.3867331143352915E-13</v>
      </c>
      <c r="CW141" s="20">
        <f t="shared" si="121"/>
        <v>8.0726688341261168E-13</v>
      </c>
      <c r="CX141" s="59">
        <f t="shared" si="122"/>
        <v>293.33333333333411</v>
      </c>
      <c r="CY141" s="59">
        <f ca="1">AVERAGE(OFFSET($CX$3,0,0,'Données projet'!$E$13+1,1))-AVERAGE(OFFSET($H$3,0,0,'Données projet'!$E$13+1,1))</f>
        <v>261.93797831021766</v>
      </c>
      <c r="CZ141" s="59">
        <f t="shared" si="150"/>
        <v>256.90876395053073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10.458817754932749</v>
      </c>
      <c r="DG141" s="21">
        <f>EXP(-LN(2)/25)*DG140+(1-EXP(-LN(2)/25))/(LN(2)/25)*Calculateur!DB141*Calculateur!DD141*VLOOKUP('Données projet'!$B$13,Paramètres!$A$1:$I$89,3,0)*0.475*44/12</f>
        <v>7.3089557772251608</v>
      </c>
      <c r="DH141" s="21">
        <f>EXP(-LN(2)/2)*DH140+(1-EXP(-LN(2)/2))/(LN(2)/2)*DB141*DE141*VLOOKUP('Données projet'!$B$13,Paramètres!$A$1:$I$89,3,0)*0.475*44/12</f>
        <v>8.465059407172375E-8</v>
      </c>
      <c r="DI141" s="22">
        <f t="shared" si="123"/>
        <v>17.767773616808505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10.843999999999994</v>
      </c>
      <c r="N142" s="13">
        <f>IF('Données projet'!$A$36&gt;35,N141+M142-V141,IF(A142&lt;'Données projet'!$A$36,$K$205^A142,IF(A142='Données projet'!$A$36,'Données projet'!$B$36,N141+M142-V141)))</f>
        <v>628.20600000000036</v>
      </c>
      <c r="O142" s="13">
        <f>N142*VLOOKUP('Données projet'!$B$9,Paramètres!$A$1:$I$89,3,0)*VLOOKUP('Données projet'!$B$9,Paramètres!$A$1:$I$89,5,0)</f>
        <v>568.40078880000033</v>
      </c>
      <c r="P142" s="13">
        <f t="shared" si="141"/>
        <v>125.1886433296535</v>
      </c>
      <c r="Q142" s="20">
        <f t="shared" si="108"/>
        <v>1208.0015942924804</v>
      </c>
      <c r="R142" s="59">
        <f t="shared" si="109"/>
        <v>1501.3349276258136</v>
      </c>
      <c r="S142" s="59">
        <f ca="1">AVERAGE(OFFSET($R$3,0,0,'Données projet'!$E$9+1,1))-AVERAGE(OFFSET($H$3,0,0,'Données projet'!$E$9+1,1))</f>
        <v>695.0879239758051</v>
      </c>
      <c r="T142" s="59">
        <f t="shared" si="142"/>
        <v>226.22150997227476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56.080372723951527</v>
      </c>
      <c r="AA142" s="21">
        <f>EXP(-LN(2)/25)*AA141+(1-EXP(-LN(2)/25))/(LN(2)/25)*Calculateur!V142*Calculateur!X142*VLOOKUP('Données projet'!$B$9,Paramètres!$A$1:$I$89,3,0)*0.475*44/12</f>
        <v>23.069941068399231</v>
      </c>
      <c r="AB142" s="21">
        <f>EXP(-LN(2)/2)*AB141+(1-EXP(-LN(2)/2))/(LN(2)/2)*V142*Y142*VLOOKUP('Données projet'!$B$9,Paramètres!$A$1:$I$89,3,0)*0.475*44/12</f>
        <v>2.6081714151312264E-7</v>
      </c>
      <c r="AC142" s="22">
        <f t="shared" si="111"/>
        <v>79.150314053167904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4.7884896048344674E-14</v>
      </c>
      <c r="AK142" s="13">
        <f t="shared" si="143"/>
        <v>7.8374629847779921E-13</v>
      </c>
      <c r="AL142" s="20">
        <f t="shared" si="112"/>
        <v>1.4484243304663672E-12</v>
      </c>
      <c r="AM142" s="59">
        <f t="shared" si="113"/>
        <v>293.33333333333474</v>
      </c>
      <c r="AN142" s="59">
        <f ca="1">AVERAGE(OFFSET($AM$3,0,0,'Données projet'!$E$10+1,1))-AVERAGE(OFFSET($H$3,0,0,'Données projet'!$E$10+1,1))</f>
        <v>424.81155998881928</v>
      </c>
      <c r="AO142" s="59">
        <f t="shared" si="144"/>
        <v>277.34430416544575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63.642279877390244</v>
      </c>
      <c r="AV142" s="21">
        <f>EXP(-LN(2)/25)*AV141+(1-EXP(-LN(2)/25))/(LN(2)/25)*Calculateur!AQ142*Calculateur!AS142*VLOOKUP('Données projet'!$B$10,Paramètres!$A$1:$I$89,3,0)*0.475*44/12</f>
        <v>11.206895197328777</v>
      </c>
      <c r="AW142" s="21">
        <f>EXP(-LN(2)/2)*AW141+(1-EXP(-LN(2)/2))/(LN(2)/2)*AQ142*AT142*VLOOKUP('Données projet'!$B$10,Paramètres!$A$1:$I$89,3,0)*0.475*44/12</f>
        <v>8.0091404287832557E-5</v>
      </c>
      <c r="AX142" s="21">
        <f t="shared" si="114"/>
        <v>74.849255166123314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475.78908000000098</v>
      </c>
      <c r="BF142" s="13">
        <f t="shared" si="145"/>
        <v>106.98317701049932</v>
      </c>
      <c r="BG142" s="20">
        <f t="shared" si="115"/>
        <v>1014.9950142932879</v>
      </c>
      <c r="BH142" s="59">
        <f t="shared" si="116"/>
        <v>1308.3283476266213</v>
      </c>
      <c r="BI142" s="59">
        <f ca="1">AVERAGE(OFFSET($BH$3,0,0,'Données projet'!$E$11+1,1))-AVERAGE(OFFSET($H$3,0,0,'Données projet'!$E$11+1,1))</f>
        <v>706.69239849991595</v>
      </c>
      <c r="BJ142" s="59">
        <f t="shared" si="146"/>
        <v>310.59887275116529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45.419046468028668</v>
      </c>
      <c r="BQ142" s="21">
        <f>EXP(-LN(2)/25)*BQ141+(1-EXP(-LN(2)/25))/(LN(2)/25)*Calculateur!BL142*Calculateur!BN142*VLOOKUP('Données projet'!$B$11,Paramètres!$A$1:$I$89,3,0)*0.475*44/12</f>
        <v>23.189206202606087</v>
      </c>
      <c r="BR142" s="21">
        <f>EXP(-LN(2)/2)*BR141+(1-EXP(-LN(2)/2))/(LN(2)/2)*BL142*BO142*VLOOKUP('Données projet'!$B$11,Paramètres!$A$1:$I$89,3,0)*0.475*44/12</f>
        <v>3.1611094542359205E-2</v>
      </c>
      <c r="BS142" s="22">
        <f t="shared" si="117"/>
        <v>68.639863765177111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2.5579538487363607E-13</v>
      </c>
      <c r="BZ142" s="13">
        <f>BY142*VLOOKUP('Données projet'!$B$12,Paramètres!$A$1:$I$89,3,0)*VLOOKUP('Données projet'!$B$12,Paramètres!$A$1:$I$89,5,0)</f>
        <v>2.4341488824575211E-13</v>
      </c>
      <c r="CA142" s="13">
        <f t="shared" si="147"/>
        <v>3.2970717324875541E-12</v>
      </c>
      <c r="CB142" s="20">
        <f t="shared" si="118"/>
        <v>6.1663475311105072E-12</v>
      </c>
      <c r="CC142" s="59">
        <f t="shared" si="119"/>
        <v>293.33333333333945</v>
      </c>
      <c r="CD142" s="59">
        <f ca="1">AVERAGE(OFFSET($CC$3,0,0,'Données projet'!$E$12+1,1))-AVERAGE(OFFSET($H$3,0,0,'Données projet'!$E$12+1,1))</f>
        <v>449.28947235329758</v>
      </c>
      <c r="CE142" s="59">
        <f t="shared" si="148"/>
        <v>289.36994109443964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99.413235837392037</v>
      </c>
      <c r="CL142" s="21">
        <f>EXP(-LN(2)/25)*CL141+(1-EXP(-LN(2)/25))/(LN(2)/25)*Calculateur!CG142*Calculateur!CI142*VLOOKUP('Données projet'!$B$12,Paramètres!$A$1:$I$89,3,0)*0.475*44/12</f>
        <v>19.291078874793794</v>
      </c>
      <c r="CM142" s="21">
        <f>EXP(-LN(2)/2)*CM141+(1-EXP(-LN(2)/2))/(LN(2)/2)*CG142*CJ142*VLOOKUP('Données projet'!$B$12,Paramètres!$A$1:$I$89,3,0)*0.475*44/12</f>
        <v>0.31649409981219451</v>
      </c>
      <c r="CN142" s="22">
        <f t="shared" si="120"/>
        <v>119.02080881199802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2.4829205358400945E-14</v>
      </c>
      <c r="CV142" s="13">
        <f t="shared" si="149"/>
        <v>4.3867331143352915E-13</v>
      </c>
      <c r="CW142" s="20">
        <f t="shared" si="121"/>
        <v>8.0726688341261168E-13</v>
      </c>
      <c r="CX142" s="59">
        <f t="shared" si="122"/>
        <v>293.33333333333411</v>
      </c>
      <c r="CY142" s="59">
        <f ca="1">AVERAGE(OFFSET($CX$3,0,0,'Données projet'!$E$13+1,1))-AVERAGE(OFFSET($H$3,0,0,'Données projet'!$E$13+1,1))</f>
        <v>261.93797831021766</v>
      </c>
      <c r="CZ142" s="59">
        <f t="shared" si="150"/>
        <v>256.90876395053073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10.253726718007449</v>
      </c>
      <c r="DG142" s="21">
        <f>EXP(-LN(2)/25)*DG141+(1-EXP(-LN(2)/25))/(LN(2)/25)*Calculateur!DB142*Calculateur!DD142*VLOOKUP('Données projet'!$B$13,Paramètres!$A$1:$I$89,3,0)*0.475*44/12</f>
        <v>7.1090919971356596</v>
      </c>
      <c r="DH142" s="21">
        <f>EXP(-LN(2)/2)*DH141+(1-EXP(-LN(2)/2))/(LN(2)/2)*DB142*DE142*VLOOKUP('Données projet'!$B$13,Paramètres!$A$1:$I$89,3,0)*0.475*44/12</f>
        <v>5.9857009099585621E-8</v>
      </c>
      <c r="DI142" s="22">
        <f t="shared" si="123"/>
        <v>17.362818775000118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10.843999999999994</v>
      </c>
      <c r="M143" s="12">
        <f t="array" ref="M143">INDEX(L:L,MIN(IF(ISNUMBER(L143:L339),ROW(L143:L339),"")))</f>
        <v>10.843999999999994</v>
      </c>
      <c r="N143" s="13">
        <f>IF('Données projet'!$A$36&gt;35,N142+M143-V142,IF(A143&lt;'Données projet'!$A$36,$K$205^A143,IF(A143='Données projet'!$A$36,'Données projet'!$B$36,N142+M143-V142)))</f>
        <v>639.05000000000041</v>
      </c>
      <c r="O143" s="13">
        <f>N143*VLOOKUP('Données projet'!$B$9,Paramètres!$A$1:$I$89,3,0)*VLOOKUP('Données projet'!$B$9,Paramètres!$A$1:$I$89,5,0)</f>
        <v>578.21244000000036</v>
      </c>
      <c r="P143" s="13">
        <f t="shared" si="141"/>
        <v>127.0961862582958</v>
      </c>
      <c r="Q143" s="20">
        <f t="shared" si="108"/>
        <v>1228.4125240665323</v>
      </c>
      <c r="R143" s="59">
        <f t="shared" si="109"/>
        <v>1521.7458573998656</v>
      </c>
      <c r="S143" s="59">
        <f ca="1">AVERAGE(OFFSET($R$3,0,0,'Données projet'!$E$9+1,1))-AVERAGE(OFFSET($H$3,0,0,'Données projet'!$E$9+1,1))</f>
        <v>695.0879239758051</v>
      </c>
      <c r="T143" s="59">
        <f t="shared" si="142"/>
        <v>226.22150997227476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74.669999999999959</v>
      </c>
      <c r="W143" s="16">
        <f>IF(ISNA(VLOOKUP(A143,'Données projet'!$A$35:$I$55,5,0)),0%,VLOOKUP(A143,'Données projet'!$A$35:$I$55,5,0)*VLOOKUP('Données projet'!$B$9,Paramètres!$A$1:$I$89,7,0))</f>
        <v>0.215</v>
      </c>
      <c r="X143" s="16">
        <f>IF(ISNA(VLOOKUP(A143,'Données projet'!$A$35:$I$55,6,0)),0%,VLOOKUP(A143,'Données projet'!$A$35:$I$55,6,0)*VLOOKUP('Données projet'!$B$9,Paramètres!$A$1:$I$89,7,0))</f>
        <v>8.6000000000000007E-2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71.038406820754915</v>
      </c>
      <c r="AA143" s="21">
        <f>EXP(-LN(2)/25)*AA142+(1-EXP(-LN(2)/25))/(LN(2)/25)*Calculateur!V143*Calculateur!X143*VLOOKUP('Données projet'!$B$9,Paramètres!$A$1:$I$89,3,0)*0.475*44/12</f>
        <v>28.836896546752417</v>
      </c>
      <c r="AB143" s="21">
        <f>EXP(-LN(2)/2)*AB142+(1-EXP(-LN(2)/2))/(LN(2)/2)*V143*Y143*VLOOKUP('Données projet'!$B$9,Paramètres!$A$1:$I$89,3,0)*0.475*44/12</f>
        <v>1.8442556941362041E-7</v>
      </c>
      <c r="AC143" s="22">
        <f t="shared" si="111"/>
        <v>99.875303551932902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4.7884896048344674E-14</v>
      </c>
      <c r="AK143" s="13">
        <f t="shared" si="143"/>
        <v>7.8374629847779921E-13</v>
      </c>
      <c r="AL143" s="20">
        <f t="shared" si="112"/>
        <v>1.4484243304663672E-12</v>
      </c>
      <c r="AM143" s="59">
        <f t="shared" si="113"/>
        <v>293.33333333333474</v>
      </c>
      <c r="AN143" s="59">
        <f ca="1">AVERAGE(OFFSET($AM$3,0,0,'Données projet'!$E$10+1,1))-AVERAGE(OFFSET($H$3,0,0,'Données projet'!$E$10+1,1))</f>
        <v>424.81155998881928</v>
      </c>
      <c r="AO143" s="59">
        <f t="shared" si="144"/>
        <v>277.34430416544575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62.394293586952394</v>
      </c>
      <c r="AV143" s="21">
        <f>EXP(-LN(2)/25)*AV142+(1-EXP(-LN(2)/25))/(LN(2)/25)*Calculateur!AQ143*Calculateur!AS143*VLOOKUP('Données projet'!$B$10,Paramètres!$A$1:$I$89,3,0)*0.475*44/12</f>
        <v>10.900442058812816</v>
      </c>
      <c r="AW143" s="21">
        <f>EXP(-LN(2)/2)*AW142+(1-EXP(-LN(2)/2))/(LN(2)/2)*AQ143*AT143*VLOOKUP('Données projet'!$B$10,Paramètres!$A$1:$I$89,3,0)*0.475*44/12</f>
        <v>5.6633175086679731E-5</v>
      </c>
      <c r="AX143" s="21">
        <f t="shared" si="114"/>
        <v>73.294792278940307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485.06109600000099</v>
      </c>
      <c r="BF143" s="13">
        <f t="shared" si="145"/>
        <v>108.82327771411607</v>
      </c>
      <c r="BG143" s="20">
        <f t="shared" si="115"/>
        <v>1034.348617552087</v>
      </c>
      <c r="BH143" s="59">
        <f t="shared" si="116"/>
        <v>1327.6819508854203</v>
      </c>
      <c r="BI143" s="59">
        <f ca="1">AVERAGE(OFFSET($BH$3,0,0,'Données projet'!$E$11+1,1))-AVERAGE(OFFSET($H$3,0,0,'Données projet'!$E$11+1,1))</f>
        <v>706.69239849991595</v>
      </c>
      <c r="BJ143" s="59">
        <f t="shared" si="146"/>
        <v>310.59887275116529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44.528406669673537</v>
      </c>
      <c r="BQ143" s="21">
        <f>EXP(-LN(2)/25)*BQ142+(1-EXP(-LN(2)/25))/(LN(2)/25)*Calculateur!BL143*Calculateur!BN143*VLOOKUP('Données projet'!$B$11,Paramètres!$A$1:$I$89,3,0)*0.475*44/12</f>
        <v>22.555096139528469</v>
      </c>
      <c r="BR143" s="21">
        <f>EXP(-LN(2)/2)*BR142+(1-EXP(-LN(2)/2))/(LN(2)/2)*BL143*BO143*VLOOKUP('Données projet'!$B$11,Paramètres!$A$1:$I$89,3,0)*0.475*44/12</f>
        <v>2.2352419311631257E-2</v>
      </c>
      <c r="BS143" s="22">
        <f t="shared" si="117"/>
        <v>67.105855228513633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2.5579538487363607E-13</v>
      </c>
      <c r="BZ143" s="13">
        <f>BY143*VLOOKUP('Données projet'!$B$12,Paramètres!$A$1:$I$89,3,0)*VLOOKUP('Données projet'!$B$12,Paramètres!$A$1:$I$89,5,0)</f>
        <v>2.4341488824575211E-13</v>
      </c>
      <c r="CA143" s="13">
        <f t="shared" si="147"/>
        <v>3.2970717324875541E-12</v>
      </c>
      <c r="CB143" s="20">
        <f t="shared" si="118"/>
        <v>6.1663475311105072E-12</v>
      </c>
      <c r="CC143" s="59">
        <f t="shared" si="119"/>
        <v>293.33333333333945</v>
      </c>
      <c r="CD143" s="59">
        <f ca="1">AVERAGE(OFFSET($CC$3,0,0,'Données projet'!$E$12+1,1))-AVERAGE(OFFSET($H$3,0,0,'Données projet'!$E$12+1,1))</f>
        <v>449.28947235329758</v>
      </c>
      <c r="CE143" s="59">
        <f t="shared" si="148"/>
        <v>289.36994109443964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97.46380291870733</v>
      </c>
      <c r="CL143" s="21">
        <f>EXP(-LN(2)/25)*CL142+(1-EXP(-LN(2)/25))/(LN(2)/25)*Calculateur!CG143*Calculateur!CI143*VLOOKUP('Données projet'!$B$12,Paramètres!$A$1:$I$89,3,0)*0.475*44/12</f>
        <v>18.763563308488809</v>
      </c>
      <c r="CM143" s="21">
        <f>EXP(-LN(2)/2)*CM142+(1-EXP(-LN(2)/2))/(LN(2)/2)*CG143*CJ143*VLOOKUP('Données projet'!$B$12,Paramètres!$A$1:$I$89,3,0)*0.475*44/12</f>
        <v>0.22379512418273476</v>
      </c>
      <c r="CN143" s="22">
        <f t="shared" si="120"/>
        <v>116.45116135137887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2.4829205358400945E-14</v>
      </c>
      <c r="CV143" s="13">
        <f t="shared" si="149"/>
        <v>4.3867331143352915E-13</v>
      </c>
      <c r="CW143" s="20">
        <f t="shared" si="121"/>
        <v>8.0726688341261168E-13</v>
      </c>
      <c r="CX143" s="59">
        <f t="shared" si="122"/>
        <v>293.33333333333411</v>
      </c>
      <c r="CY143" s="59">
        <f ca="1">AVERAGE(OFFSET($CX$3,0,0,'Données projet'!$E$13+1,1))-AVERAGE(OFFSET($H$3,0,0,'Données projet'!$E$13+1,1))</f>
        <v>261.93797831021766</v>
      </c>
      <c r="CZ143" s="59">
        <f t="shared" si="150"/>
        <v>256.90876395053073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10.052657391223075</v>
      </c>
      <c r="DG143" s="21">
        <f>EXP(-LN(2)/25)*DG142+(1-EXP(-LN(2)/25))/(LN(2)/25)*Calculateur!DB143*Calculateur!DD143*VLOOKUP('Données projet'!$B$13,Paramètres!$A$1:$I$89,3,0)*0.475*44/12</f>
        <v>6.9146935026230851</v>
      </c>
      <c r="DH143" s="21">
        <f>EXP(-LN(2)/2)*DH142+(1-EXP(-LN(2)/2))/(LN(2)/2)*DB143*DE143*VLOOKUP('Données projet'!$B$13,Paramètres!$A$1:$I$89,3,0)*0.475*44/12</f>
        <v>4.2325297035861875E-8</v>
      </c>
      <c r="DI143" s="22">
        <f t="shared" si="123"/>
        <v>16.967350936171457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10.875</v>
      </c>
      <c r="N144" s="13">
        <f>IF('Données projet'!$A$36&gt;35,N143+M144-V143,IF(A144&lt;'Données projet'!$A$36,$K$205^A144,IF(A144='Données projet'!$A$36,'Données projet'!$B$36,N143+M144-V143)))</f>
        <v>575.25500000000045</v>
      </c>
      <c r="O144" s="13">
        <f>N144*VLOOKUP('Données projet'!$B$9,Paramètres!$A$1:$I$89,3,0)*VLOOKUP('Données projet'!$B$9,Paramètres!$A$1:$I$89,5,0)</f>
        <v>520.49072400000034</v>
      </c>
      <c r="P144" s="13">
        <f t="shared" si="141"/>
        <v>115.81760674620399</v>
      </c>
      <c r="Q144" s="20">
        <f t="shared" si="108"/>
        <v>1108.2370093829725</v>
      </c>
      <c r="R144" s="59">
        <f t="shared" si="109"/>
        <v>1401.5703427163057</v>
      </c>
      <c r="S144" s="59">
        <f ca="1">AVERAGE(OFFSET($R$3,0,0,'Données projet'!$E$9+1,1))-AVERAGE(OFFSET($H$3,0,0,'Données projet'!$E$9+1,1))</f>
        <v>695.0879239758051</v>
      </c>
      <c r="T144" s="59">
        <f t="shared" si="142"/>
        <v>226.22150997227476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69.645386992149668</v>
      </c>
      <c r="AA144" s="21">
        <f>EXP(-LN(2)/25)*AA143+(1-EXP(-LN(2)/25))/(LN(2)/25)*Calculateur!V144*Calculateur!X144*VLOOKUP('Données projet'!$B$9,Paramètres!$A$1:$I$89,3,0)*0.475*44/12</f>
        <v>28.048350094214989</v>
      </c>
      <c r="AB144" s="21">
        <f>EXP(-LN(2)/2)*AB143+(1-EXP(-LN(2)/2))/(LN(2)/2)*V144*Y144*VLOOKUP('Données projet'!$B$9,Paramètres!$A$1:$I$89,3,0)*0.475*44/12</f>
        <v>1.3040857075656132E-7</v>
      </c>
      <c r="AC144" s="22">
        <f t="shared" si="111"/>
        <v>97.693737216773215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4.7884896048344674E-14</v>
      </c>
      <c r="AK144" s="13">
        <f t="shared" si="143"/>
        <v>7.8374629847779921E-13</v>
      </c>
      <c r="AL144" s="20">
        <f t="shared" si="112"/>
        <v>1.4484243304663672E-12</v>
      </c>
      <c r="AM144" s="59">
        <f t="shared" si="113"/>
        <v>293.33333333333474</v>
      </c>
      <c r="AN144" s="59">
        <f ca="1">AVERAGE(OFFSET($AM$3,0,0,'Données projet'!$E$10+1,1))-AVERAGE(OFFSET($H$3,0,0,'Données projet'!$E$10+1,1))</f>
        <v>424.81155998881928</v>
      </c>
      <c r="AO144" s="59">
        <f t="shared" si="144"/>
        <v>277.34430416544575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61.170779546473554</v>
      </c>
      <c r="AV144" s="21">
        <f>EXP(-LN(2)/25)*AV143+(1-EXP(-LN(2)/25))/(LN(2)/25)*Calculateur!AQ144*Calculateur!AS144*VLOOKUP('Données projet'!$B$10,Paramètres!$A$1:$I$89,3,0)*0.475*44/12</f>
        <v>10.602368897485245</v>
      </c>
      <c r="AW144" s="21">
        <f>EXP(-LN(2)/2)*AW143+(1-EXP(-LN(2)/2))/(LN(2)/2)*AQ144*AT144*VLOOKUP('Données projet'!$B$10,Paramètres!$A$1:$I$89,3,0)*0.475*44/12</f>
        <v>4.0045702143916279E-5</v>
      </c>
      <c r="AX144" s="21">
        <f t="shared" si="114"/>
        <v>71.773188489660953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494.33311200000099</v>
      </c>
      <c r="BF144" s="13">
        <f t="shared" si="145"/>
        <v>110.65928847529446</v>
      </c>
      <c r="BG144" s="20">
        <f t="shared" si="115"/>
        <v>1053.6950974944727</v>
      </c>
      <c r="BH144" s="59">
        <f t="shared" si="116"/>
        <v>1347.028430827806</v>
      </c>
      <c r="BI144" s="59">
        <f ca="1">AVERAGE(OFFSET($BH$3,0,0,'Données projet'!$E$11+1,1))-AVERAGE(OFFSET($H$3,0,0,'Données projet'!$E$11+1,1))</f>
        <v>706.69239849991595</v>
      </c>
      <c r="BJ144" s="59">
        <f t="shared" si="146"/>
        <v>310.59887275116529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43.655231774527515</v>
      </c>
      <c r="BQ144" s="21">
        <f>EXP(-LN(2)/25)*BQ143+(1-EXP(-LN(2)/25))/(LN(2)/25)*Calculateur!BL144*Calculateur!BN144*VLOOKUP('Données projet'!$B$11,Paramètres!$A$1:$I$89,3,0)*0.475*44/12</f>
        <v>21.938325849472108</v>
      </c>
      <c r="BR144" s="21">
        <f>EXP(-LN(2)/2)*BR143+(1-EXP(-LN(2)/2))/(LN(2)/2)*BL144*BO144*VLOOKUP('Données projet'!$B$11,Paramètres!$A$1:$I$89,3,0)*0.475*44/12</f>
        <v>1.5805547271179603E-2</v>
      </c>
      <c r="BS144" s="22">
        <f t="shared" si="117"/>
        <v>65.609363171270815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2.5579538487363607E-13</v>
      </c>
      <c r="BZ144" s="13">
        <f>BY144*VLOOKUP('Données projet'!$B$12,Paramètres!$A$1:$I$89,3,0)*VLOOKUP('Données projet'!$B$12,Paramètres!$A$1:$I$89,5,0)</f>
        <v>2.4341488824575211E-13</v>
      </c>
      <c r="CA144" s="13">
        <f t="shared" si="147"/>
        <v>3.2970717324875541E-12</v>
      </c>
      <c r="CB144" s="20">
        <f t="shared" si="118"/>
        <v>6.1663475311105072E-12</v>
      </c>
      <c r="CC144" s="59">
        <f t="shared" si="119"/>
        <v>293.33333333333945</v>
      </c>
      <c r="CD144" s="59">
        <f ca="1">AVERAGE(OFFSET($CC$3,0,0,'Données projet'!$E$12+1,1))-AVERAGE(OFFSET($H$3,0,0,'Données projet'!$E$12+1,1))</f>
        <v>449.28947235329758</v>
      </c>
      <c r="CE144" s="59">
        <f t="shared" si="148"/>
        <v>289.36994109443964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95.552597190521354</v>
      </c>
      <c r="CL144" s="21">
        <f>EXP(-LN(2)/25)*CL143+(1-EXP(-LN(2)/25))/(LN(2)/25)*Calculateur!CG144*Calculateur!CI144*VLOOKUP('Données projet'!$B$12,Paramètres!$A$1:$I$89,3,0)*0.475*44/12</f>
        <v>18.250472683085274</v>
      </c>
      <c r="CM144" s="21">
        <f>EXP(-LN(2)/2)*CM143+(1-EXP(-LN(2)/2))/(LN(2)/2)*CG144*CJ144*VLOOKUP('Données projet'!$B$12,Paramètres!$A$1:$I$89,3,0)*0.475*44/12</f>
        <v>0.15824704990609725</v>
      </c>
      <c r="CN144" s="22">
        <f t="shared" si="120"/>
        <v>113.96131692351273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2.4829205358400945E-14</v>
      </c>
      <c r="CV144" s="13">
        <f t="shared" si="149"/>
        <v>4.3867331143352915E-13</v>
      </c>
      <c r="CW144" s="20">
        <f t="shared" si="121"/>
        <v>8.0726688341261168E-13</v>
      </c>
      <c r="CX144" s="59">
        <f t="shared" si="122"/>
        <v>293.33333333333411</v>
      </c>
      <c r="CY144" s="59">
        <f ca="1">AVERAGE(OFFSET($CX$3,0,0,'Données projet'!$E$13+1,1))-AVERAGE(OFFSET($H$3,0,0,'Données projet'!$E$13+1,1))</f>
        <v>261.93797831021766</v>
      </c>
      <c r="CZ144" s="59">
        <f t="shared" si="150"/>
        <v>256.90876395053073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9.8555309112967624</v>
      </c>
      <c r="DG144" s="21">
        <f>EXP(-LN(2)/25)*DG143+(1-EXP(-LN(2)/25))/(LN(2)/25)*Calculateur!DB144*Calculateur!DD144*VLOOKUP('Données projet'!$B$13,Paramètres!$A$1:$I$89,3,0)*0.475*44/12</f>
        <v>6.7256108451659289</v>
      </c>
      <c r="DH144" s="21">
        <f>EXP(-LN(2)/2)*DH143+(1-EXP(-LN(2)/2))/(LN(2)/2)*DB144*DE144*VLOOKUP('Données projet'!$B$13,Paramètres!$A$1:$I$89,3,0)*0.475*44/12</f>
        <v>2.9928504549792811E-8</v>
      </c>
      <c r="DI144" s="22">
        <f t="shared" si="123"/>
        <v>16.581141786391196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10.875</v>
      </c>
      <c r="N145" s="13">
        <f>IF('Données projet'!$A$36&gt;35,N144+M145-V144,IF(A145&lt;'Données projet'!$A$36,$K$205^A145,IF(A145='Données projet'!$A$36,'Données projet'!$B$36,N144+M145-V144)))</f>
        <v>586.13000000000045</v>
      </c>
      <c r="O145" s="13">
        <f>N145*VLOOKUP('Données projet'!$B$9,Paramètres!$A$1:$I$89,3,0)*VLOOKUP('Données projet'!$B$9,Paramètres!$A$1:$I$89,5,0)</f>
        <v>530.33042400000033</v>
      </c>
      <c r="P145" s="13">
        <f t="shared" si="141"/>
        <v>117.75012850750038</v>
      </c>
      <c r="Q145" s="20">
        <f t="shared" si="108"/>
        <v>1128.7402956172302</v>
      </c>
      <c r="R145" s="59">
        <f t="shared" si="109"/>
        <v>1422.0736289505635</v>
      </c>
      <c r="S145" s="59">
        <f ca="1">AVERAGE(OFFSET($R$3,0,0,'Données projet'!$E$9+1,1))-AVERAGE(OFFSET($H$3,0,0,'Données projet'!$E$9+1,1))</f>
        <v>695.0879239758051</v>
      </c>
      <c r="T145" s="59">
        <f t="shared" si="142"/>
        <v>226.22150997227476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68.279683432725179</v>
      </c>
      <c r="AA145" s="21">
        <f>EXP(-LN(2)/25)*AA144+(1-EXP(-LN(2)/25))/(LN(2)/25)*Calculateur!V145*Calculateur!X145*VLOOKUP('Données projet'!$B$9,Paramètres!$A$1:$I$89,3,0)*0.475*44/12</f>
        <v>27.281366485890054</v>
      </c>
      <c r="AB145" s="21">
        <f>EXP(-LN(2)/2)*AB144+(1-EXP(-LN(2)/2))/(LN(2)/2)*V145*Y145*VLOOKUP('Données projet'!$B$9,Paramètres!$A$1:$I$89,3,0)*0.475*44/12</f>
        <v>9.2212784706810207E-8</v>
      </c>
      <c r="AC145" s="22">
        <f t="shared" si="111"/>
        <v>95.561050010828012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4.7884896048344674E-14</v>
      </c>
      <c r="AK145" s="13">
        <f t="shared" si="143"/>
        <v>7.8374629847779921E-13</v>
      </c>
      <c r="AL145" s="20">
        <f t="shared" si="112"/>
        <v>1.4484243304663672E-12</v>
      </c>
      <c r="AM145" s="59">
        <f t="shared" si="113"/>
        <v>293.33333333333474</v>
      </c>
      <c r="AN145" s="59">
        <f ca="1">AVERAGE(OFFSET($AM$3,0,0,'Données projet'!$E$10+1,1))-AVERAGE(OFFSET($H$3,0,0,'Données projet'!$E$10+1,1))</f>
        <v>424.81155998881928</v>
      </c>
      <c r="AO145" s="59">
        <f t="shared" si="144"/>
        <v>277.34430416544575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59.971257870058629</v>
      </c>
      <c r="AV145" s="21">
        <f>EXP(-LN(2)/25)*AV144+(1-EXP(-LN(2)/25))/(LN(2)/25)*Calculateur!AQ145*Calculateur!AS145*VLOOKUP('Données projet'!$B$10,Paramètres!$A$1:$I$89,3,0)*0.475*44/12</f>
        <v>10.312446562429162</v>
      </c>
      <c r="AW145" s="21">
        <f>EXP(-LN(2)/2)*AW144+(1-EXP(-LN(2)/2))/(LN(2)/2)*AQ145*AT145*VLOOKUP('Données projet'!$B$10,Paramètres!$A$1:$I$89,3,0)*0.475*44/12</f>
        <v>2.8316587543339866E-5</v>
      </c>
      <c r="AX145" s="21">
        <f t="shared" si="114"/>
        <v>70.283732749075341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503.605128000001</v>
      </c>
      <c r="BF145" s="13">
        <f t="shared" si="145"/>
        <v>112.49129485365643</v>
      </c>
      <c r="BG145" s="20">
        <f t="shared" si="115"/>
        <v>1073.0346031367867</v>
      </c>
      <c r="BH145" s="59">
        <f t="shared" si="116"/>
        <v>1366.36793647012</v>
      </c>
      <c r="BI145" s="59">
        <f ca="1">AVERAGE(OFFSET($BH$3,0,0,'Données projet'!$E$11+1,1))-AVERAGE(OFFSET($H$3,0,0,'Données projet'!$E$11+1,1))</f>
        <v>706.69239849991595</v>
      </c>
      <c r="BJ145" s="59">
        <f t="shared" si="146"/>
        <v>310.59887275116529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42.799179306491212</v>
      </c>
      <c r="BQ145" s="21">
        <f>EXP(-LN(2)/25)*BQ144+(1-EXP(-LN(2)/25))/(LN(2)/25)*Calculateur!BL145*Calculateur!BN145*VLOOKUP('Données projet'!$B$11,Paramètres!$A$1:$I$89,3,0)*0.475*44/12</f>
        <v>21.338421175431876</v>
      </c>
      <c r="BR145" s="21">
        <f>EXP(-LN(2)/2)*BR144+(1-EXP(-LN(2)/2))/(LN(2)/2)*BL145*BO145*VLOOKUP('Données projet'!$B$11,Paramètres!$A$1:$I$89,3,0)*0.475*44/12</f>
        <v>1.1176209655815629E-2</v>
      </c>
      <c r="BS145" s="22">
        <f t="shared" si="117"/>
        <v>64.148776691578902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2.5579538487363607E-13</v>
      </c>
      <c r="BZ145" s="13">
        <f>BY145*VLOOKUP('Données projet'!$B$12,Paramètres!$A$1:$I$89,3,0)*VLOOKUP('Données projet'!$B$12,Paramètres!$A$1:$I$89,5,0)</f>
        <v>2.4341488824575211E-13</v>
      </c>
      <c r="CA145" s="13">
        <f t="shared" si="147"/>
        <v>3.2970717324875541E-12</v>
      </c>
      <c r="CB145" s="20">
        <f t="shared" si="118"/>
        <v>6.1663475311105072E-12</v>
      </c>
      <c r="CC145" s="59">
        <f t="shared" si="119"/>
        <v>293.33333333333945</v>
      </c>
      <c r="CD145" s="59">
        <f ca="1">AVERAGE(OFFSET($CC$3,0,0,'Données projet'!$E$12+1,1))-AVERAGE(OFFSET($H$3,0,0,'Données projet'!$E$12+1,1))</f>
        <v>449.28947235329758</v>
      </c>
      <c r="CE145" s="59">
        <f t="shared" si="148"/>
        <v>289.36994109443964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93.678869040944718</v>
      </c>
      <c r="CL145" s="21">
        <f>EXP(-LN(2)/25)*CL144+(1-EXP(-LN(2)/25))/(LN(2)/25)*Calculateur!CG145*Calculateur!CI145*VLOOKUP('Données projet'!$B$12,Paramètres!$A$1:$I$89,3,0)*0.475*44/12</f>
        <v>17.751412547815661</v>
      </c>
      <c r="CM145" s="21">
        <f>EXP(-LN(2)/2)*CM144+(1-EXP(-LN(2)/2))/(LN(2)/2)*CG145*CJ145*VLOOKUP('Données projet'!$B$12,Paramètres!$A$1:$I$89,3,0)*0.475*44/12</f>
        <v>0.11189756209136738</v>
      </c>
      <c r="CN145" s="22">
        <f t="shared" si="120"/>
        <v>111.54217915085175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2.4829205358400945E-14</v>
      </c>
      <c r="CV145" s="13">
        <f t="shared" si="149"/>
        <v>4.3867331143352915E-13</v>
      </c>
      <c r="CW145" s="20">
        <f t="shared" si="121"/>
        <v>8.0726688341261168E-13</v>
      </c>
      <c r="CX145" s="59">
        <f t="shared" si="122"/>
        <v>293.33333333333411</v>
      </c>
      <c r="CY145" s="59">
        <f ca="1">AVERAGE(OFFSET($CX$3,0,0,'Données projet'!$E$13+1,1))-AVERAGE(OFFSET($H$3,0,0,'Données projet'!$E$13+1,1))</f>
        <v>261.93797831021766</v>
      </c>
      <c r="CZ145" s="59">
        <f t="shared" si="150"/>
        <v>256.90876395053073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9.6622699614065244</v>
      </c>
      <c r="DG145" s="21">
        <f>EXP(-LN(2)/25)*DG144+(1-EXP(-LN(2)/25))/(LN(2)/25)*Calculateur!DB145*Calculateur!DD145*VLOOKUP('Données projet'!$B$13,Paramètres!$A$1:$I$89,3,0)*0.475*44/12</f>
        <v>6.5416986629203642</v>
      </c>
      <c r="DH145" s="21">
        <f>EXP(-LN(2)/2)*DH144+(1-EXP(-LN(2)/2))/(LN(2)/2)*DB145*DE145*VLOOKUP('Données projet'!$B$13,Paramètres!$A$1:$I$89,3,0)*0.475*44/12</f>
        <v>2.1162648517930938E-8</v>
      </c>
      <c r="DI145" s="22">
        <f t="shared" si="123"/>
        <v>16.203968645489539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10.875</v>
      </c>
      <c r="N146" s="13">
        <f>IF('Données projet'!$A$36&gt;35,N145+M146-V145,IF(A146&lt;'Données projet'!$A$36,$K$205^A146,IF(A146='Données projet'!$A$36,'Données projet'!$B$36,N145+M146-V145)))</f>
        <v>597.00500000000045</v>
      </c>
      <c r="O146" s="13">
        <f>N146*VLOOKUP('Données projet'!$B$9,Paramètres!$A$1:$I$89,3,0)*VLOOKUP('Données projet'!$B$9,Paramètres!$A$1:$I$89,5,0)</f>
        <v>540.17012400000033</v>
      </c>
      <c r="P146" s="13">
        <f t="shared" si="141"/>
        <v>119.67848090157619</v>
      </c>
      <c r="Q146" s="20">
        <f t="shared" si="108"/>
        <v>1149.2363202035792</v>
      </c>
      <c r="R146" s="59">
        <f t="shared" si="109"/>
        <v>1442.5696535369125</v>
      </c>
      <c r="S146" s="59">
        <f ca="1">AVERAGE(OFFSET($R$3,0,0,'Données projet'!$E$9+1,1))-AVERAGE(OFFSET($H$3,0,0,'Données projet'!$E$9+1,1))</f>
        <v>695.0879239758051</v>
      </c>
      <c r="T146" s="59">
        <f t="shared" si="142"/>
        <v>226.22150997227476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66.940760487104086</v>
      </c>
      <c r="AA146" s="21">
        <f>EXP(-LN(2)/25)*AA145+(1-EXP(-LN(2)/25))/(LN(2)/25)*Calculateur!V146*Calculateur!X146*VLOOKUP('Données projet'!$B$9,Paramètres!$A$1:$I$89,3,0)*0.475*44/12</f>
        <v>26.535356084668678</v>
      </c>
      <c r="AB146" s="21">
        <f>EXP(-LN(2)/2)*AB145+(1-EXP(-LN(2)/2))/(LN(2)/2)*V146*Y146*VLOOKUP('Données projet'!$B$9,Paramètres!$A$1:$I$89,3,0)*0.475*44/12</f>
        <v>6.520428537828066E-8</v>
      </c>
      <c r="AC146" s="22">
        <f t="shared" si="111"/>
        <v>93.476116636977054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4.7884896048344674E-14</v>
      </c>
      <c r="AK146" s="13">
        <f t="shared" si="143"/>
        <v>7.8374629847779921E-13</v>
      </c>
      <c r="AL146" s="20">
        <f t="shared" si="112"/>
        <v>1.4484243304663672E-12</v>
      </c>
      <c r="AM146" s="59">
        <f t="shared" si="113"/>
        <v>293.33333333333474</v>
      </c>
      <c r="AN146" s="59">
        <f ca="1">AVERAGE(OFFSET($AM$3,0,0,'Données projet'!$E$10+1,1))-AVERAGE(OFFSET($H$3,0,0,'Données projet'!$E$10+1,1))</f>
        <v>424.81155998881928</v>
      </c>
      <c r="AO146" s="59">
        <f t="shared" si="144"/>
        <v>277.34430416544575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58.795258082082221</v>
      </c>
      <c r="AV146" s="21">
        <f>EXP(-LN(2)/25)*AV145+(1-EXP(-LN(2)/25))/(LN(2)/25)*Calculateur!AQ146*Calculateur!AS146*VLOOKUP('Données projet'!$B$10,Paramètres!$A$1:$I$89,3,0)*0.475*44/12</f>
        <v>10.030452168871541</v>
      </c>
      <c r="AW146" s="21">
        <f>EXP(-LN(2)/2)*AW145+(1-EXP(-LN(2)/2))/(LN(2)/2)*AQ146*AT146*VLOOKUP('Données projet'!$B$10,Paramètres!$A$1:$I$89,3,0)*0.475*44/12</f>
        <v>2.0022851071958139E-5</v>
      </c>
      <c r="AX146" s="21">
        <f t="shared" si="114"/>
        <v>68.825730273804837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512.87714400000095</v>
      </c>
      <c r="BF146" s="13">
        <f t="shared" si="145"/>
        <v>114.31937907794493</v>
      </c>
      <c r="BG146" s="20">
        <f t="shared" si="115"/>
        <v>1092.3672776940891</v>
      </c>
      <c r="BH146" s="59">
        <f t="shared" si="116"/>
        <v>1385.7006110274224</v>
      </c>
      <c r="BI146" s="59">
        <f ca="1">AVERAGE(OFFSET($BH$3,0,0,'Données projet'!$E$11+1,1))-AVERAGE(OFFSET($H$3,0,0,'Données projet'!$E$11+1,1))</f>
        <v>706.69239849991595</v>
      </c>
      <c r="BJ146" s="59">
        <f t="shared" si="146"/>
        <v>310.59887275116529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41.959913505212647</v>
      </c>
      <c r="BQ146" s="21">
        <f>EXP(-LN(2)/25)*BQ145+(1-EXP(-LN(2)/25))/(LN(2)/25)*Calculateur!BL146*Calculateur!BN146*VLOOKUP('Données projet'!$B$11,Paramètres!$A$1:$I$89,3,0)*0.475*44/12</f>
        <v>20.75492092625089</v>
      </c>
      <c r="BR146" s="21">
        <f>EXP(-LN(2)/2)*BR145+(1-EXP(-LN(2)/2))/(LN(2)/2)*BL146*BO146*VLOOKUP('Données projet'!$B$11,Paramètres!$A$1:$I$89,3,0)*0.475*44/12</f>
        <v>7.9027736355898014E-3</v>
      </c>
      <c r="BS146" s="22">
        <f t="shared" si="117"/>
        <v>62.722737205099129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2.5579538487363607E-13</v>
      </c>
      <c r="BZ146" s="13">
        <f>BY146*VLOOKUP('Données projet'!$B$12,Paramètres!$A$1:$I$89,3,0)*VLOOKUP('Données projet'!$B$12,Paramètres!$A$1:$I$89,5,0)</f>
        <v>2.4341488824575211E-13</v>
      </c>
      <c r="CA146" s="13">
        <f t="shared" si="147"/>
        <v>3.2970717324875541E-12</v>
      </c>
      <c r="CB146" s="20">
        <f t="shared" si="118"/>
        <v>6.1663475311105072E-12</v>
      </c>
      <c r="CC146" s="59">
        <f t="shared" si="119"/>
        <v>293.33333333333945</v>
      </c>
      <c r="CD146" s="59">
        <f ca="1">AVERAGE(OFFSET($CC$3,0,0,'Données projet'!$E$12+1,1))-AVERAGE(OFFSET($H$3,0,0,'Données projet'!$E$12+1,1))</f>
        <v>449.28947235329758</v>
      </c>
      <c r="CE146" s="59">
        <f t="shared" si="148"/>
        <v>289.36994109443964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91.841883557519949</v>
      </c>
      <c r="CL146" s="21">
        <f>EXP(-LN(2)/25)*CL145+(1-EXP(-LN(2)/25))/(LN(2)/25)*Calculateur!CG146*Calculateur!CI146*VLOOKUP('Données projet'!$B$12,Paramètres!$A$1:$I$89,3,0)*0.475*44/12</f>
        <v>17.265999238189426</v>
      </c>
      <c r="CM146" s="21">
        <f>EXP(-LN(2)/2)*CM145+(1-EXP(-LN(2)/2))/(LN(2)/2)*CG146*CJ146*VLOOKUP('Données projet'!$B$12,Paramètres!$A$1:$I$89,3,0)*0.475*44/12</f>
        <v>7.9123524953048627E-2</v>
      </c>
      <c r="CN146" s="22">
        <f t="shared" si="120"/>
        <v>109.18700632066242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2.4829205358400945E-14</v>
      </c>
      <c r="CV146" s="13">
        <f t="shared" si="149"/>
        <v>4.3867331143352915E-13</v>
      </c>
      <c r="CW146" s="20">
        <f t="shared" si="121"/>
        <v>8.0726688341261168E-13</v>
      </c>
      <c r="CX146" s="59">
        <f t="shared" si="122"/>
        <v>293.33333333333411</v>
      </c>
      <c r="CY146" s="59">
        <f ca="1">AVERAGE(OFFSET($CX$3,0,0,'Données projet'!$E$13+1,1))-AVERAGE(OFFSET($H$3,0,0,'Données projet'!$E$13+1,1))</f>
        <v>261.93797831021766</v>
      </c>
      <c r="CZ146" s="59">
        <f t="shared" si="150"/>
        <v>256.90876395053073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9.472798740866093</v>
      </c>
      <c r="DG146" s="21">
        <f>EXP(-LN(2)/25)*DG145+(1-EXP(-LN(2)/25))/(LN(2)/25)*Calculateur!DB146*Calculateur!DD146*VLOOKUP('Données projet'!$B$13,Paramètres!$A$1:$I$89,3,0)*0.475*44/12</f>
        <v>6.3628155689698254</v>
      </c>
      <c r="DH146" s="21">
        <f>EXP(-LN(2)/2)*DH145+(1-EXP(-LN(2)/2))/(LN(2)/2)*DB146*DE146*VLOOKUP('Données projet'!$B$13,Paramètres!$A$1:$I$89,3,0)*0.475*44/12</f>
        <v>1.4964252274896405E-8</v>
      </c>
      <c r="DI146" s="22">
        <f t="shared" si="123"/>
        <v>15.83561432480017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10.875</v>
      </c>
      <c r="N147" s="13">
        <f>IF('Données projet'!$A$36&gt;35,N146+M147-V146,IF(A147&lt;'Données projet'!$A$36,$K$205^A147,IF(A147='Données projet'!$A$36,'Données projet'!$B$36,N146+M147-V146)))</f>
        <v>607.88000000000045</v>
      </c>
      <c r="O147" s="13">
        <f>N147*VLOOKUP('Données projet'!$B$9,Paramètres!$A$1:$I$89,3,0)*VLOOKUP('Données projet'!$B$9,Paramètres!$A$1:$I$89,5,0)</f>
        <v>550.00982400000044</v>
      </c>
      <c r="P147" s="13">
        <f t="shared" si="141"/>
        <v>121.60274863739461</v>
      </c>
      <c r="Q147" s="20">
        <f t="shared" si="108"/>
        <v>1169.7252306767962</v>
      </c>
      <c r="R147" s="59">
        <f t="shared" si="109"/>
        <v>1463.0585640101294</v>
      </c>
      <c r="S147" s="59">
        <f ca="1">AVERAGE(OFFSET($R$3,0,0,'Données projet'!$E$9+1,1))-AVERAGE(OFFSET($H$3,0,0,'Données projet'!$E$9+1,1))</f>
        <v>695.0879239758051</v>
      </c>
      <c r="T147" s="59">
        <f t="shared" si="142"/>
        <v>226.22150997227476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65.628093003784258</v>
      </c>
      <c r="AA147" s="21">
        <f>EXP(-LN(2)/25)*AA146+(1-EXP(-LN(2)/25))/(LN(2)/25)*Calculateur!V147*Calculateur!X147*VLOOKUP('Données projet'!$B$9,Paramètres!$A$1:$I$89,3,0)*0.475*44/12</f>
        <v>25.809745377099684</v>
      </c>
      <c r="AB147" s="21">
        <f>EXP(-LN(2)/2)*AB146+(1-EXP(-LN(2)/2))/(LN(2)/2)*V147*Y147*VLOOKUP('Données projet'!$B$9,Paramètres!$A$1:$I$89,3,0)*0.475*44/12</f>
        <v>4.6106392353405103E-8</v>
      </c>
      <c r="AC147" s="22">
        <f t="shared" si="111"/>
        <v>91.437838426990339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4.7884896048344674E-14</v>
      </c>
      <c r="AK147" s="13">
        <f t="shared" si="143"/>
        <v>7.8374629847779921E-13</v>
      </c>
      <c r="AL147" s="20">
        <f t="shared" si="112"/>
        <v>1.4484243304663672E-12</v>
      </c>
      <c r="AM147" s="59">
        <f t="shared" si="113"/>
        <v>293.33333333333474</v>
      </c>
      <c r="AN147" s="59">
        <f ca="1">AVERAGE(OFFSET($AM$3,0,0,'Données projet'!$E$10+1,1))-AVERAGE(OFFSET($H$3,0,0,'Données projet'!$E$10+1,1))</f>
        <v>424.81155998881928</v>
      </c>
      <c r="AO147" s="59">
        <f t="shared" si="144"/>
        <v>277.34430416544575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57.642318932658981</v>
      </c>
      <c r="AV147" s="21">
        <f>EXP(-LN(2)/25)*AV146+(1-EXP(-LN(2)/25))/(LN(2)/25)*Calculateur!AQ147*Calculateur!AS147*VLOOKUP('Données projet'!$B$10,Paramètres!$A$1:$I$89,3,0)*0.475*44/12</f>
        <v>9.7561689268351941</v>
      </c>
      <c r="AW147" s="21">
        <f>EXP(-LN(2)/2)*AW146+(1-EXP(-LN(2)/2))/(LN(2)/2)*AQ147*AT147*VLOOKUP('Données projet'!$B$10,Paramètres!$A$1:$I$89,3,0)*0.475*44/12</f>
        <v>1.4158293771669933E-5</v>
      </c>
      <c r="AX147" s="21">
        <f t="shared" si="114"/>
        <v>67.398502017787933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522.14916000000096</v>
      </c>
      <c r="BF147" s="13">
        <f t="shared" si="145"/>
        <v>116.14362023352821</v>
      </c>
      <c r="BG147" s="20">
        <f t="shared" si="115"/>
        <v>1111.6932589067299</v>
      </c>
      <c r="BH147" s="59">
        <f t="shared" si="116"/>
        <v>1405.0265922400631</v>
      </c>
      <c r="BI147" s="59">
        <f ca="1">AVERAGE(OFFSET($BH$3,0,0,'Données projet'!$E$11+1,1))-AVERAGE(OFFSET($H$3,0,0,'Données projet'!$E$11+1,1))</f>
        <v>706.69239849991595</v>
      </c>
      <c r="BJ147" s="59">
        <f t="shared" si="146"/>
        <v>310.59887275116529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56.031127516309859</v>
      </c>
      <c r="BQ147" s="21">
        <f>EXP(-LN(2)/25)*BQ146+(1-EXP(-LN(2)/25))/(LN(2)/25)*Calculateur!BL147*Calculateur!BN147*VLOOKUP('Données projet'!$B$11,Paramètres!$A$1:$I$89,3,0)*0.475*44/12</f>
        <v>26.121528074454901</v>
      </c>
      <c r="BR147" s="21">
        <f>EXP(-LN(2)/2)*BR146+(1-EXP(-LN(2)/2))/(LN(2)/2)*BL147*BO147*VLOOKUP('Données projet'!$B$11,Paramètres!$A$1:$I$89,3,0)*0.475*44/12</f>
        <v>5.5881048279078143E-3</v>
      </c>
      <c r="BS147" s="22">
        <f t="shared" si="117"/>
        <v>82.158243695592674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2.5579538487363607E-13</v>
      </c>
      <c r="BZ147" s="13">
        <f>BY147*VLOOKUP('Données projet'!$B$12,Paramètres!$A$1:$I$89,3,0)*VLOOKUP('Données projet'!$B$12,Paramètres!$A$1:$I$89,5,0)</f>
        <v>2.4341488824575211E-13</v>
      </c>
      <c r="CA147" s="13">
        <f t="shared" si="147"/>
        <v>3.2970717324875541E-12</v>
      </c>
      <c r="CB147" s="20">
        <f t="shared" si="118"/>
        <v>6.1663475311105072E-12</v>
      </c>
      <c r="CC147" s="59">
        <f t="shared" si="119"/>
        <v>293.33333333333945</v>
      </c>
      <c r="CD147" s="59">
        <f ca="1">AVERAGE(OFFSET($CC$3,0,0,'Données projet'!$E$12+1,1))-AVERAGE(OFFSET($H$3,0,0,'Données projet'!$E$12+1,1))</f>
        <v>449.28947235329758</v>
      </c>
      <c r="CE147" s="59">
        <f t="shared" si="148"/>
        <v>289.36994109443964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90.040920238974635</v>
      </c>
      <c r="CL147" s="21">
        <f>EXP(-LN(2)/25)*CL146+(1-EXP(-LN(2)/25))/(LN(2)/25)*Calculateur!CG147*Calculateur!CI147*VLOOKUP('Données projet'!$B$12,Paramètres!$A$1:$I$89,3,0)*0.475*44/12</f>
        <v>16.793859581041698</v>
      </c>
      <c r="CM147" s="21">
        <f>EXP(-LN(2)/2)*CM146+(1-EXP(-LN(2)/2))/(LN(2)/2)*CG147*CJ147*VLOOKUP('Données projet'!$B$12,Paramètres!$A$1:$I$89,3,0)*0.475*44/12</f>
        <v>5.5948781045683689E-2</v>
      </c>
      <c r="CN147" s="22">
        <f t="shared" si="120"/>
        <v>106.89072860106202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2.4829205358400945E-14</v>
      </c>
      <c r="CV147" s="13">
        <f t="shared" si="149"/>
        <v>4.3867331143352915E-13</v>
      </c>
      <c r="CW147" s="20">
        <f t="shared" si="121"/>
        <v>8.0726688341261168E-13</v>
      </c>
      <c r="CX147" s="59">
        <f t="shared" si="122"/>
        <v>293.33333333333411</v>
      </c>
      <c r="CY147" s="59">
        <f ca="1">AVERAGE(OFFSET($CX$3,0,0,'Données projet'!$E$13+1,1))-AVERAGE(OFFSET($H$3,0,0,'Données projet'!$E$13+1,1))</f>
        <v>261.93797831021766</v>
      </c>
      <c r="CZ147" s="59">
        <f t="shared" si="150"/>
        <v>256.90876395053073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9.2870429353944264</v>
      </c>
      <c r="DG147" s="21">
        <f>EXP(-LN(2)/25)*DG146+(1-EXP(-LN(2)/25))/(LN(2)/25)*Calculateur!DB147*Calculateur!DD147*VLOOKUP('Données projet'!$B$13,Paramètres!$A$1:$I$89,3,0)*0.475*44/12</f>
        <v>6.1888240426304169</v>
      </c>
      <c r="DH147" s="21">
        <f>EXP(-LN(2)/2)*DH146+(1-EXP(-LN(2)/2))/(LN(2)/2)*DB147*DE147*VLOOKUP('Données projet'!$B$13,Paramètres!$A$1:$I$89,3,0)*0.475*44/12</f>
        <v>1.0581324258965469E-8</v>
      </c>
      <c r="DI147" s="22">
        <f t="shared" si="123"/>
        <v>15.475866988606167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10.875</v>
      </c>
      <c r="N148" s="13">
        <f>IF('Données projet'!$A$36&gt;35,N147+M148-V147,IF(A148&lt;'Données projet'!$A$36,$K$205^A148,IF(A148='Données projet'!$A$36,'Données projet'!$B$36,N147+M148-V147)))</f>
        <v>618.75500000000045</v>
      </c>
      <c r="O148" s="13">
        <f>N148*VLOOKUP('Données projet'!$B$9,Paramètres!$A$1:$I$89,3,0)*VLOOKUP('Données projet'!$B$9,Paramètres!$A$1:$I$89,5,0)</f>
        <v>559.84952400000043</v>
      </c>
      <c r="P148" s="13">
        <f t="shared" si="141"/>
        <v>123.52301321945187</v>
      </c>
      <c r="Q148" s="20">
        <f t="shared" si="108"/>
        <v>1190.2071689905461</v>
      </c>
      <c r="R148" s="59">
        <f t="shared" si="109"/>
        <v>1483.5405023238793</v>
      </c>
      <c r="S148" s="59">
        <f ca="1">AVERAGE(OFFSET($R$3,0,0,'Données projet'!$E$9+1,1))-AVERAGE(OFFSET($H$3,0,0,'Données projet'!$E$9+1,1))</f>
        <v>695.0879239758051</v>
      </c>
      <c r="T148" s="59">
        <f t="shared" si="142"/>
        <v>226.22150997227476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64.341166129164222</v>
      </c>
      <c r="AA148" s="21">
        <f>EXP(-LN(2)/25)*AA147+(1-EXP(-LN(2)/25))/(LN(2)/25)*Calculateur!V148*Calculateur!X148*VLOOKUP('Données projet'!$B$9,Paramètres!$A$1:$I$89,3,0)*0.475*44/12</f>
        <v>25.103976532487373</v>
      </c>
      <c r="AB148" s="21">
        <f>EXP(-LN(2)/2)*AB147+(1-EXP(-LN(2)/2))/(LN(2)/2)*V148*Y148*VLOOKUP('Données projet'!$B$9,Paramètres!$A$1:$I$89,3,0)*0.475*44/12</f>
        <v>3.260214268914033E-8</v>
      </c>
      <c r="AC148" s="22">
        <f t="shared" si="111"/>
        <v>89.445142694253747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4.7884896048344674E-14</v>
      </c>
      <c r="AK148" s="13">
        <f t="shared" si="143"/>
        <v>7.8374629847779921E-13</v>
      </c>
      <c r="AL148" s="20">
        <f t="shared" si="112"/>
        <v>1.4484243304663672E-12</v>
      </c>
      <c r="AM148" s="59">
        <f t="shared" si="113"/>
        <v>293.33333333333474</v>
      </c>
      <c r="AN148" s="59">
        <f ca="1">AVERAGE(OFFSET($AM$3,0,0,'Données projet'!$E$10+1,1))-AVERAGE(OFFSET($H$3,0,0,'Données projet'!$E$10+1,1))</f>
        <v>424.81155998881928</v>
      </c>
      <c r="AO148" s="59">
        <f t="shared" si="144"/>
        <v>277.34430416544575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56.51198821673249</v>
      </c>
      <c r="AV148" s="21">
        <f>EXP(-LN(2)/25)*AV147+(1-EXP(-LN(2)/25))/(LN(2)/25)*Calculateur!AQ148*Calculateur!AS148*VLOOKUP('Données projet'!$B$10,Paramètres!$A$1:$I$89,3,0)*0.475*44/12</f>
        <v>9.4893859744762601</v>
      </c>
      <c r="AW148" s="21">
        <f>EXP(-LN(2)/2)*AW147+(1-EXP(-LN(2)/2))/(LN(2)/2)*AQ148*AT148*VLOOKUP('Données projet'!$B$10,Paramètres!$A$1:$I$89,3,0)*0.475*44/12</f>
        <v>1.001142553597907E-5</v>
      </c>
      <c r="AX148" s="21">
        <f t="shared" si="114"/>
        <v>66.001384202634284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468.94965000000099</v>
      </c>
      <c r="BF148" s="13">
        <f t="shared" si="145"/>
        <v>105.62316801364989</v>
      </c>
      <c r="BG148" s="20">
        <f t="shared" si="115"/>
        <v>1000.7143247071086</v>
      </c>
      <c r="BH148" s="59">
        <f t="shared" si="116"/>
        <v>1294.047658040442</v>
      </c>
      <c r="BI148" s="59">
        <f ca="1">AVERAGE(OFFSET($BH$3,0,0,'Données projet'!$E$11+1,1))-AVERAGE(OFFSET($H$3,0,0,'Données projet'!$E$11+1,1))</f>
        <v>706.69239849991595</v>
      </c>
      <c r="BJ148" s="59">
        <f t="shared" si="146"/>
        <v>310.59887275116529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54.932391281328243</v>
      </c>
      <c r="BQ148" s="21">
        <f>EXP(-LN(2)/25)*BQ147+(1-EXP(-LN(2)/25))/(LN(2)/25)*Calculateur!BL148*Calculateur!BN148*VLOOKUP('Données projet'!$B$11,Paramètres!$A$1:$I$89,3,0)*0.475*44/12</f>
        <v>25.407233515587471</v>
      </c>
      <c r="BR148" s="21">
        <f>EXP(-LN(2)/2)*BR147+(1-EXP(-LN(2)/2))/(LN(2)/2)*BL148*BO148*VLOOKUP('Données projet'!$B$11,Paramètres!$A$1:$I$89,3,0)*0.475*44/12</f>
        <v>3.9513868177949007E-3</v>
      </c>
      <c r="BS148" s="22">
        <f t="shared" si="117"/>
        <v>80.343576183733504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2.5579538487363607E-13</v>
      </c>
      <c r="BZ148" s="13">
        <f>BY148*VLOOKUP('Données projet'!$B$12,Paramètres!$A$1:$I$89,3,0)*VLOOKUP('Données projet'!$B$12,Paramètres!$A$1:$I$89,5,0)</f>
        <v>2.4341488824575211E-13</v>
      </c>
      <c r="CA148" s="13">
        <f t="shared" si="147"/>
        <v>3.2970717324875541E-12</v>
      </c>
      <c r="CB148" s="20">
        <f t="shared" si="118"/>
        <v>6.1663475311105072E-12</v>
      </c>
      <c r="CC148" s="59">
        <f t="shared" si="119"/>
        <v>293.33333333333945</v>
      </c>
      <c r="CD148" s="59">
        <f ca="1">AVERAGE(OFFSET($CC$3,0,0,'Données projet'!$E$12+1,1))-AVERAGE(OFFSET($H$3,0,0,'Données projet'!$E$12+1,1))</f>
        <v>449.28947235329758</v>
      </c>
      <c r="CE148" s="59">
        <f t="shared" si="148"/>
        <v>289.36994109443964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88.27527271262683</v>
      </c>
      <c r="CL148" s="21">
        <f>EXP(-LN(2)/25)*CL147+(1-EXP(-LN(2)/25))/(LN(2)/25)*Calculateur!CG148*Calculateur!CI148*VLOOKUP('Données projet'!$B$12,Paramètres!$A$1:$I$89,3,0)*0.475*44/12</f>
        <v>16.334630607647419</v>
      </c>
      <c r="CM148" s="21">
        <f>EXP(-LN(2)/2)*CM147+(1-EXP(-LN(2)/2))/(LN(2)/2)*CG148*CJ148*VLOOKUP('Données projet'!$B$12,Paramètres!$A$1:$I$89,3,0)*0.475*44/12</f>
        <v>3.9561762476524313E-2</v>
      </c>
      <c r="CN148" s="22">
        <f t="shared" si="120"/>
        <v>104.64946508275077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2.4829205358400945E-14</v>
      </c>
      <c r="CV148" s="13">
        <f t="shared" si="149"/>
        <v>4.3867331143352915E-13</v>
      </c>
      <c r="CW148" s="20">
        <f t="shared" si="121"/>
        <v>8.0726688341261168E-13</v>
      </c>
      <c r="CX148" s="59">
        <f t="shared" si="122"/>
        <v>293.33333333333411</v>
      </c>
      <c r="CY148" s="59">
        <f ca="1">AVERAGE(OFFSET($CX$3,0,0,'Données projet'!$E$13+1,1))-AVERAGE(OFFSET($H$3,0,0,'Données projet'!$E$13+1,1))</f>
        <v>261.93797831021766</v>
      </c>
      <c r="CZ148" s="59">
        <f t="shared" si="150"/>
        <v>256.90876395053073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9.1049296879682053</v>
      </c>
      <c r="DG148" s="21">
        <f>EXP(-LN(2)/25)*DG147+(1-EXP(-LN(2)/25))/(LN(2)/25)*Calculateur!DB148*Calculateur!DD148*VLOOKUP('Données projet'!$B$13,Paramètres!$A$1:$I$89,3,0)*0.475*44/12</f>
        <v>6.0195903237285764</v>
      </c>
      <c r="DH148" s="21">
        <f>EXP(-LN(2)/2)*DH147+(1-EXP(-LN(2)/2))/(LN(2)/2)*DB148*DE148*VLOOKUP('Données projet'!$B$13,Paramètres!$A$1:$I$89,3,0)*0.475*44/12</f>
        <v>7.4821261374482027E-9</v>
      </c>
      <c r="DI148" s="22">
        <f t="shared" si="123"/>
        <v>15.124520019178908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10.875</v>
      </c>
      <c r="N149" s="13">
        <f>IF('Données projet'!$A$36&gt;35,N148+M149-V148,IF(A149&lt;'Données projet'!$A$36,$K$205^A149,IF(A149='Données projet'!$A$36,'Données projet'!$B$36,N148+M149-V148)))</f>
        <v>629.63000000000045</v>
      </c>
      <c r="O149" s="13">
        <f>N149*VLOOKUP('Données projet'!$B$9,Paramètres!$A$1:$I$89,3,0)*VLOOKUP('Données projet'!$B$9,Paramètres!$A$1:$I$89,5,0)</f>
        <v>569.68922400000042</v>
      </c>
      <c r="P149" s="13">
        <f t="shared" si="141"/>
        <v>125.43935312315148</v>
      </c>
      <c r="Q149" s="20">
        <f t="shared" si="108"/>
        <v>1210.6822718228229</v>
      </c>
      <c r="R149" s="59">
        <f t="shared" si="109"/>
        <v>1504.0156051561562</v>
      </c>
      <c r="S149" s="59">
        <f ca="1">AVERAGE(OFFSET($R$3,0,0,'Données projet'!$E$9+1,1))-AVERAGE(OFFSET($H$3,0,0,'Données projet'!$E$9+1,1))</f>
        <v>695.0879239758051</v>
      </c>
      <c r="T149" s="59">
        <f t="shared" si="142"/>
        <v>226.22150997227476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63.079475105607607</v>
      </c>
      <c r="AA149" s="21">
        <f>EXP(-LN(2)/25)*AA148+(1-EXP(-LN(2)/25))/(LN(2)/25)*Calculateur!V149*Calculateur!X149*VLOOKUP('Données projet'!$B$9,Paramètres!$A$1:$I$89,3,0)*0.475*44/12</f>
        <v>24.417506974045757</v>
      </c>
      <c r="AB149" s="21">
        <f>EXP(-LN(2)/2)*AB148+(1-EXP(-LN(2)/2))/(LN(2)/2)*V149*Y149*VLOOKUP('Données projet'!$B$9,Paramètres!$A$1:$I$89,3,0)*0.475*44/12</f>
        <v>2.3053196176702552E-8</v>
      </c>
      <c r="AC149" s="22">
        <f t="shared" si="111"/>
        <v>87.496982102706554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4.7884896048344674E-14</v>
      </c>
      <c r="AK149" s="13">
        <f t="shared" si="143"/>
        <v>7.8374629847779921E-13</v>
      </c>
      <c r="AL149" s="20">
        <f t="shared" si="112"/>
        <v>1.4484243304663672E-12</v>
      </c>
      <c r="AM149" s="59">
        <f t="shared" si="113"/>
        <v>293.33333333333474</v>
      </c>
      <c r="AN149" s="59">
        <f ca="1">AVERAGE(OFFSET($AM$3,0,0,'Données projet'!$E$10+1,1))-AVERAGE(OFFSET($H$3,0,0,'Données projet'!$E$10+1,1))</f>
        <v>424.81155998881928</v>
      </c>
      <c r="AO149" s="59">
        <f t="shared" si="144"/>
        <v>277.34430416544575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55.403822596711656</v>
      </c>
      <c r="AV149" s="21">
        <f>EXP(-LN(2)/25)*AV148+(1-EXP(-LN(2)/25))/(LN(2)/25)*Calculateur!AQ149*Calculateur!AS149*VLOOKUP('Données projet'!$B$10,Paramètres!$A$1:$I$89,3,0)*0.475*44/12</f>
        <v>9.2298982159790874</v>
      </c>
      <c r="AW149" s="21">
        <f>EXP(-LN(2)/2)*AW148+(1-EXP(-LN(2)/2))/(LN(2)/2)*AQ149*AT149*VLOOKUP('Données projet'!$B$10,Paramètres!$A$1:$I$89,3,0)*0.475*44/12</f>
        <v>7.0791468858349664E-6</v>
      </c>
      <c r="AX149" s="21">
        <f t="shared" si="114"/>
        <v>64.633727891837623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478.41534000000098</v>
      </c>
      <c r="BF149" s="13">
        <f t="shared" si="145"/>
        <v>107.50479816034752</v>
      </c>
      <c r="BG149" s="20">
        <f t="shared" si="115"/>
        <v>1020.4775739626069</v>
      </c>
      <c r="BH149" s="59">
        <f t="shared" si="116"/>
        <v>1313.8109072959403</v>
      </c>
      <c r="BI149" s="59">
        <f ca="1">AVERAGE(OFFSET($BH$3,0,0,'Données projet'!$E$11+1,1))-AVERAGE(OFFSET($H$3,0,0,'Données projet'!$E$11+1,1))</f>
        <v>706.69239849991595</v>
      </c>
      <c r="BJ149" s="59">
        <f t="shared" si="146"/>
        <v>310.59887275116529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53.85520059375169</v>
      </c>
      <c r="BQ149" s="21">
        <f>EXP(-LN(2)/25)*BQ148+(1-EXP(-LN(2)/25))/(LN(2)/25)*Calculateur!BL149*Calculateur!BN149*VLOOKUP('Données projet'!$B$11,Paramètres!$A$1:$I$89,3,0)*0.475*44/12</f>
        <v>24.712471378995389</v>
      </c>
      <c r="BR149" s="21">
        <f>EXP(-LN(2)/2)*BR148+(1-EXP(-LN(2)/2))/(LN(2)/2)*BL149*BO149*VLOOKUP('Données projet'!$B$11,Paramètres!$A$1:$I$89,3,0)*0.475*44/12</f>
        <v>2.7940524139539072E-3</v>
      </c>
      <c r="BS149" s="22">
        <f t="shared" si="117"/>
        <v>78.570466025161039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2.5579538487363607E-13</v>
      </c>
      <c r="BZ149" s="13">
        <f>BY149*VLOOKUP('Données projet'!$B$12,Paramètres!$A$1:$I$89,3,0)*VLOOKUP('Données projet'!$B$12,Paramètres!$A$1:$I$89,5,0)</f>
        <v>2.4341488824575211E-13</v>
      </c>
      <c r="CA149" s="13">
        <f t="shared" si="147"/>
        <v>3.2970717324875541E-12</v>
      </c>
      <c r="CB149" s="20">
        <f t="shared" si="118"/>
        <v>6.1663475311105072E-12</v>
      </c>
      <c r="CC149" s="59">
        <f t="shared" si="119"/>
        <v>293.33333333333945</v>
      </c>
      <c r="CD149" s="59">
        <f ca="1">AVERAGE(OFFSET($CC$3,0,0,'Données projet'!$E$12+1,1))-AVERAGE(OFFSET($H$3,0,0,'Données projet'!$E$12+1,1))</f>
        <v>449.28947235329758</v>
      </c>
      <c r="CE149" s="59">
        <f t="shared" si="148"/>
        <v>289.36994109443964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86.54424845733206</v>
      </c>
      <c r="CL149" s="21">
        <f>EXP(-LN(2)/25)*CL148+(1-EXP(-LN(2)/25))/(LN(2)/25)*Calculateur!CG149*Calculateur!CI149*VLOOKUP('Données projet'!$B$12,Paramètres!$A$1:$I$89,3,0)*0.475*44/12</f>
        <v>15.88795927468041</v>
      </c>
      <c r="CM149" s="21">
        <f>EXP(-LN(2)/2)*CM148+(1-EXP(-LN(2)/2))/(LN(2)/2)*CG149*CJ149*VLOOKUP('Données projet'!$B$12,Paramètres!$A$1:$I$89,3,0)*0.475*44/12</f>
        <v>2.7974390522841844E-2</v>
      </c>
      <c r="CN149" s="22">
        <f t="shared" si="120"/>
        <v>102.46018212253531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2.4829205358400945E-14</v>
      </c>
      <c r="CV149" s="13">
        <f t="shared" si="149"/>
        <v>4.3867331143352915E-13</v>
      </c>
      <c r="CW149" s="20">
        <f t="shared" si="121"/>
        <v>8.0726688341261168E-13</v>
      </c>
      <c r="CX149" s="59">
        <f t="shared" si="122"/>
        <v>293.33333333333411</v>
      </c>
      <c r="CY149" s="59">
        <f ca="1">AVERAGE(OFFSET($CX$3,0,0,'Données projet'!$E$13+1,1))-AVERAGE(OFFSET($H$3,0,0,'Données projet'!$E$13+1,1))</f>
        <v>261.93797831021766</v>
      </c>
      <c r="CZ149" s="59">
        <f t="shared" si="150"/>
        <v>256.90876395053073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8.9263875702459003</v>
      </c>
      <c r="DG149" s="21">
        <f>EXP(-LN(2)/25)*DG148+(1-EXP(-LN(2)/25))/(LN(2)/25)*Calculateur!DB149*Calculateur!DD149*VLOOKUP('Données projet'!$B$13,Paramètres!$A$1:$I$89,3,0)*0.475*44/12</f>
        <v>5.854984309769721</v>
      </c>
      <c r="DH149" s="21">
        <f>EXP(-LN(2)/2)*DH148+(1-EXP(-LN(2)/2))/(LN(2)/2)*DB149*DE149*VLOOKUP('Données projet'!$B$13,Paramètres!$A$1:$I$89,3,0)*0.475*44/12</f>
        <v>5.2906621294827344E-9</v>
      </c>
      <c r="DI149" s="22">
        <f t="shared" si="123"/>
        <v>14.781371885306283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10.875</v>
      </c>
      <c r="N150" s="13">
        <f>IF('Données projet'!$A$36&gt;35,N149+M150-V149,IF(A150&lt;'Données projet'!$A$36,$K$205^A150,IF(A150='Données projet'!$A$36,'Données projet'!$B$36,N149+M150-V149)))</f>
        <v>640.50500000000045</v>
      </c>
      <c r="O150" s="13">
        <f>N150*VLOOKUP('Données projet'!$B$9,Paramètres!$A$1:$I$89,3,0)*VLOOKUP('Données projet'!$B$9,Paramètres!$A$1:$I$89,5,0)</f>
        <v>579.52892400000042</v>
      </c>
      <c r="P150" s="13">
        <f t="shared" si="141"/>
        <v>127.35184395771817</v>
      </c>
      <c r="Q150" s="20">
        <f t="shared" si="108"/>
        <v>1231.1506708596933</v>
      </c>
      <c r="R150" s="59">
        <f t="shared" si="109"/>
        <v>1524.4840041930265</v>
      </c>
      <c r="S150" s="59">
        <f ca="1">AVERAGE(OFFSET($R$3,0,0,'Données projet'!$E$9+1,1))-AVERAGE(OFFSET($H$3,0,0,'Données projet'!$E$9+1,1))</f>
        <v>695.0879239758051</v>
      </c>
      <c r="T150" s="59">
        <f t="shared" si="142"/>
        <v>226.22150997227476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61.842525073467399</v>
      </c>
      <c r="AA150" s="21">
        <f>EXP(-LN(2)/25)*AA149+(1-EXP(-LN(2)/25))/(LN(2)/25)*Calculateur!V150*Calculateur!X150*VLOOKUP('Données projet'!$B$9,Paramètres!$A$1:$I$89,3,0)*0.475*44/12</f>
        <v>23.749808961779593</v>
      </c>
      <c r="AB150" s="21">
        <f>EXP(-LN(2)/2)*AB149+(1-EXP(-LN(2)/2))/(LN(2)/2)*V150*Y150*VLOOKUP('Données projet'!$B$9,Paramètres!$A$1:$I$89,3,0)*0.475*44/12</f>
        <v>1.6301071344570165E-8</v>
      </c>
      <c r="AC150" s="22">
        <f t="shared" si="111"/>
        <v>85.592334051548065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4.7884896048344674E-14</v>
      </c>
      <c r="AK150" s="13">
        <f t="shared" si="143"/>
        <v>7.8374629847779921E-13</v>
      </c>
      <c r="AL150" s="20">
        <f t="shared" si="112"/>
        <v>1.4484243304663672E-12</v>
      </c>
      <c r="AM150" s="59">
        <f t="shared" si="113"/>
        <v>293.33333333333474</v>
      </c>
      <c r="AN150" s="59">
        <f ca="1">AVERAGE(OFFSET($AM$3,0,0,'Données projet'!$E$10+1,1))-AVERAGE(OFFSET($H$3,0,0,'Données projet'!$E$10+1,1))</f>
        <v>424.81155998881928</v>
      </c>
      <c r="AO150" s="59">
        <f t="shared" si="144"/>
        <v>277.34430416544575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54.317387428585143</v>
      </c>
      <c r="AV150" s="21">
        <f>EXP(-LN(2)/25)*AV149+(1-EXP(-LN(2)/25))/(LN(2)/25)*Calculateur!AQ150*Calculateur!AS150*VLOOKUP('Données projet'!$B$10,Paramètres!$A$1:$I$89,3,0)*0.475*44/12</f>
        <v>8.9775061638838878</v>
      </c>
      <c r="AW150" s="21">
        <f>EXP(-LN(2)/2)*AW149+(1-EXP(-LN(2)/2))/(LN(2)/2)*AQ150*AT150*VLOOKUP('Données projet'!$B$10,Paramètres!$A$1:$I$89,3,0)*0.475*44/12</f>
        <v>5.0057127679895348E-6</v>
      </c>
      <c r="AX150" s="21">
        <f t="shared" si="114"/>
        <v>63.294898598181796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487.88103000000092</v>
      </c>
      <c r="BF150" s="13">
        <f t="shared" si="145"/>
        <v>109.38209953839079</v>
      </c>
      <c r="BG150" s="20">
        <f t="shared" si="115"/>
        <v>1040.2332839460321</v>
      </c>
      <c r="BH150" s="59">
        <f t="shared" si="116"/>
        <v>1333.5666172793653</v>
      </c>
      <c r="BI150" s="59">
        <f ca="1">AVERAGE(OFFSET($BH$3,0,0,'Données projet'!$E$11+1,1))-AVERAGE(OFFSET($H$3,0,0,'Données projet'!$E$11+1,1))</f>
        <v>706.69239849991595</v>
      </c>
      <c r="BJ150" s="59">
        <f t="shared" si="146"/>
        <v>310.59887275116529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52.799132958537065</v>
      </c>
      <c r="BQ150" s="21">
        <f>EXP(-LN(2)/25)*BQ149+(1-EXP(-LN(2)/25))/(LN(2)/25)*Calculateur!BL150*Calculateur!BN150*VLOOKUP('Données projet'!$B$11,Paramètres!$A$1:$I$89,3,0)*0.475*44/12</f>
        <v>24.036707549564372</v>
      </c>
      <c r="BR150" s="21">
        <f>EXP(-LN(2)/2)*BR149+(1-EXP(-LN(2)/2))/(LN(2)/2)*BL150*BO150*VLOOKUP('Données projet'!$B$11,Paramètres!$A$1:$I$89,3,0)*0.475*44/12</f>
        <v>1.9756934088974503E-3</v>
      </c>
      <c r="BS150" s="22">
        <f t="shared" si="117"/>
        <v>76.837816201510336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2.5579538487363607E-13</v>
      </c>
      <c r="BZ150" s="13">
        <f>BY150*VLOOKUP('Données projet'!$B$12,Paramètres!$A$1:$I$89,3,0)*VLOOKUP('Données projet'!$B$12,Paramètres!$A$1:$I$89,5,0)</f>
        <v>2.4341488824575211E-13</v>
      </c>
      <c r="CA150" s="13">
        <f t="shared" si="147"/>
        <v>3.2970717324875541E-12</v>
      </c>
      <c r="CB150" s="20">
        <f t="shared" si="118"/>
        <v>6.1663475311105072E-12</v>
      </c>
      <c r="CC150" s="59">
        <f t="shared" si="119"/>
        <v>293.33333333333945</v>
      </c>
      <c r="CD150" s="59">
        <f ca="1">AVERAGE(OFFSET($CC$3,0,0,'Données projet'!$E$12+1,1))-AVERAGE(OFFSET($H$3,0,0,'Données projet'!$E$12+1,1))</f>
        <v>449.28947235329758</v>
      </c>
      <c r="CE150" s="59">
        <f t="shared" si="148"/>
        <v>289.36994109443964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84.847168531863076</v>
      </c>
      <c r="CL150" s="21">
        <f>EXP(-LN(2)/25)*CL149+(1-EXP(-LN(2)/25))/(LN(2)/25)*Calculateur!CG150*Calculateur!CI150*VLOOKUP('Données projet'!$B$12,Paramètres!$A$1:$I$89,3,0)*0.475*44/12</f>
        <v>15.453502192802809</v>
      </c>
      <c r="CM150" s="21">
        <f>EXP(-LN(2)/2)*CM149+(1-EXP(-LN(2)/2))/(LN(2)/2)*CG150*CJ150*VLOOKUP('Données projet'!$B$12,Paramètres!$A$1:$I$89,3,0)*0.475*44/12</f>
        <v>1.9780881238262157E-2</v>
      </c>
      <c r="CN150" s="22">
        <f t="shared" si="120"/>
        <v>100.32045160590414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2.4829205358400945E-14</v>
      </c>
      <c r="CV150" s="13">
        <f t="shared" si="149"/>
        <v>4.3867331143352915E-13</v>
      </c>
      <c r="CW150" s="20">
        <f t="shared" si="121"/>
        <v>8.0726688341261168E-13</v>
      </c>
      <c r="CX150" s="59">
        <f t="shared" si="122"/>
        <v>293.33333333333411</v>
      </c>
      <c r="CY150" s="59">
        <f ca="1">AVERAGE(OFFSET($CX$3,0,0,'Données projet'!$E$13+1,1))-AVERAGE(OFFSET($H$3,0,0,'Données projet'!$E$13+1,1))</f>
        <v>261.93797831021766</v>
      </c>
      <c r="CZ150" s="59">
        <f t="shared" si="150"/>
        <v>256.90876395053073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8.7513465545521907</v>
      </c>
      <c r="DG150" s="21">
        <f>EXP(-LN(2)/25)*DG149+(1-EXP(-LN(2)/25))/(LN(2)/25)*Calculateur!DB150*Calculateur!DD150*VLOOKUP('Données projet'!$B$13,Paramètres!$A$1:$I$89,3,0)*0.475*44/12</f>
        <v>5.6948794559188247</v>
      </c>
      <c r="DH150" s="21">
        <f>EXP(-LN(2)/2)*DH149+(1-EXP(-LN(2)/2))/(LN(2)/2)*DB150*DE150*VLOOKUP('Données projet'!$B$13,Paramètres!$A$1:$I$89,3,0)*0.475*44/12</f>
        <v>3.7410630687241013E-9</v>
      </c>
      <c r="DI150" s="22">
        <f t="shared" si="123"/>
        <v>14.446226014212078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10.875</v>
      </c>
      <c r="N151" s="13">
        <f>IF('Données projet'!$A$36&gt;35,N150+M151-V150,IF(A151&lt;'Données projet'!$A$36,$K$205^A151,IF(A151='Données projet'!$A$36,'Données projet'!$B$36,N150+M151-V150)))</f>
        <v>651.38000000000045</v>
      </c>
      <c r="O151" s="13">
        <f>N151*VLOOKUP('Données projet'!$B$9,Paramètres!$A$1:$I$89,3,0)*VLOOKUP('Données projet'!$B$9,Paramètres!$A$1:$I$89,5,0)</f>
        <v>589.36862400000041</v>
      </c>
      <c r="P151" s="13">
        <f t="shared" si="141"/>
        <v>129.26055861773426</v>
      </c>
      <c r="Q151" s="20">
        <f t="shared" si="108"/>
        <v>1251.6124930592212</v>
      </c>
      <c r="R151" s="59">
        <f t="shared" si="109"/>
        <v>1544.9458263925544</v>
      </c>
      <c r="S151" s="59">
        <f ca="1">AVERAGE(OFFSET($R$3,0,0,'Données projet'!$E$9+1,1))-AVERAGE(OFFSET($H$3,0,0,'Données projet'!$E$9+1,1))</f>
        <v>695.0879239758051</v>
      </c>
      <c r="T151" s="59">
        <f t="shared" si="142"/>
        <v>226.22150997227476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60.629830876992436</v>
      </c>
      <c r="AA151" s="21">
        <f>EXP(-LN(2)/25)*AA150+(1-EXP(-LN(2)/25))/(LN(2)/25)*Calculateur!V151*Calculateur!X151*VLOOKUP('Données projet'!$B$9,Paramètres!$A$1:$I$89,3,0)*0.475*44/12</f>
        <v>23.100369186771559</v>
      </c>
      <c r="AB151" s="21">
        <f>EXP(-LN(2)/2)*AB150+(1-EXP(-LN(2)/2))/(LN(2)/2)*V151*Y151*VLOOKUP('Données projet'!$B$9,Paramètres!$A$1:$I$89,3,0)*0.475*44/12</f>
        <v>1.1526598088351276E-8</v>
      </c>
      <c r="AC151" s="22">
        <f t="shared" si="111"/>
        <v>83.730200075290583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4.7884896048344674E-14</v>
      </c>
      <c r="AK151" s="13">
        <f t="shared" si="143"/>
        <v>7.8374629847779921E-13</v>
      </c>
      <c r="AL151" s="20">
        <f t="shared" si="112"/>
        <v>1.4484243304663672E-12</v>
      </c>
      <c r="AM151" s="59">
        <f t="shared" si="113"/>
        <v>293.33333333333474</v>
      </c>
      <c r="AN151" s="59">
        <f ca="1">AVERAGE(OFFSET($AM$3,0,0,'Données projet'!$E$10+1,1))-AVERAGE(OFFSET($H$3,0,0,'Données projet'!$E$10+1,1))</f>
        <v>424.81155998881928</v>
      </c>
      <c r="AO151" s="59">
        <f t="shared" si="144"/>
        <v>277.34430416544575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53.252256591445573</v>
      </c>
      <c r="AV151" s="21">
        <f>EXP(-LN(2)/25)*AV150+(1-EXP(-LN(2)/25))/(LN(2)/25)*Calculateur!AQ151*Calculateur!AS151*VLOOKUP('Données projet'!$B$10,Paramètres!$A$1:$I$89,3,0)*0.475*44/12</f>
        <v>8.7320157857259524</v>
      </c>
      <c r="AW151" s="21">
        <f>EXP(-LN(2)/2)*AW150+(1-EXP(-LN(2)/2))/(LN(2)/2)*AQ151*AT151*VLOOKUP('Données projet'!$B$10,Paramètres!$A$1:$I$89,3,0)*0.475*44/12</f>
        <v>3.5395734429174832E-6</v>
      </c>
      <c r="AX151" s="21">
        <f t="shared" si="114"/>
        <v>61.984275916744963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497.34672000000091</v>
      </c>
      <c r="BF151" s="13">
        <f t="shared" si="145"/>
        <v>111.25516581491246</v>
      </c>
      <c r="BG151" s="20">
        <f t="shared" si="115"/>
        <v>1059.9816177943073</v>
      </c>
      <c r="BH151" s="59">
        <f t="shared" si="116"/>
        <v>1353.3149511276406</v>
      </c>
      <c r="BI151" s="59">
        <f ca="1">AVERAGE(OFFSET($BH$3,0,0,'Données projet'!$E$11+1,1))-AVERAGE(OFFSET($H$3,0,0,'Données projet'!$E$11+1,1))</f>
        <v>706.69239849991595</v>
      </c>
      <c r="BJ151" s="59">
        <f t="shared" si="146"/>
        <v>310.59887275116529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51.76377416551135</v>
      </c>
      <c r="BQ151" s="21">
        <f>EXP(-LN(2)/25)*BQ150+(1-EXP(-LN(2)/25))/(LN(2)/25)*Calculateur!BL151*Calculateur!BN151*VLOOKUP('Données projet'!$B$11,Paramètres!$A$1:$I$89,3,0)*0.475*44/12</f>
        <v>23.379422517586022</v>
      </c>
      <c r="BR151" s="21">
        <f>EXP(-LN(2)/2)*BR150+(1-EXP(-LN(2)/2))/(LN(2)/2)*BL151*BO151*VLOOKUP('Données projet'!$B$11,Paramètres!$A$1:$I$89,3,0)*0.475*44/12</f>
        <v>1.3970262069769536E-3</v>
      </c>
      <c r="BS151" s="22">
        <f t="shared" si="117"/>
        <v>75.144593709304345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2.5579538487363607E-13</v>
      </c>
      <c r="BZ151" s="13">
        <f>BY151*VLOOKUP('Données projet'!$B$12,Paramètres!$A$1:$I$89,3,0)*VLOOKUP('Données projet'!$B$12,Paramètres!$A$1:$I$89,5,0)</f>
        <v>2.4341488824575211E-13</v>
      </c>
      <c r="CA151" s="13">
        <f t="shared" si="147"/>
        <v>3.2970717324875541E-12</v>
      </c>
      <c r="CB151" s="20">
        <f t="shared" si="118"/>
        <v>6.1663475311105072E-12</v>
      </c>
      <c r="CC151" s="59">
        <f t="shared" si="119"/>
        <v>293.33333333333945</v>
      </c>
      <c r="CD151" s="59">
        <f ca="1">AVERAGE(OFFSET($CC$3,0,0,'Données projet'!$E$12+1,1))-AVERAGE(OFFSET($H$3,0,0,'Données projet'!$E$12+1,1))</f>
        <v>449.28947235329758</v>
      </c>
      <c r="CE151" s="59">
        <f t="shared" si="148"/>
        <v>289.36994109443964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83.183367308615999</v>
      </c>
      <c r="CL151" s="21">
        <f>EXP(-LN(2)/25)*CL150+(1-EXP(-LN(2)/25))/(LN(2)/25)*Calculateur!CG151*Calculateur!CI151*VLOOKUP('Données projet'!$B$12,Paramètres!$A$1:$I$89,3,0)*0.475*44/12</f>
        <v>15.030925362676255</v>
      </c>
      <c r="CM151" s="21">
        <f>EXP(-LN(2)/2)*CM150+(1-EXP(-LN(2)/2))/(LN(2)/2)*CG151*CJ151*VLOOKUP('Données projet'!$B$12,Paramètres!$A$1:$I$89,3,0)*0.475*44/12</f>
        <v>1.3987195261420922E-2</v>
      </c>
      <c r="CN151" s="22">
        <f t="shared" si="120"/>
        <v>98.228279866553677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2.4829205358400945E-14</v>
      </c>
      <c r="CV151" s="13">
        <f t="shared" si="149"/>
        <v>4.3867331143352915E-13</v>
      </c>
      <c r="CW151" s="20">
        <f t="shared" si="121"/>
        <v>8.0726688341261168E-13</v>
      </c>
      <c r="CX151" s="59">
        <f t="shared" si="122"/>
        <v>293.33333333333411</v>
      </c>
      <c r="CY151" s="59">
        <f ca="1">AVERAGE(OFFSET($CX$3,0,0,'Données projet'!$E$13+1,1))-AVERAGE(OFFSET($H$3,0,0,'Données projet'!$E$13+1,1))</f>
        <v>261.93797831021766</v>
      </c>
      <c r="CZ151" s="59">
        <f t="shared" si="150"/>
        <v>256.90876395053073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8.5797379864117573</v>
      </c>
      <c r="DG151" s="21">
        <f>EXP(-LN(2)/25)*DG150+(1-EXP(-LN(2)/25))/(LN(2)/25)*Calculateur!DB151*Calculateur!DD151*VLOOKUP('Données projet'!$B$13,Paramètres!$A$1:$I$89,3,0)*0.475*44/12</f>
        <v>5.5391526777160296</v>
      </c>
      <c r="DH151" s="21">
        <f>EXP(-LN(2)/2)*DH150+(1-EXP(-LN(2)/2))/(LN(2)/2)*DB151*DE151*VLOOKUP('Données projet'!$B$13,Paramètres!$A$1:$I$89,3,0)*0.475*44/12</f>
        <v>2.6453310647413672E-9</v>
      </c>
      <c r="DI151" s="22">
        <f t="shared" si="123"/>
        <v>14.118890666773117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10.875</v>
      </c>
      <c r="N152" s="13">
        <f>IF('Données projet'!$A$36&gt;35,N151+M152-V151,IF(A152&lt;'Données projet'!$A$36,$K$205^A152,IF(A152='Données projet'!$A$36,'Données projet'!$B$36,N151+M152-V151)))</f>
        <v>662.25500000000045</v>
      </c>
      <c r="O152" s="13">
        <f>N152*VLOOKUP('Données projet'!$B$9,Paramètres!$A$1:$I$89,3,0)*VLOOKUP('Données projet'!$B$9,Paramètres!$A$1:$I$89,5,0)</f>
        <v>599.2083240000004</v>
      </c>
      <c r="P152" s="13">
        <f t="shared" si="141"/>
        <v>131.16556742426994</v>
      </c>
      <c r="Q152" s="20">
        <f t="shared" si="108"/>
        <v>1272.0678608972707</v>
      </c>
      <c r="R152" s="59">
        <f t="shared" si="109"/>
        <v>1565.401194230604</v>
      </c>
      <c r="S152" s="59">
        <f ca="1">AVERAGE(OFFSET($R$3,0,0,'Données projet'!$E$9+1,1))-AVERAGE(OFFSET($H$3,0,0,'Données projet'!$E$9+1,1))</f>
        <v>695.0879239758051</v>
      </c>
      <c r="T152" s="59">
        <f t="shared" si="142"/>
        <v>226.22150997227476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59.440916874039921</v>
      </c>
      <c r="AA152" s="21">
        <f>EXP(-LN(2)/25)*AA151+(1-EXP(-LN(2)/25))/(LN(2)/25)*Calculateur!V152*Calculateur!X152*VLOOKUP('Données projet'!$B$9,Paramètres!$A$1:$I$89,3,0)*0.475*44/12</f>
        <v>22.468688376563673</v>
      </c>
      <c r="AB152" s="21">
        <f>EXP(-LN(2)/2)*AB151+(1-EXP(-LN(2)/2))/(LN(2)/2)*V152*Y152*VLOOKUP('Données projet'!$B$9,Paramètres!$A$1:$I$89,3,0)*0.475*44/12</f>
        <v>8.1505356722850825E-9</v>
      </c>
      <c r="AC152" s="22">
        <f t="shared" si="111"/>
        <v>81.909605258754127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4.7884896048344674E-14</v>
      </c>
      <c r="AK152" s="13">
        <f t="shared" si="143"/>
        <v>7.8374629847779921E-13</v>
      </c>
      <c r="AL152" s="20">
        <f t="shared" si="112"/>
        <v>1.4484243304663672E-12</v>
      </c>
      <c r="AM152" s="59">
        <f t="shared" si="113"/>
        <v>293.33333333333474</v>
      </c>
      <c r="AN152" s="59">
        <f ca="1">AVERAGE(OFFSET($AM$3,0,0,'Données projet'!$E$10+1,1))-AVERAGE(OFFSET($H$3,0,0,'Données projet'!$E$10+1,1))</f>
        <v>424.81155998881928</v>
      </c>
      <c r="AO152" s="59">
        <f t="shared" si="144"/>
        <v>277.34430416544575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52.208012320356644</v>
      </c>
      <c r="AV152" s="21">
        <f>EXP(-LN(2)/25)*AV151+(1-EXP(-LN(2)/25))/(LN(2)/25)*Calculateur!AQ152*Calculateur!AS152*VLOOKUP('Données projet'!$B$10,Paramètres!$A$1:$I$89,3,0)*0.475*44/12</f>
        <v>8.4932383548685237</v>
      </c>
      <c r="AW152" s="21">
        <f>EXP(-LN(2)/2)*AW151+(1-EXP(-LN(2)/2))/(LN(2)/2)*AQ152*AT152*VLOOKUP('Données projet'!$B$10,Paramètres!$A$1:$I$89,3,0)*0.475*44/12</f>
        <v>2.5028563839947674E-6</v>
      </c>
      <c r="AX152" s="21">
        <f t="shared" si="114"/>
        <v>60.701253178081551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506.81241000000091</v>
      </c>
      <c r="BF152" s="13">
        <f t="shared" si="145"/>
        <v>113.12408688761556</v>
      </c>
      <c r="BG152" s="20">
        <f t="shared" si="115"/>
        <v>1079.7227320792654</v>
      </c>
      <c r="BH152" s="59">
        <f t="shared" si="116"/>
        <v>1373.0560654125986</v>
      </c>
      <c r="BI152" s="59">
        <f ca="1">AVERAGE(OFFSET($BH$3,0,0,'Données projet'!$E$11+1,1))-AVERAGE(OFFSET($H$3,0,0,'Données projet'!$E$11+1,1))</f>
        <v>706.69239849991595</v>
      </c>
      <c r="BJ152" s="59">
        <f t="shared" si="146"/>
        <v>310.59887275116529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50.748718126910362</v>
      </c>
      <c r="BQ152" s="21">
        <f>EXP(-LN(2)/25)*BQ151+(1-EXP(-LN(2)/25))/(LN(2)/25)*Calculateur!BL152*Calculateur!BN152*VLOOKUP('Données projet'!$B$11,Paramètres!$A$1:$I$89,3,0)*0.475*44/12</f>
        <v>22.740110979372236</v>
      </c>
      <c r="BR152" s="21">
        <f>EXP(-LN(2)/2)*BR151+(1-EXP(-LN(2)/2))/(LN(2)/2)*BL152*BO152*VLOOKUP('Données projet'!$B$11,Paramètres!$A$1:$I$89,3,0)*0.475*44/12</f>
        <v>9.8784670444872517E-4</v>
      </c>
      <c r="BS152" s="22">
        <f t="shared" si="117"/>
        <v>73.489816952987042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2.5579538487363607E-13</v>
      </c>
      <c r="BZ152" s="13">
        <f>BY152*VLOOKUP('Données projet'!$B$12,Paramètres!$A$1:$I$89,3,0)*VLOOKUP('Données projet'!$B$12,Paramètres!$A$1:$I$89,5,0)</f>
        <v>2.4341488824575211E-13</v>
      </c>
      <c r="CA152" s="13">
        <f t="shared" si="147"/>
        <v>3.2970717324875541E-12</v>
      </c>
      <c r="CB152" s="20">
        <f t="shared" si="118"/>
        <v>6.1663475311105072E-12</v>
      </c>
      <c r="CC152" s="59">
        <f t="shared" si="119"/>
        <v>293.33333333333945</v>
      </c>
      <c r="CD152" s="59">
        <f ca="1">AVERAGE(OFFSET($CC$3,0,0,'Données projet'!$E$12+1,1))-AVERAGE(OFFSET($H$3,0,0,'Données projet'!$E$12+1,1))</f>
        <v>449.28947235329758</v>
      </c>
      <c r="CE152" s="59">
        <f t="shared" si="148"/>
        <v>289.36994109443964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81.552192212538245</v>
      </c>
      <c r="CL152" s="21">
        <f>EXP(-LN(2)/25)*CL151+(1-EXP(-LN(2)/25))/(LN(2)/25)*Calculateur!CG152*Calculateur!CI152*VLOOKUP('Données projet'!$B$12,Paramètres!$A$1:$I$89,3,0)*0.475*44/12</f>
        <v>14.619903918191861</v>
      </c>
      <c r="CM152" s="21">
        <f>EXP(-LN(2)/2)*CM151+(1-EXP(-LN(2)/2))/(LN(2)/2)*CG152*CJ152*VLOOKUP('Données projet'!$B$12,Paramètres!$A$1:$I$89,3,0)*0.475*44/12</f>
        <v>9.8904406191310783E-3</v>
      </c>
      <c r="CN152" s="22">
        <f t="shared" si="120"/>
        <v>96.181986571349242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2.4829205358400945E-14</v>
      </c>
      <c r="CV152" s="13">
        <f t="shared" si="149"/>
        <v>4.3867331143352915E-13</v>
      </c>
      <c r="CW152" s="20">
        <f t="shared" si="121"/>
        <v>8.0726688341261168E-13</v>
      </c>
      <c r="CX152" s="59">
        <f t="shared" si="122"/>
        <v>293.33333333333411</v>
      </c>
      <c r="CY152" s="59">
        <f ca="1">AVERAGE(OFFSET($CX$3,0,0,'Données projet'!$E$13+1,1))-AVERAGE(OFFSET($H$3,0,0,'Données projet'!$E$13+1,1))</f>
        <v>261.93797831021766</v>
      </c>
      <c r="CZ152" s="59">
        <f t="shared" si="150"/>
        <v>256.90876395053073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8.4114945576216673</v>
      </c>
      <c r="DG152" s="21">
        <f>EXP(-LN(2)/25)*DG151+(1-EXP(-LN(2)/25))/(LN(2)/25)*Calculateur!DB152*Calculateur!DD152*VLOOKUP('Données projet'!$B$13,Paramètres!$A$1:$I$89,3,0)*0.475*44/12</f>
        <v>5.3876842564525056</v>
      </c>
      <c r="DH152" s="21">
        <f>EXP(-LN(2)/2)*DH151+(1-EXP(-LN(2)/2))/(LN(2)/2)*DB152*DE152*VLOOKUP('Données projet'!$B$13,Paramètres!$A$1:$I$89,3,0)*0.475*44/12</f>
        <v>1.8705315343620507E-9</v>
      </c>
      <c r="DI152" s="22">
        <f t="shared" si="123"/>
        <v>13.799178815944705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10.875</v>
      </c>
      <c r="M153" s="12">
        <f t="array" ref="M153">INDEX(L:L,MIN(IF(ISNUMBER(L153:L349),ROW(L153:L349),"")))</f>
        <v>10.875</v>
      </c>
      <c r="N153" s="13">
        <f>IF('Données projet'!$A$36&gt;35,N152+M153-V152,IF(A153&lt;'Données projet'!$A$36,$K$205^A153,IF(A153='Données projet'!$A$36,'Données projet'!$B$36,N152+M153-V152)))</f>
        <v>673.13000000000045</v>
      </c>
      <c r="O153" s="13">
        <f>N153*VLOOKUP('Données projet'!$B$9,Paramètres!$A$1:$I$89,3,0)*VLOOKUP('Données projet'!$B$9,Paramètres!$A$1:$I$89,5,0)</f>
        <v>609.0480240000004</v>
      </c>
      <c r="P153" s="13">
        <f t="shared" si="141"/>
        <v>133.06693825648006</v>
      </c>
      <c r="Q153" s="20">
        <f t="shared" si="108"/>
        <v>1292.5168925967034</v>
      </c>
      <c r="R153" s="59">
        <f t="shared" si="109"/>
        <v>1585.8502259300367</v>
      </c>
      <c r="S153" s="59">
        <f ca="1">AVERAGE(OFFSET($R$3,0,0,'Données projet'!$E$9+1,1))-AVERAGE(OFFSET($H$3,0,0,'Données projet'!$E$9+1,1))</f>
        <v>695.0879239758051</v>
      </c>
      <c r="T153" s="59">
        <f t="shared" si="142"/>
        <v>226.22150997227476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259.52</v>
      </c>
      <c r="W153" s="16">
        <f>IF(ISNA(VLOOKUP(A153,'Données projet'!$A$35:$I$55,5,0)),0%,VLOOKUP(A153,'Données projet'!$A$35:$I$55,5,0)*VLOOKUP('Données projet'!$B$9,Paramètres!$A$1:$I$89,7,0))</f>
        <v>0.19350000000000001</v>
      </c>
      <c r="X153" s="16">
        <f>IF(ISNA(VLOOKUP(A153,'Données projet'!$A$35:$I$55,6,0)),0%,VLOOKUP(A153,'Données projet'!$A$35:$I$55,6,0)*VLOOKUP('Données projet'!$B$9,Paramètres!$A$1:$I$89,7,0))</f>
        <v>2.1500000000000002E-2</v>
      </c>
      <c r="Y153" s="16">
        <f>IF(ISNA(VLOOKUP(A153,'Données projet'!$A$35:$I$55,7,0)),0%,VLOOKUP(A153,'Données projet'!$A$35:$I$55,7,0))</f>
        <v>0.05</v>
      </c>
      <c r="Z153" s="21">
        <f>EXP(-LN(2)/35)*Z152+(1-EXP(-LN(2)/35))/(LN(2)/35)*V153*W153*VLOOKUP('Données projet'!$B$9,Paramètres!$A$1:$I$89,3,0)*0.475*44/12</f>
        <v>108.50396657021207</v>
      </c>
      <c r="AA153" s="21">
        <f>EXP(-LN(2)/25)*AA152+(1-EXP(-LN(2)/25))/(LN(2)/25)*Calculateur!V153*Calculateur!X153*VLOOKUP('Données projet'!$B$9,Paramètres!$A$1:$I$89,3,0)*0.475*44/12</f>
        <v>27.413267632188749</v>
      </c>
      <c r="AB153" s="21">
        <f>EXP(-LN(2)/2)*AB152+(1-EXP(-LN(2)/2))/(LN(2)/2)*V153*Y153*VLOOKUP('Données projet'!$B$9,Paramètres!$A$1:$I$89,3,0)*0.475*44/12</f>
        <v>11.077652110461678</v>
      </c>
      <c r="AC153" s="22">
        <f t="shared" si="111"/>
        <v>146.99488631286252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4.7884896048344674E-14</v>
      </c>
      <c r="AK153" s="13">
        <f t="shared" si="143"/>
        <v>7.8374629847779921E-13</v>
      </c>
      <c r="AL153" s="20">
        <f t="shared" si="112"/>
        <v>1.4484243304663672E-12</v>
      </c>
      <c r="AM153" s="59">
        <f t="shared" si="113"/>
        <v>293.33333333333474</v>
      </c>
      <c r="AN153" s="59">
        <f ca="1">AVERAGE(OFFSET($AM$3,0,0,'Données projet'!$E$10+1,1))-AVERAGE(OFFSET($H$3,0,0,'Données projet'!$E$10+1,1))</f>
        <v>424.81155998881928</v>
      </c>
      <c r="AO153" s="59">
        <f t="shared" si="144"/>
        <v>277.34430416544575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51.184245042497658</v>
      </c>
      <c r="AV153" s="21">
        <f>EXP(-LN(2)/25)*AV152+(1-EXP(-LN(2)/25))/(LN(2)/25)*Calculateur!AQ153*Calculateur!AS153*VLOOKUP('Données projet'!$B$10,Paramètres!$A$1:$I$89,3,0)*0.475*44/12</f>
        <v>8.2609903054146496</v>
      </c>
      <c r="AW153" s="21">
        <f>EXP(-LN(2)/2)*AW152+(1-EXP(-LN(2)/2))/(LN(2)/2)*AQ153*AT153*VLOOKUP('Données projet'!$B$10,Paramètres!$A$1:$I$89,3,0)*0.475*44/12</f>
        <v>1.7697867214587416E-6</v>
      </c>
      <c r="AX153" s="21">
        <f t="shared" si="114"/>
        <v>59.44523711769903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516.2781000000009</v>
      </c>
      <c r="BF153" s="13">
        <f t="shared" si="145"/>
        <v>114.98894910398533</v>
      </c>
      <c r="BG153" s="20">
        <f t="shared" si="115"/>
        <v>1099.4567771894424</v>
      </c>
      <c r="BH153" s="59">
        <f t="shared" si="116"/>
        <v>1392.7901105227756</v>
      </c>
      <c r="BI153" s="59">
        <f ca="1">AVERAGE(OFFSET($BH$3,0,0,'Données projet'!$E$11+1,1))-AVERAGE(OFFSET($H$3,0,0,'Données projet'!$E$11+1,1))</f>
        <v>706.69239849991595</v>
      </c>
      <c r="BJ153" s="59">
        <f t="shared" si="146"/>
        <v>310.59887275116529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49.753566718103286</v>
      </c>
      <c r="BQ153" s="21">
        <f>EXP(-LN(2)/25)*BQ152+(1-EXP(-LN(2)/25))/(LN(2)/25)*Calculateur!BL153*Calculateur!BN153*VLOOKUP('Données projet'!$B$11,Paramètres!$A$1:$I$89,3,0)*0.475*44/12</f>
        <v>22.118281448790839</v>
      </c>
      <c r="BR153" s="21">
        <f>EXP(-LN(2)/2)*BR152+(1-EXP(-LN(2)/2))/(LN(2)/2)*BL153*BO153*VLOOKUP('Données projet'!$B$11,Paramètres!$A$1:$I$89,3,0)*0.475*44/12</f>
        <v>6.9851310348847679E-4</v>
      </c>
      <c r="BS153" s="22">
        <f t="shared" si="117"/>
        <v>71.872546679997612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2.5579538487363607E-13</v>
      </c>
      <c r="BZ153" s="13">
        <f>BY153*VLOOKUP('Données projet'!$B$12,Paramètres!$A$1:$I$89,3,0)*VLOOKUP('Données projet'!$B$12,Paramètres!$A$1:$I$89,5,0)</f>
        <v>2.4341488824575211E-13</v>
      </c>
      <c r="CA153" s="13">
        <f t="shared" si="147"/>
        <v>3.2970717324875541E-12</v>
      </c>
      <c r="CB153" s="20">
        <f t="shared" si="118"/>
        <v>6.1663475311105072E-12</v>
      </c>
      <c r="CC153" s="59">
        <f t="shared" si="119"/>
        <v>293.33333333333945</v>
      </c>
      <c r="CD153" s="59">
        <f ca="1">AVERAGE(OFFSET($CC$3,0,0,'Données projet'!$E$12+1,1))-AVERAGE(OFFSET($H$3,0,0,'Données projet'!$E$12+1,1))</f>
        <v>449.28947235329758</v>
      </c>
      <c r="CE153" s="59">
        <f t="shared" si="148"/>
        <v>289.36994109443964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79.95300346517601</v>
      </c>
      <c r="CL153" s="21">
        <f>EXP(-LN(2)/25)*CL152+(1-EXP(-LN(2)/25))/(LN(2)/25)*Calculateur!CG153*Calculateur!CI153*VLOOKUP('Données projet'!$B$12,Paramètres!$A$1:$I$89,3,0)*0.475*44/12</f>
        <v>14.220121876721572</v>
      </c>
      <c r="CM153" s="21">
        <f>EXP(-LN(2)/2)*CM152+(1-EXP(-LN(2)/2))/(LN(2)/2)*CG153*CJ153*VLOOKUP('Données projet'!$B$12,Paramètres!$A$1:$I$89,3,0)*0.475*44/12</f>
        <v>6.9935976307104611E-3</v>
      </c>
      <c r="CN153" s="22">
        <f t="shared" si="120"/>
        <v>94.180118939528299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2.4829205358400945E-14</v>
      </c>
      <c r="CV153" s="13">
        <f t="shared" si="149"/>
        <v>4.3867331143352915E-13</v>
      </c>
      <c r="CW153" s="20">
        <f t="shared" si="121"/>
        <v>8.0726688341261168E-13</v>
      </c>
      <c r="CX153" s="59">
        <f t="shared" si="122"/>
        <v>293.33333333333411</v>
      </c>
      <c r="CY153" s="59">
        <f ca="1">AVERAGE(OFFSET($CX$3,0,0,'Données projet'!$E$13+1,1))-AVERAGE(OFFSET($H$3,0,0,'Données projet'!$E$13+1,1))</f>
        <v>261.93797831021766</v>
      </c>
      <c r="CZ153" s="59">
        <f t="shared" si="150"/>
        <v>256.90876395053073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8.2465502798517907</v>
      </c>
      <c r="DG153" s="21">
        <f>EXP(-LN(2)/25)*DG152+(1-EXP(-LN(2)/25))/(LN(2)/25)*Calculateur!DB153*Calculateur!DD153*VLOOKUP('Données projet'!$B$13,Paramètres!$A$1:$I$89,3,0)*0.475*44/12</f>
        <v>5.2403577471338103</v>
      </c>
      <c r="DH153" s="21">
        <f>EXP(-LN(2)/2)*DH152+(1-EXP(-LN(2)/2))/(LN(2)/2)*DB153*DE153*VLOOKUP('Données projet'!$B$13,Paramètres!$A$1:$I$89,3,0)*0.475*44/12</f>
        <v>1.3226655323706836E-9</v>
      </c>
      <c r="DI153" s="22">
        <f t="shared" si="123"/>
        <v>13.486908028308267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7.1200000000000045</v>
      </c>
      <c r="N154" s="13">
        <f>IF('Données projet'!$A$36&gt;35,N153+M154-V153,IF(A154&lt;'Données projet'!$A$36,$K$205^A154,IF(A154='Données projet'!$A$36,'Données projet'!$B$36,N153+M154-V153)))</f>
        <v>420.73000000000047</v>
      </c>
      <c r="O154" s="13">
        <f>N154*VLOOKUP('Données projet'!$B$9,Paramètres!$A$1:$I$89,3,0)*VLOOKUP('Données projet'!$B$9,Paramètres!$A$1:$I$89,5,0)</f>
        <v>380.67650400000042</v>
      </c>
      <c r="P154" s="13">
        <f t="shared" si="141"/>
        <v>87.847905288115243</v>
      </c>
      <c r="Q154" s="20">
        <f t="shared" ref="Q154:Q203" si="162">(O154+P154)*0.475*44/12</f>
        <v>816.01334617680141</v>
      </c>
      <c r="R154" s="59">
        <f t="shared" si="109"/>
        <v>1109.3466795101347</v>
      </c>
      <c r="S154" s="59">
        <f ca="1">AVERAGE(OFFSET($R$3,0,0,'Données projet'!$E$9+1,1))-AVERAGE(OFFSET($H$3,0,0,'Données projet'!$E$9+1,1))</f>
        <v>695.0879239758051</v>
      </c>
      <c r="T154" s="59">
        <f t="shared" si="142"/>
        <v>226.22150997227476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106.376269966655</v>
      </c>
      <c r="AA154" s="21">
        <f>EXP(-LN(2)/25)*AA153+(1-EXP(-LN(2)/25))/(LN(2)/25)*Calculateur!V154*Calculateur!X154*VLOOKUP('Données projet'!$B$9,Paramètres!$A$1:$I$89,3,0)*0.475*44/12</f>
        <v>26.663650387185456</v>
      </c>
      <c r="AB154" s="21">
        <f>EXP(-LN(2)/2)*AB153+(1-EXP(-LN(2)/2))/(LN(2)/2)*V154*Y154*VLOOKUP('Données projet'!$B$9,Paramètres!$A$1:$I$89,3,0)*0.475*44/12</f>
        <v>7.8330829269329225</v>
      </c>
      <c r="AC154" s="22">
        <f t="shared" ref="AC154:AC203" si="163">SUM(Z154:AB154)</f>
        <v>140.87300328077336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4.7884896048344674E-14</v>
      </c>
      <c r="AK154" s="13">
        <f t="shared" ref="AK154:AK203" si="164">EXP(-1.0587+0.8836*LN(AJ154)+0.284)</f>
        <v>7.8374629847779921E-13</v>
      </c>
      <c r="AL154" s="20">
        <f t="shared" ref="AL154:AL203" si="165">(AJ154+AK154)*0.475*44/12</f>
        <v>1.4484243304663672E-12</v>
      </c>
      <c r="AM154" s="59">
        <f t="shared" si="113"/>
        <v>293.33333333333474</v>
      </c>
      <c r="AN154" s="59">
        <f ca="1">AVERAGE(OFFSET($AM$3,0,0,'Données projet'!$E$10+1,1))-AVERAGE(OFFSET($H$3,0,0,'Données projet'!$E$10+1,1))</f>
        <v>424.81155998881928</v>
      </c>
      <c r="AO154" s="59">
        <f t="shared" si="144"/>
        <v>277.34430416544575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50.180553216521105</v>
      </c>
      <c r="AV154" s="21">
        <f>EXP(-LN(2)/25)*AV153+(1-EXP(-LN(2)/25))/(LN(2)/25)*Calculateur!AQ154*Calculateur!AS154*VLOOKUP('Données projet'!$B$10,Paramètres!$A$1:$I$89,3,0)*0.475*44/12</f>
        <v>8.0350930910864875</v>
      </c>
      <c r="AW154" s="21">
        <f>EXP(-LN(2)/2)*AW153+(1-EXP(-LN(2)/2))/(LN(2)/2)*AQ154*AT154*VLOOKUP('Données projet'!$B$10,Paramètres!$A$1:$I$89,3,0)*0.475*44/12</f>
        <v>1.2514281919973837E-6</v>
      </c>
      <c r="AX154" s="21">
        <f t="shared" ref="AX154:AX203" si="166">SUM(AU154:AW154)</f>
        <v>58.215647559035787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525.7437900000009</v>
      </c>
      <c r="BF154" s="13">
        <f t="shared" ref="BF154:BF203" si="167">EXP(-1.0587+0.8836*LN(BE154)+0.284)</f>
        <v>116.84983546396843</v>
      </c>
      <c r="BG154" s="20">
        <f t="shared" ref="BG154:BG203" si="168">(BE154+BF154)*0.475*44/12</f>
        <v>1119.18389768308</v>
      </c>
      <c r="BH154" s="59">
        <f t="shared" si="116"/>
        <v>1412.5172310164132</v>
      </c>
      <c r="BI154" s="59">
        <f ca="1">AVERAGE(OFFSET($BH$3,0,0,'Données projet'!$E$11+1,1))-AVERAGE(OFFSET($H$3,0,0,'Données projet'!$E$11+1,1))</f>
        <v>706.69239849991595</v>
      </c>
      <c r="BJ154" s="59">
        <f t="shared" si="146"/>
        <v>310.59887275116529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48.777929621440492</v>
      </c>
      <c r="BQ154" s="21">
        <f>EXP(-LN(2)/25)*BQ153+(1-EXP(-LN(2)/25))/(LN(2)/25)*Calculateur!BL154*Calculateur!BN154*VLOOKUP('Données projet'!$B$11,Paramètres!$A$1:$I$89,3,0)*0.475*44/12</f>
        <v>21.513455879423784</v>
      </c>
      <c r="BR154" s="21">
        <f>EXP(-LN(2)/2)*BR153+(1-EXP(-LN(2)/2))/(LN(2)/2)*BL154*BO154*VLOOKUP('Données projet'!$B$11,Paramètres!$A$1:$I$89,3,0)*0.475*44/12</f>
        <v>4.9392335222436259E-4</v>
      </c>
      <c r="BS154" s="22">
        <f t="shared" ref="BS154:BS203" si="169">SUM(BP154:BR154)</f>
        <v>70.291879424216503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2.5579538487363607E-13</v>
      </c>
      <c r="BZ154" s="13">
        <f>BY154*VLOOKUP('Données projet'!$B$12,Paramètres!$A$1:$I$89,3,0)*VLOOKUP('Données projet'!$B$12,Paramètres!$A$1:$I$89,5,0)</f>
        <v>2.4341488824575211E-13</v>
      </c>
      <c r="CA154" s="13">
        <f t="shared" ref="CA154:CA203" si="170">EXP(-1.0587+0.8836*LN(BZ154)+0.284)</f>
        <v>3.2970717324875541E-12</v>
      </c>
      <c r="CB154" s="20">
        <f t="shared" ref="CB154:CB203" si="171">(BZ154+CA154)*0.475*44/12</f>
        <v>6.1663475311105072E-12</v>
      </c>
      <c r="CC154" s="59">
        <f t="shared" si="119"/>
        <v>293.33333333333945</v>
      </c>
      <c r="CD154" s="59">
        <f ca="1">AVERAGE(OFFSET($CC$3,0,0,'Données projet'!$E$12+1,1))-AVERAGE(OFFSET($H$3,0,0,'Données projet'!$E$12+1,1))</f>
        <v>449.28947235329758</v>
      </c>
      <c r="CE154" s="59">
        <f t="shared" si="148"/>
        <v>289.36994109443964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78.385173833740723</v>
      </c>
      <c r="CL154" s="21">
        <f>EXP(-LN(2)/25)*CL153+(1-EXP(-LN(2)/25))/(LN(2)/25)*Calculateur!CG154*Calculateur!CI154*VLOOKUP('Données projet'!$B$12,Paramètres!$A$1:$I$89,3,0)*0.475*44/12</f>
        <v>13.831271896198912</v>
      </c>
      <c r="CM154" s="21">
        <f>EXP(-LN(2)/2)*CM153+(1-EXP(-LN(2)/2))/(LN(2)/2)*CG154*CJ154*VLOOKUP('Données projet'!$B$12,Paramètres!$A$1:$I$89,3,0)*0.475*44/12</f>
        <v>4.9452203095655392E-3</v>
      </c>
      <c r="CN154" s="22">
        <f t="shared" ref="CN154:CN203" si="172">SUM(CK154:CM154)</f>
        <v>92.221390950249202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2.4829205358400945E-14</v>
      </c>
      <c r="CV154" s="13">
        <f t="shared" ref="CV154:CV203" si="173">EXP(-1.0587+0.8836*LN(CU154)+0.284)</f>
        <v>4.3867331143352915E-13</v>
      </c>
      <c r="CW154" s="20">
        <f t="shared" ref="CW154:CW203" si="174">(CU154+CV154)*0.475*44/12</f>
        <v>8.0726688341261168E-13</v>
      </c>
      <c r="CX154" s="59">
        <f t="shared" si="122"/>
        <v>293.33333333333411</v>
      </c>
      <c r="CY154" s="59">
        <f ca="1">AVERAGE(OFFSET($CX$3,0,0,'Données projet'!$E$13+1,1))-AVERAGE(OFFSET($H$3,0,0,'Données projet'!$E$13+1,1))</f>
        <v>261.93797831021766</v>
      </c>
      <c r="CZ154" s="59">
        <f t="shared" si="150"/>
        <v>256.90876395053073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8.0848404587629066</v>
      </c>
      <c r="DG154" s="21">
        <f>EXP(-LN(2)/25)*DG153+(1-EXP(-LN(2)/25))/(LN(2)/25)*Calculateur!DB154*Calculateur!DD154*VLOOKUP('Données projet'!$B$13,Paramètres!$A$1:$I$89,3,0)*0.475*44/12</f>
        <v>5.0970598889599996</v>
      </c>
      <c r="DH154" s="21">
        <f>EXP(-LN(2)/2)*DH153+(1-EXP(-LN(2)/2))/(LN(2)/2)*DB154*DE154*VLOOKUP('Données projet'!$B$13,Paramètres!$A$1:$I$89,3,0)*0.475*44/12</f>
        <v>9.3526576718102533E-10</v>
      </c>
      <c r="DI154" s="22">
        <f t="shared" ref="DI154:DI203" si="175">SUM(DF154:DH154)</f>
        <v>13.181900348658171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7.1200000000000045</v>
      </c>
      <c r="N155" s="13">
        <f>IF('Données projet'!$A$36&gt;35,N154+M155-V154,IF(A155&lt;'Données projet'!$A$36,$K$205^A155,IF(A155='Données projet'!$A$36,'Données projet'!$B$36,N154+M155-V154)))</f>
        <v>427.85000000000048</v>
      </c>
      <c r="O155" s="13">
        <f>N155*VLOOKUP('Données projet'!$B$9,Paramètres!$A$1:$I$89,3,0)*VLOOKUP('Données projet'!$B$9,Paramètres!$A$1:$I$89,5,0)</f>
        <v>387.11868000000038</v>
      </c>
      <c r="P155" s="13">
        <f t="shared" si="141"/>
        <v>89.160221060882904</v>
      </c>
      <c r="Q155" s="20">
        <f t="shared" si="162"/>
        <v>829.51908601437174</v>
      </c>
      <c r="R155" s="59">
        <f t="shared" si="109"/>
        <v>1122.8524193477051</v>
      </c>
      <c r="S155" s="59">
        <f ca="1">AVERAGE(OFFSET($R$3,0,0,'Données projet'!$E$9+1,1))-AVERAGE(OFFSET($H$3,0,0,'Données projet'!$E$9+1,1))</f>
        <v>695.0879239758051</v>
      </c>
      <c r="T155" s="59">
        <f t="shared" si="142"/>
        <v>226.22150997227476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104.2902961957269</v>
      </c>
      <c r="AA155" s="21">
        <f>EXP(-LN(2)/25)*AA154+(1-EXP(-LN(2)/25))/(LN(2)/25)*Calculateur!V155*Calculateur!X155*VLOOKUP('Données projet'!$B$9,Paramètres!$A$1:$I$89,3,0)*0.475*44/12</f>
        <v>25.934531465167435</v>
      </c>
      <c r="AB155" s="21">
        <f>EXP(-LN(2)/2)*AB154+(1-EXP(-LN(2)/2))/(LN(2)/2)*V155*Y155*VLOOKUP('Données projet'!$B$9,Paramètres!$A$1:$I$89,3,0)*0.475*44/12</f>
        <v>5.5388260552308397</v>
      </c>
      <c r="AC155" s="22">
        <f t="shared" si="163"/>
        <v>135.76365371612516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4.7884896048344674E-14</v>
      </c>
      <c r="AK155" s="13">
        <f t="shared" si="164"/>
        <v>7.8374629847779921E-13</v>
      </c>
      <c r="AL155" s="20">
        <f t="shared" si="165"/>
        <v>1.4484243304663672E-12</v>
      </c>
      <c r="AM155" s="59">
        <f t="shared" si="113"/>
        <v>293.33333333333474</v>
      </c>
      <c r="AN155" s="59">
        <f ca="1">AVERAGE(OFFSET($AM$3,0,0,'Données projet'!$E$10+1,1))-AVERAGE(OFFSET($H$3,0,0,'Données projet'!$E$10+1,1))</f>
        <v>424.81155998881928</v>
      </c>
      <c r="AO155" s="59">
        <f t="shared" si="144"/>
        <v>277.34430416544575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49.196543175060384</v>
      </c>
      <c r="AV155" s="21">
        <f>EXP(-LN(2)/25)*AV154+(1-EXP(-LN(2)/25))/(LN(2)/25)*Calculateur!AQ155*Calculateur!AS155*VLOOKUP('Données projet'!$B$10,Paramètres!$A$1:$I$89,3,0)*0.475*44/12</f>
        <v>7.8153730479635461</v>
      </c>
      <c r="AW155" s="21">
        <f>EXP(-LN(2)/2)*AW154+(1-EXP(-LN(2)/2))/(LN(2)/2)*AQ155*AT155*VLOOKUP('Données projet'!$B$10,Paramètres!$A$1:$I$89,3,0)*0.475*44/12</f>
        <v>8.848933607293708E-7</v>
      </c>
      <c r="AX155" s="21">
        <f t="shared" si="166"/>
        <v>57.011917107917292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535.20948000000089</v>
      </c>
      <c r="BF155" s="13">
        <f t="shared" si="167"/>
        <v>118.70682580764394</v>
      </c>
      <c r="BG155" s="20">
        <f t="shared" si="168"/>
        <v>1138.9042326149813</v>
      </c>
      <c r="BH155" s="59">
        <f t="shared" si="116"/>
        <v>1432.2375659483146</v>
      </c>
      <c r="BI155" s="59">
        <f ca="1">AVERAGE(OFFSET($BH$3,0,0,'Données projet'!$E$11+1,1))-AVERAGE(OFFSET($H$3,0,0,'Données projet'!$E$11+1,1))</f>
        <v>706.69239849991595</v>
      </c>
      <c r="BJ155" s="59">
        <f t="shared" si="146"/>
        <v>310.59887275116529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47.821424173163386</v>
      </c>
      <c r="BQ155" s="21">
        <f>EXP(-LN(2)/25)*BQ154+(1-EXP(-LN(2)/25))/(LN(2)/25)*Calculateur!BL155*Calculateur!BN155*VLOOKUP('Données projet'!$B$11,Paramètres!$A$1:$I$89,3,0)*0.475*44/12</f>
        <v>20.925169297057465</v>
      </c>
      <c r="BR155" s="21">
        <f>EXP(-LN(2)/2)*BR154+(1-EXP(-LN(2)/2))/(LN(2)/2)*BL155*BO155*VLOOKUP('Données projet'!$B$11,Paramètres!$A$1:$I$89,3,0)*0.475*44/12</f>
        <v>3.492565517442384E-4</v>
      </c>
      <c r="BS155" s="22">
        <f t="shared" si="169"/>
        <v>68.746942726772602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2.5579538487363607E-13</v>
      </c>
      <c r="BZ155" s="13">
        <f>BY155*VLOOKUP('Données projet'!$B$12,Paramètres!$A$1:$I$89,3,0)*VLOOKUP('Données projet'!$B$12,Paramètres!$A$1:$I$89,5,0)</f>
        <v>2.4341488824575211E-13</v>
      </c>
      <c r="CA155" s="13">
        <f t="shared" si="170"/>
        <v>3.2970717324875541E-12</v>
      </c>
      <c r="CB155" s="20">
        <f t="shared" si="171"/>
        <v>6.1663475311105072E-12</v>
      </c>
      <c r="CC155" s="59">
        <f t="shared" si="119"/>
        <v>293.33333333333945</v>
      </c>
      <c r="CD155" s="59">
        <f ca="1">AVERAGE(OFFSET($CC$3,0,0,'Données projet'!$E$12+1,1))-AVERAGE(OFFSET($H$3,0,0,'Données projet'!$E$12+1,1))</f>
        <v>449.28947235329758</v>
      </c>
      <c r="CE155" s="59">
        <f t="shared" si="148"/>
        <v>289.36994109443964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76.848088385096233</v>
      </c>
      <c r="CL155" s="21">
        <f>EXP(-LN(2)/25)*CL154+(1-EXP(-LN(2)/25))/(LN(2)/25)*Calculateur!CG155*Calculateur!CI155*VLOOKUP('Données projet'!$B$12,Paramètres!$A$1:$I$89,3,0)*0.475*44/12</f>
        <v>13.453055038842376</v>
      </c>
      <c r="CM155" s="21">
        <f>EXP(-LN(2)/2)*CM154+(1-EXP(-LN(2)/2))/(LN(2)/2)*CG155*CJ155*VLOOKUP('Données projet'!$B$12,Paramètres!$A$1:$I$89,3,0)*0.475*44/12</f>
        <v>3.4967988153552306E-3</v>
      </c>
      <c r="CN155" s="22">
        <f t="shared" si="172"/>
        <v>90.30464022275396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2.4829205358400945E-14</v>
      </c>
      <c r="CV155" s="13">
        <f t="shared" si="173"/>
        <v>4.3867331143352915E-13</v>
      </c>
      <c r="CW155" s="20">
        <f t="shared" si="174"/>
        <v>8.0726688341261168E-13</v>
      </c>
      <c r="CX155" s="59">
        <f t="shared" si="122"/>
        <v>293.33333333333411</v>
      </c>
      <c r="CY155" s="59">
        <f ca="1">AVERAGE(OFFSET($CX$3,0,0,'Données projet'!$E$13+1,1))-AVERAGE(OFFSET($H$3,0,0,'Données projet'!$E$13+1,1))</f>
        <v>261.93797831021766</v>
      </c>
      <c r="CZ155" s="59">
        <f t="shared" si="150"/>
        <v>256.90876395053073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7.9263016686323242</v>
      </c>
      <c r="DG155" s="21">
        <f>EXP(-LN(2)/25)*DG154+(1-EXP(-LN(2)/25))/(LN(2)/25)*Calculateur!DB155*Calculateur!DD155*VLOOKUP('Données projet'!$B$13,Paramètres!$A$1:$I$89,3,0)*0.475*44/12</f>
        <v>4.9576805182536585</v>
      </c>
      <c r="DH155" s="21">
        <f>EXP(-LN(2)/2)*DH154+(1-EXP(-LN(2)/2))/(LN(2)/2)*DB155*DE155*VLOOKUP('Données projet'!$B$13,Paramètres!$A$1:$I$89,3,0)*0.475*44/12</f>
        <v>6.613327661853418E-10</v>
      </c>
      <c r="DI155" s="22">
        <f t="shared" si="175"/>
        <v>12.883982187547316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7.1200000000000045</v>
      </c>
      <c r="M156" s="12">
        <f t="array" ref="M156">INDEX(L:L,MIN(IF(ISNUMBER(L156:L352),ROW(L156:L352),"")))</f>
        <v>7.1200000000000045</v>
      </c>
      <c r="N156" s="13">
        <f>IF('Données projet'!$A$36&gt;35,N155+M156-V155,IF(A156&lt;'Données projet'!$A$36,$K$205^A156,IF(A156='Données projet'!$A$36,'Données projet'!$B$36,N155+M156-V155)))</f>
        <v>434.97000000000048</v>
      </c>
      <c r="O156" s="13">
        <f>N156*VLOOKUP('Données projet'!$B$9,Paramètres!$A$1:$I$89,3,0)*VLOOKUP('Données projet'!$B$9,Paramètres!$A$1:$I$89,5,0)</f>
        <v>393.5608560000004</v>
      </c>
      <c r="P156" s="13">
        <f t="shared" si="141"/>
        <v>90.469997145330012</v>
      </c>
      <c r="Q156" s="20">
        <f t="shared" si="162"/>
        <v>843.0204025614504</v>
      </c>
      <c r="R156" s="59">
        <f t="shared" si="109"/>
        <v>1136.3537358947838</v>
      </c>
      <c r="S156" s="59">
        <f ca="1">AVERAGE(OFFSET($R$3,0,0,'Données projet'!$E$9+1,1))-AVERAGE(OFFSET($H$3,0,0,'Données projet'!$E$9+1,1))</f>
        <v>695.0879239758051</v>
      </c>
      <c r="T156" s="59">
        <f t="shared" si="142"/>
        <v>226.22150997227476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156.29000000000002</v>
      </c>
      <c r="W156" s="16">
        <f>IF(ISNA(VLOOKUP(A156,'Données projet'!$A$35:$I$55,5,0)),0%,VLOOKUP(A156,'Données projet'!$A$35:$I$55,5,0)*VLOOKUP('Données projet'!$B$9,Paramètres!$A$1:$I$89,7,0))</f>
        <v>0.19350000000000001</v>
      </c>
      <c r="X156" s="16">
        <f>IF(ISNA(VLOOKUP(A156,'Données projet'!$A$35:$I$55,6,0)),0%,VLOOKUP(A156,'Données projet'!$A$35:$I$55,6,0)*VLOOKUP('Données projet'!$B$9,Paramètres!$A$1:$I$89,7,0))</f>
        <v>2.1500000000000002E-2</v>
      </c>
      <c r="Y156" s="16">
        <f>IF(ISNA(VLOOKUP(A156,'Données projet'!$A$35:$I$55,7,0)),0%,VLOOKUP(A156,'Données projet'!$A$35:$I$55,7,0))</f>
        <v>0.05</v>
      </c>
      <c r="Z156" s="21">
        <f>EXP(-LN(2)/35)*Z155+(1-EXP(-LN(2)/35))/(LN(2)/35)*V156*W156*VLOOKUP('Données projet'!$B$9,Paramètres!$A$1:$I$89,3,0)*0.475*44/12</f>
        <v>132.49428566962979</v>
      </c>
      <c r="AA156" s="21">
        <f>EXP(-LN(2)/25)*AA155+(1-EXP(-LN(2)/25))/(LN(2)/25)*Calculateur!V156*Calculateur!X156*VLOOKUP('Données projet'!$B$9,Paramètres!$A$1:$I$89,3,0)*0.475*44/12</f>
        <v>28.573123283093647</v>
      </c>
      <c r="AB156" s="21">
        <f>EXP(-LN(2)/2)*AB155+(1-EXP(-LN(2)/2))/(LN(2)/2)*V156*Y156*VLOOKUP('Données projet'!$B$9,Paramètres!$A$1:$I$89,3,0)*0.475*44/12</f>
        <v>10.58780474738797</v>
      </c>
      <c r="AC156" s="22">
        <f t="shared" si="163"/>
        <v>171.6552137001114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4.7884896048344674E-14</v>
      </c>
      <c r="AK156" s="13">
        <f t="shared" si="164"/>
        <v>7.8374629847779921E-13</v>
      </c>
      <c r="AL156" s="20">
        <f t="shared" si="165"/>
        <v>1.4484243304663672E-12</v>
      </c>
      <c r="AM156" s="59">
        <f t="shared" si="113"/>
        <v>293.33333333333474</v>
      </c>
      <c r="AN156" s="59">
        <f ca="1">AVERAGE(OFFSET($AM$3,0,0,'Données projet'!$E$10+1,1))-AVERAGE(OFFSET($H$3,0,0,'Données projet'!$E$10+1,1))</f>
        <v>424.81155998881928</v>
      </c>
      <c r="AO156" s="59">
        <f t="shared" si="144"/>
        <v>277.34430416544575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48.23182897032585</v>
      </c>
      <c r="AV156" s="21">
        <f>EXP(-LN(2)/25)*AV155+(1-EXP(-LN(2)/25))/(LN(2)/25)*Calculateur!AQ156*Calculateur!AS156*VLOOKUP('Données projet'!$B$10,Paramètres!$A$1:$I$89,3,0)*0.475*44/12</f>
        <v>7.6016612609743763</v>
      </c>
      <c r="AW156" s="21">
        <f>EXP(-LN(2)/2)*AW155+(1-EXP(-LN(2)/2))/(LN(2)/2)*AQ156*AT156*VLOOKUP('Données projet'!$B$10,Paramètres!$A$1:$I$89,3,0)*0.475*44/12</f>
        <v>6.2571409599869185E-7</v>
      </c>
      <c r="AX156" s="21">
        <f t="shared" si="166"/>
        <v>55.833490857014318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544.67517000000089</v>
      </c>
      <c r="BF156" s="13">
        <f t="shared" si="167"/>
        <v>120.55999698924055</v>
      </c>
      <c r="BG156" s="20">
        <f t="shared" si="168"/>
        <v>1158.6179158395955</v>
      </c>
      <c r="BH156" s="59">
        <f t="shared" si="116"/>
        <v>1451.9512491729288</v>
      </c>
      <c r="BI156" s="59">
        <f ca="1">AVERAGE(OFFSET($BH$3,0,0,'Données projet'!$E$11+1,1))-AVERAGE(OFFSET($H$3,0,0,'Données projet'!$E$11+1,1))</f>
        <v>706.69239849991595</v>
      </c>
      <c r="BJ156" s="59">
        <f t="shared" si="146"/>
        <v>310.59887275116529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46.88367521331628</v>
      </c>
      <c r="BQ156" s="21">
        <f>EXP(-LN(2)/25)*BQ155+(1-EXP(-LN(2)/25))/(LN(2)/25)*Calculateur!BL156*Calculateur!BN156*VLOOKUP('Données projet'!$B$11,Paramètres!$A$1:$I$89,3,0)*0.475*44/12</f>
        <v>20.352969442222602</v>
      </c>
      <c r="BR156" s="21">
        <f>EXP(-LN(2)/2)*BR155+(1-EXP(-LN(2)/2))/(LN(2)/2)*BL156*BO156*VLOOKUP('Données projet'!$B$11,Paramètres!$A$1:$I$89,3,0)*0.475*44/12</f>
        <v>2.4696167611218129E-4</v>
      </c>
      <c r="BS156" s="22">
        <f t="shared" si="169"/>
        <v>67.236891617214994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2.5579538487363607E-13</v>
      </c>
      <c r="BZ156" s="13">
        <f>BY156*VLOOKUP('Données projet'!$B$12,Paramètres!$A$1:$I$89,3,0)*VLOOKUP('Données projet'!$B$12,Paramètres!$A$1:$I$89,5,0)</f>
        <v>2.4341488824575211E-13</v>
      </c>
      <c r="CA156" s="13">
        <f t="shared" si="170"/>
        <v>3.2970717324875541E-12</v>
      </c>
      <c r="CB156" s="20">
        <f t="shared" si="171"/>
        <v>6.1663475311105072E-12</v>
      </c>
      <c r="CC156" s="59">
        <f t="shared" si="119"/>
        <v>293.33333333333945</v>
      </c>
      <c r="CD156" s="59">
        <f ca="1">AVERAGE(OFFSET($CC$3,0,0,'Données projet'!$E$12+1,1))-AVERAGE(OFFSET($H$3,0,0,'Données projet'!$E$12+1,1))</f>
        <v>449.28947235329758</v>
      </c>
      <c r="CE156" s="59">
        <f t="shared" si="148"/>
        <v>289.36994109443964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75.341144244570117</v>
      </c>
      <c r="CL156" s="21">
        <f>EXP(-LN(2)/25)*CL155+(1-EXP(-LN(2)/25))/(LN(2)/25)*Calculateur!CG156*Calculateur!CI156*VLOOKUP('Données projet'!$B$12,Paramètres!$A$1:$I$89,3,0)*0.475*44/12</f>
        <v>13.085180541339813</v>
      </c>
      <c r="CM156" s="21">
        <f>EXP(-LN(2)/2)*CM155+(1-EXP(-LN(2)/2))/(LN(2)/2)*CG156*CJ156*VLOOKUP('Données projet'!$B$12,Paramètres!$A$1:$I$89,3,0)*0.475*44/12</f>
        <v>2.4726101547827696E-3</v>
      </c>
      <c r="CN156" s="22">
        <f t="shared" si="172"/>
        <v>88.428797396064709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2.4829205358400945E-14</v>
      </c>
      <c r="CV156" s="13">
        <f t="shared" si="173"/>
        <v>4.3867331143352915E-13</v>
      </c>
      <c r="CW156" s="20">
        <f t="shared" si="174"/>
        <v>8.0726688341261168E-13</v>
      </c>
      <c r="CX156" s="59">
        <f t="shared" si="122"/>
        <v>293.33333333333411</v>
      </c>
      <c r="CY156" s="59">
        <f ca="1">AVERAGE(OFFSET($CX$3,0,0,'Données projet'!$E$13+1,1))-AVERAGE(OFFSET($H$3,0,0,'Données projet'!$E$13+1,1))</f>
        <v>261.93797831021766</v>
      </c>
      <c r="CZ156" s="59">
        <f t="shared" si="150"/>
        <v>256.90876395053073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7.770871727477088</v>
      </c>
      <c r="DG156" s="21">
        <f>EXP(-LN(2)/25)*DG155+(1-EXP(-LN(2)/25))/(LN(2)/25)*Calculateur!DB156*Calculateur!DD156*VLOOKUP('Données projet'!$B$13,Paramètres!$A$1:$I$89,3,0)*0.475*44/12</f>
        <v>4.8221124837689251</v>
      </c>
      <c r="DH156" s="21">
        <f>EXP(-LN(2)/2)*DH155+(1-EXP(-LN(2)/2))/(LN(2)/2)*DB156*DE156*VLOOKUP('Données projet'!$B$13,Paramètres!$A$1:$I$89,3,0)*0.475*44/12</f>
        <v>4.6763288359051267E-10</v>
      </c>
      <c r="DI156" s="22">
        <f t="shared" si="175"/>
        <v>12.592984211713645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4.083333333333333</v>
      </c>
      <c r="N157" s="13">
        <f>IF('Données projet'!$A$36&gt;35,N156+M157-V156,IF(A157&lt;'Données projet'!$A$36,$K$205^A157,IF(A157='Données projet'!$A$36,'Données projet'!$B$36,N156+M157-V156)))</f>
        <v>282.76333333333378</v>
      </c>
      <c r="O157" s="13">
        <f>N157*VLOOKUP('Données projet'!$B$9,Paramètres!$A$1:$I$89,3,0)*VLOOKUP('Données projet'!$B$9,Paramètres!$A$1:$I$89,5,0)</f>
        <v>255.84426400000038</v>
      </c>
      <c r="P157" s="13">
        <f t="shared" si="141"/>
        <v>61.835713990730305</v>
      </c>
      <c r="Q157" s="20">
        <f t="shared" si="162"/>
        <v>553.29262833385587</v>
      </c>
      <c r="R157" s="59">
        <f t="shared" si="109"/>
        <v>846.62596166718913</v>
      </c>
      <c r="S157" s="59">
        <f ca="1">AVERAGE(OFFSET($R$3,0,0,'Données projet'!$E$9+1,1))-AVERAGE(OFFSET($H$3,0,0,'Données projet'!$E$9+1,1))</f>
        <v>695.0879239758051</v>
      </c>
      <c r="T157" s="59">
        <f t="shared" si="142"/>
        <v>226.22150997227476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129.89615354118294</v>
      </c>
      <c r="AA157" s="21">
        <f>EXP(-LN(2)/25)*AA156+(1-EXP(-LN(2)/25))/(LN(2)/25)*Calculateur!V157*Calculateur!X157*VLOOKUP('Données projet'!$B$9,Paramètres!$A$1:$I$89,3,0)*0.475*44/12</f>
        <v>27.791789724322204</v>
      </c>
      <c r="AB157" s="21">
        <f>EXP(-LN(2)/2)*AB156+(1-EXP(-LN(2)/2))/(LN(2)/2)*V157*Y157*VLOOKUP('Données projet'!$B$9,Paramètres!$A$1:$I$89,3,0)*0.475*44/12</f>
        <v>7.4867085347571551</v>
      </c>
      <c r="AC157" s="22">
        <f t="shared" si="163"/>
        <v>165.1746518002623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4.7884896048344674E-14</v>
      </c>
      <c r="AK157" s="13">
        <f t="shared" si="164"/>
        <v>7.8374629847779921E-13</v>
      </c>
      <c r="AL157" s="20">
        <f t="shared" si="165"/>
        <v>1.4484243304663672E-12</v>
      </c>
      <c r="AM157" s="59">
        <f t="shared" si="113"/>
        <v>293.33333333333474</v>
      </c>
      <c r="AN157" s="59">
        <f ca="1">AVERAGE(OFFSET($AM$3,0,0,'Données projet'!$E$10+1,1))-AVERAGE(OFFSET($H$3,0,0,'Données projet'!$E$10+1,1))</f>
        <v>424.81155998881928</v>
      </c>
      <c r="AO157" s="59">
        <f t="shared" si="144"/>
        <v>277.34430416544575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47.286032222728593</v>
      </c>
      <c r="AV157" s="21">
        <f>EXP(-LN(2)/25)*AV156+(1-EXP(-LN(2)/25))/(LN(2)/25)*Calculateur!AQ157*Calculateur!AS157*VLOOKUP('Données projet'!$B$10,Paramètres!$A$1:$I$89,3,0)*0.475*44/12</f>
        <v>7.3937934340390399</v>
      </c>
      <c r="AW157" s="21">
        <f>EXP(-LN(2)/2)*AW156+(1-EXP(-LN(2)/2))/(LN(2)/2)*AQ157*AT157*VLOOKUP('Données projet'!$B$10,Paramètres!$A$1:$I$89,3,0)*0.475*44/12</f>
        <v>4.424466803646854E-7</v>
      </c>
      <c r="AX157" s="21">
        <f t="shared" si="166"/>
        <v>54.679826099214317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554.140860000001</v>
      </c>
      <c r="BF157" s="13">
        <f t="shared" si="167"/>
        <v>122.40942303871579</v>
      </c>
      <c r="BG157" s="20">
        <f t="shared" si="168"/>
        <v>1178.3250762924317</v>
      </c>
      <c r="BH157" s="59">
        <f t="shared" si="116"/>
        <v>1471.658409625765</v>
      </c>
      <c r="BI157" s="59">
        <f ca="1">AVERAGE(OFFSET($BH$3,0,0,'Données projet'!$E$11+1,1))-AVERAGE(OFFSET($H$3,0,0,'Données projet'!$E$11+1,1))</f>
        <v>706.69239849991595</v>
      </c>
      <c r="BJ157" s="59">
        <f t="shared" si="146"/>
        <v>310.59887275116529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60.67758456243417</v>
      </c>
      <c r="BQ157" s="21">
        <f>EXP(-LN(2)/25)*BQ156+(1-EXP(-LN(2)/25))/(LN(2)/25)*Calculateur!BL157*Calculateur!BN157*VLOOKUP('Données projet'!$B$11,Paramètres!$A$1:$I$89,3,0)*0.475*44/12</f>
        <v>25.658551572560288</v>
      </c>
      <c r="BR157" s="21">
        <f>EXP(-LN(2)/2)*BR156+(1-EXP(-LN(2)/2))/(LN(2)/2)*BL157*BO157*VLOOKUP('Données projet'!$B$11,Paramètres!$A$1:$I$89,3,0)*0.475*44/12</f>
        <v>1.746282758721192E-4</v>
      </c>
      <c r="BS157" s="22">
        <f t="shared" si="169"/>
        <v>86.336310763270333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2.5579538487363607E-13</v>
      </c>
      <c r="BZ157" s="13">
        <f>BY157*VLOOKUP('Données projet'!$B$12,Paramètres!$A$1:$I$89,3,0)*VLOOKUP('Données projet'!$B$12,Paramètres!$A$1:$I$89,5,0)</f>
        <v>2.4341488824575211E-13</v>
      </c>
      <c r="CA157" s="13">
        <f t="shared" si="170"/>
        <v>3.2970717324875541E-12</v>
      </c>
      <c r="CB157" s="20">
        <f t="shared" si="171"/>
        <v>6.1663475311105072E-12</v>
      </c>
      <c r="CC157" s="59">
        <f t="shared" si="119"/>
        <v>293.33333333333945</v>
      </c>
      <c r="CD157" s="59">
        <f ca="1">AVERAGE(OFFSET($CC$3,0,0,'Données projet'!$E$12+1,1))-AVERAGE(OFFSET($H$3,0,0,'Données projet'!$E$12+1,1))</f>
        <v>449.28947235329758</v>
      </c>
      <c r="CE157" s="59">
        <f t="shared" si="148"/>
        <v>289.36994109443964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73.863750359494546</v>
      </c>
      <c r="CL157" s="21">
        <f>EXP(-LN(2)/25)*CL156+(1-EXP(-LN(2)/25))/(LN(2)/25)*Calculateur!CG157*Calculateur!CI157*VLOOKUP('Données projet'!$B$12,Paramètres!$A$1:$I$89,3,0)*0.475*44/12</f>
        <v>12.727365591317138</v>
      </c>
      <c r="CM157" s="21">
        <f>EXP(-LN(2)/2)*CM156+(1-EXP(-LN(2)/2))/(LN(2)/2)*CG157*CJ157*VLOOKUP('Données projet'!$B$12,Paramètres!$A$1:$I$89,3,0)*0.475*44/12</f>
        <v>1.7483994076776153E-3</v>
      </c>
      <c r="CN157" s="22">
        <f t="shared" si="172"/>
        <v>86.592864350219358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2.4829205358400945E-14</v>
      </c>
      <c r="CV157" s="13">
        <f t="shared" si="173"/>
        <v>4.3867331143352915E-13</v>
      </c>
      <c r="CW157" s="20">
        <f t="shared" si="174"/>
        <v>8.0726688341261168E-13</v>
      </c>
      <c r="CX157" s="59">
        <f t="shared" si="122"/>
        <v>293.33333333333411</v>
      </c>
      <c r="CY157" s="59">
        <f ca="1">AVERAGE(OFFSET($CX$3,0,0,'Données projet'!$E$13+1,1))-AVERAGE(OFFSET($H$3,0,0,'Données projet'!$E$13+1,1))</f>
        <v>261.93797831021766</v>
      </c>
      <c r="CZ157" s="59">
        <f t="shared" si="150"/>
        <v>256.90876395053073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7.6184896726650031</v>
      </c>
      <c r="DG157" s="21">
        <f>EXP(-LN(2)/25)*DG156+(1-EXP(-LN(2)/25))/(LN(2)/25)*Calculateur!DB157*Calculateur!DD157*VLOOKUP('Données projet'!$B$13,Paramètres!$A$1:$I$89,3,0)*0.475*44/12</f>
        <v>4.6902515643163891</v>
      </c>
      <c r="DH157" s="21">
        <f>EXP(-LN(2)/2)*DH156+(1-EXP(-LN(2)/2))/(LN(2)/2)*DB157*DE157*VLOOKUP('Données projet'!$B$13,Paramètres!$A$1:$I$89,3,0)*0.475*44/12</f>
        <v>3.306663830926709E-10</v>
      </c>
      <c r="DI157" s="22">
        <f t="shared" si="175"/>
        <v>12.308741237312059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4.083333333333333</v>
      </c>
      <c r="N158" s="13">
        <f>IF('Données projet'!$A$36&gt;35,N157+M158-V157,IF(A158&lt;'Données projet'!$A$36,$K$205^A158,IF(A158='Données projet'!$A$36,'Données projet'!$B$36,N157+M158-V157)))</f>
        <v>286.84666666666709</v>
      </c>
      <c r="O158" s="13">
        <f>N158*VLOOKUP('Données projet'!$B$9,Paramètres!$A$1:$I$89,3,0)*VLOOKUP('Données projet'!$B$9,Paramètres!$A$1:$I$89,5,0)</f>
        <v>259.53886400000039</v>
      </c>
      <c r="P158" s="13">
        <f t="shared" si="141"/>
        <v>62.624072242773707</v>
      </c>
      <c r="Q158" s="20">
        <f t="shared" si="162"/>
        <v>561.10044728949822</v>
      </c>
      <c r="R158" s="59">
        <f t="shared" si="109"/>
        <v>854.43378062283159</v>
      </c>
      <c r="S158" s="59">
        <f ca="1">AVERAGE(OFFSET($R$3,0,0,'Données projet'!$E$9+1,1))-AVERAGE(OFFSET($H$3,0,0,'Données projet'!$E$9+1,1))</f>
        <v>695.0879239758051</v>
      </c>
      <c r="T158" s="59">
        <f t="shared" si="142"/>
        <v>226.22150997227476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127.34896919907081</v>
      </c>
      <c r="AA158" s="21">
        <f>EXP(-LN(2)/25)*AA157+(1-EXP(-LN(2)/25))/(LN(2)/25)*Calculateur!V158*Calculateur!X158*VLOOKUP('Données projet'!$B$9,Paramètres!$A$1:$I$89,3,0)*0.475*44/12</f>
        <v>27.031821772803909</v>
      </c>
      <c r="AB158" s="21">
        <f>EXP(-LN(2)/2)*AB157+(1-EXP(-LN(2)/2))/(LN(2)/2)*V158*Y158*VLOOKUP('Données projet'!$B$9,Paramètres!$A$1:$I$89,3,0)*0.475*44/12</f>
        <v>5.2939023736939861</v>
      </c>
      <c r="AC158" s="22">
        <f t="shared" si="163"/>
        <v>159.6746933455687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4.7884896048344674E-14</v>
      </c>
      <c r="AK158" s="13">
        <f t="shared" si="164"/>
        <v>7.8374629847779921E-13</v>
      </c>
      <c r="AL158" s="20">
        <f t="shared" si="165"/>
        <v>1.4484243304663672E-12</v>
      </c>
      <c r="AM158" s="59">
        <f t="shared" si="113"/>
        <v>293.33333333333474</v>
      </c>
      <c r="AN158" s="59">
        <f ca="1">AVERAGE(OFFSET($AM$3,0,0,'Données projet'!$E$10+1,1))-AVERAGE(OFFSET($H$3,0,0,'Données projet'!$E$10+1,1))</f>
        <v>424.81155998881928</v>
      </c>
      <c r="AO158" s="59">
        <f t="shared" si="144"/>
        <v>277.34430416544575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46.35878197247267</v>
      </c>
      <c r="AV158" s="21">
        <f>EXP(-LN(2)/25)*AV157+(1-EXP(-LN(2)/25))/(LN(2)/25)*Calculateur!AQ158*Calculateur!AS158*VLOOKUP('Données projet'!$B$10,Paramètres!$A$1:$I$89,3,0)*0.475*44/12</f>
        <v>7.1916097637625445</v>
      </c>
      <c r="AW158" s="21">
        <f>EXP(-LN(2)/2)*AW157+(1-EXP(-LN(2)/2))/(LN(2)/2)*AQ158*AT158*VLOOKUP('Données projet'!$B$10,Paramètres!$A$1:$I$89,3,0)*0.475*44/12</f>
        <v>3.1285704799934593E-7</v>
      </c>
      <c r="AX158" s="21">
        <f t="shared" si="166"/>
        <v>53.55039204909226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501.85699200000107</v>
      </c>
      <c r="BF158" s="13">
        <f t="shared" si="167"/>
        <v>112.14619280341684</v>
      </c>
      <c r="BG158" s="20">
        <f t="shared" si="168"/>
        <v>1069.3888801992859</v>
      </c>
      <c r="BH158" s="59">
        <f t="shared" si="116"/>
        <v>1362.7222135326192</v>
      </c>
      <c r="BI158" s="59">
        <f ca="1">AVERAGE(OFFSET($BH$3,0,0,'Données projet'!$E$11+1,1))-AVERAGE(OFFSET($H$3,0,0,'Données projet'!$E$11+1,1))</f>
        <v>706.69239849991595</v>
      </c>
      <c r="BJ158" s="59">
        <f t="shared" si="146"/>
        <v>310.59887275116529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59.48773413883702</v>
      </c>
      <c r="BQ158" s="21">
        <f>EXP(-LN(2)/25)*BQ157+(1-EXP(-LN(2)/25))/(LN(2)/25)*Calculateur!BL158*Calculateur!BN158*VLOOKUP('Données projet'!$B$11,Paramètres!$A$1:$I$89,3,0)*0.475*44/12</f>
        <v>24.956917130484044</v>
      </c>
      <c r="BR158" s="21">
        <f>EXP(-LN(2)/2)*BR157+(1-EXP(-LN(2)/2))/(LN(2)/2)*BL158*BO158*VLOOKUP('Données projet'!$B$11,Paramètres!$A$1:$I$89,3,0)*0.475*44/12</f>
        <v>1.2348083805609065E-4</v>
      </c>
      <c r="BS158" s="22">
        <f t="shared" si="169"/>
        <v>84.444774750159127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2.5579538487363607E-13</v>
      </c>
      <c r="BZ158" s="13">
        <f>BY158*VLOOKUP('Données projet'!$B$12,Paramètres!$A$1:$I$89,3,0)*VLOOKUP('Données projet'!$B$12,Paramètres!$A$1:$I$89,5,0)</f>
        <v>2.4341488824575211E-13</v>
      </c>
      <c r="CA158" s="13">
        <f t="shared" si="170"/>
        <v>3.2970717324875541E-12</v>
      </c>
      <c r="CB158" s="20">
        <f t="shared" si="171"/>
        <v>6.1663475311105072E-12</v>
      </c>
      <c r="CC158" s="59">
        <f t="shared" si="119"/>
        <v>293.33333333333945</v>
      </c>
      <c r="CD158" s="59">
        <f ca="1">AVERAGE(OFFSET($CC$3,0,0,'Données projet'!$E$12+1,1))-AVERAGE(OFFSET($H$3,0,0,'Données projet'!$E$12+1,1))</f>
        <v>449.28947235329758</v>
      </c>
      <c r="CE158" s="59">
        <f t="shared" si="148"/>
        <v>289.36994109443964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72.415327267384015</v>
      </c>
      <c r="CL158" s="21">
        <f>EXP(-LN(2)/25)*CL157+(1-EXP(-LN(2)/25))/(LN(2)/25)*Calculateur!CG158*Calculateur!CI158*VLOOKUP('Données projet'!$B$12,Paramètres!$A$1:$I$89,3,0)*0.475*44/12</f>
        <v>12.379335109919504</v>
      </c>
      <c r="CM158" s="21">
        <f>EXP(-LN(2)/2)*CM157+(1-EXP(-LN(2)/2))/(LN(2)/2)*CG158*CJ158*VLOOKUP('Données projet'!$B$12,Paramètres!$A$1:$I$89,3,0)*0.475*44/12</f>
        <v>1.2363050773913848E-3</v>
      </c>
      <c r="CN158" s="22">
        <f t="shared" si="172"/>
        <v>84.795898682380923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2.4829205358400945E-14</v>
      </c>
      <c r="CV158" s="13">
        <f t="shared" si="173"/>
        <v>4.3867331143352915E-13</v>
      </c>
      <c r="CW158" s="20">
        <f t="shared" si="174"/>
        <v>8.0726688341261168E-13</v>
      </c>
      <c r="CX158" s="59">
        <f t="shared" si="122"/>
        <v>293.33333333333411</v>
      </c>
      <c r="CY158" s="59">
        <f ca="1">AVERAGE(OFFSET($CX$3,0,0,'Données projet'!$E$13+1,1))-AVERAGE(OFFSET($H$3,0,0,'Données projet'!$E$13+1,1))</f>
        <v>261.93797831021766</v>
      </c>
      <c r="CZ158" s="59">
        <f t="shared" si="150"/>
        <v>256.90876395053073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7.4690957370039071</v>
      </c>
      <c r="DG158" s="21">
        <f>EXP(-LN(2)/25)*DG157+(1-EXP(-LN(2)/25))/(LN(2)/25)*Calculateur!DB158*Calculateur!DD158*VLOOKUP('Données projet'!$B$13,Paramètres!$A$1:$I$89,3,0)*0.475*44/12</f>
        <v>4.561996388640547</v>
      </c>
      <c r="DH158" s="21">
        <f>EXP(-LN(2)/2)*DH157+(1-EXP(-LN(2)/2))/(LN(2)/2)*DB158*DE158*VLOOKUP('Données projet'!$B$13,Paramètres!$A$1:$I$89,3,0)*0.475*44/12</f>
        <v>2.3381644179525633E-10</v>
      </c>
      <c r="DI158" s="22">
        <f t="shared" si="175"/>
        <v>12.031092125878271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4.083333333333333</v>
      </c>
      <c r="M159" s="12">
        <f t="array" ref="M159">INDEX(L:L,MIN(IF(ISNUMBER(L159:L355),ROW(L159:L355),"")))</f>
        <v>4.083333333333333</v>
      </c>
      <c r="N159" s="13">
        <f>IF('Données projet'!$A$36&gt;35,N158+M159-V158,IF(A159&lt;'Données projet'!$A$36,$K$205^A159,IF(A159='Données projet'!$A$36,'Données projet'!$B$36,N158+M159-V158)))</f>
        <v>290.9300000000004</v>
      </c>
      <c r="O159" s="13">
        <f>N159*VLOOKUP('Données projet'!$B$9,Paramètres!$A$1:$I$89,3,0)*VLOOKUP('Données projet'!$B$9,Paramètres!$A$1:$I$89,5,0)</f>
        <v>263.23346400000037</v>
      </c>
      <c r="P159" s="13">
        <f t="shared" si="141"/>
        <v>63.411125233778499</v>
      </c>
      <c r="Q159" s="20">
        <f t="shared" si="162"/>
        <v>568.90599291549813</v>
      </c>
      <c r="R159" s="59">
        <f t="shared" si="109"/>
        <v>862.2393262488315</v>
      </c>
      <c r="S159" s="59">
        <f ca="1">AVERAGE(OFFSET($R$3,0,0,'Données projet'!$E$9+1,1))-AVERAGE(OFFSET($H$3,0,0,'Données projet'!$E$9+1,1))</f>
        <v>695.0879239758051</v>
      </c>
      <c r="T159" s="59">
        <f t="shared" si="142"/>
        <v>226.22150997227476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96.65</v>
      </c>
      <c r="W159" s="16">
        <f>IF(ISNA(VLOOKUP(A159,'Données projet'!$A$35:$I$55,5,0)),0%,VLOOKUP(A159,'Données projet'!$A$35:$I$55,5,0)*VLOOKUP('Données projet'!$B$9,Paramètres!$A$1:$I$89,7,0))</f>
        <v>0.19350000000000001</v>
      </c>
      <c r="X159" s="16">
        <f>IF(ISNA(VLOOKUP(A159,'Données projet'!$A$35:$I$55,6,0)),0%,VLOOKUP(A159,'Données projet'!$A$35:$I$55,6,0)*VLOOKUP('Données projet'!$B$9,Paramètres!$A$1:$I$89,7,0))</f>
        <v>2.1500000000000002E-2</v>
      </c>
      <c r="Y159" s="16">
        <f>IF(ISNA(VLOOKUP(A159,'Données projet'!$A$35:$I$55,7,0)),0%,VLOOKUP(A159,'Données projet'!$A$35:$I$55,7,0))</f>
        <v>0.05</v>
      </c>
      <c r="Z159" s="21">
        <f>EXP(-LN(2)/35)*Z158+(1-EXP(-LN(2)/35))/(LN(2)/35)*V159*W159*VLOOKUP('Données projet'!$B$9,Paramètres!$A$1:$I$89,3,0)*0.475*44/12</f>
        <v>143.55780250462382</v>
      </c>
      <c r="AA159" s="21">
        <f>EXP(-LN(2)/25)*AA158+(1-EXP(-LN(2)/25))/(LN(2)/25)*Calculateur!V159*Calculateur!X159*VLOOKUP('Données projet'!$B$9,Paramètres!$A$1:$I$89,3,0)*0.475*44/12</f>
        <v>28.362903628823826</v>
      </c>
      <c r="AB159" s="21">
        <f>EXP(-LN(2)/2)*AB158+(1-EXP(-LN(2)/2))/(LN(2)/2)*V159*Y159*VLOOKUP('Données projet'!$B$9,Paramètres!$A$1:$I$89,3,0)*0.475*44/12</f>
        <v>7.8688747510372492</v>
      </c>
      <c r="AC159" s="22">
        <f t="shared" si="163"/>
        <v>179.78958088448491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4.7884896048344674E-14</v>
      </c>
      <c r="AK159" s="13">
        <f t="shared" si="164"/>
        <v>7.8374629847779921E-13</v>
      </c>
      <c r="AL159" s="20">
        <f t="shared" si="165"/>
        <v>1.4484243304663672E-12</v>
      </c>
      <c r="AM159" s="59">
        <f t="shared" si="113"/>
        <v>293.33333333333474</v>
      </c>
      <c r="AN159" s="59">
        <f ca="1">AVERAGE(OFFSET($AM$3,0,0,'Données projet'!$E$10+1,1))-AVERAGE(OFFSET($H$3,0,0,'Données projet'!$E$10+1,1))</f>
        <v>424.81155998881928</v>
      </c>
      <c r="AO159" s="59">
        <f t="shared" si="144"/>
        <v>277.34430416544575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45.449714534057456</v>
      </c>
      <c r="AV159" s="21">
        <f>EXP(-LN(2)/25)*AV158+(1-EXP(-LN(2)/25))/(LN(2)/25)*Calculateur!AQ159*Calculateur!AS159*VLOOKUP('Données projet'!$B$10,Paramètres!$A$1:$I$89,3,0)*0.475*44/12</f>
        <v>6.9949548165821369</v>
      </c>
      <c r="AW159" s="21">
        <f>EXP(-LN(2)/2)*AW158+(1-EXP(-LN(2)/2))/(LN(2)/2)*AQ159*AT159*VLOOKUP('Données projet'!$B$10,Paramètres!$A$1:$I$89,3,0)*0.475*44/12</f>
        <v>2.212233401823427E-7</v>
      </c>
      <c r="AX159" s="21">
        <f t="shared" si="166"/>
        <v>52.444669571862931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511.47782400000102</v>
      </c>
      <c r="BF159" s="13">
        <f t="shared" si="167"/>
        <v>114.04373524085221</v>
      </c>
      <c r="BG159" s="20">
        <f t="shared" si="168"/>
        <v>1089.4500490111525</v>
      </c>
      <c r="BH159" s="59">
        <f t="shared" si="116"/>
        <v>1382.7833823444857</v>
      </c>
      <c r="BI159" s="59">
        <f ca="1">AVERAGE(OFFSET($BH$3,0,0,'Données projet'!$E$11+1,1))-AVERAGE(OFFSET($H$3,0,0,'Données projet'!$E$11+1,1))</f>
        <v>706.69239849991595</v>
      </c>
      <c r="BJ159" s="59">
        <f t="shared" si="146"/>
        <v>310.59887275116529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58.321215956309508</v>
      </c>
      <c r="BQ159" s="21">
        <f>EXP(-LN(2)/25)*BQ158+(1-EXP(-LN(2)/25))/(LN(2)/25)*Calculateur!BL159*Calculateur!BN159*VLOOKUP('Données projet'!$B$11,Paramètres!$A$1:$I$89,3,0)*0.475*44/12</f>
        <v>24.274468919123727</v>
      </c>
      <c r="BR159" s="21">
        <f>EXP(-LN(2)/2)*BR158+(1-EXP(-LN(2)/2))/(LN(2)/2)*BL159*BO159*VLOOKUP('Données projet'!$B$11,Paramètres!$A$1:$I$89,3,0)*0.475*44/12</f>
        <v>8.7314137936059599E-5</v>
      </c>
      <c r="BS159" s="22">
        <f t="shared" si="169"/>
        <v>82.595772189571179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2.5579538487363607E-13</v>
      </c>
      <c r="BZ159" s="13">
        <f>BY159*VLOOKUP('Données projet'!$B$12,Paramètres!$A$1:$I$89,3,0)*VLOOKUP('Données projet'!$B$12,Paramètres!$A$1:$I$89,5,0)</f>
        <v>2.4341488824575211E-13</v>
      </c>
      <c r="CA159" s="13">
        <f t="shared" si="170"/>
        <v>3.2970717324875541E-12</v>
      </c>
      <c r="CB159" s="20">
        <f t="shared" si="171"/>
        <v>6.1663475311105072E-12</v>
      </c>
      <c r="CC159" s="59">
        <f t="shared" si="119"/>
        <v>293.33333333333945</v>
      </c>
      <c r="CD159" s="59">
        <f ca="1">AVERAGE(OFFSET($CC$3,0,0,'Données projet'!$E$12+1,1))-AVERAGE(OFFSET($H$3,0,0,'Données projet'!$E$12+1,1))</f>
        <v>449.28947235329758</v>
      </c>
      <c r="CE159" s="59">
        <f t="shared" si="148"/>
        <v>289.36994109443964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70.995306868658929</v>
      </c>
      <c r="CL159" s="21">
        <f>EXP(-LN(2)/25)*CL158+(1-EXP(-LN(2)/25))/(LN(2)/25)*Calculateur!CG159*Calculateur!CI159*VLOOKUP('Données projet'!$B$12,Paramètres!$A$1:$I$89,3,0)*0.475*44/12</f>
        <v>12.040821540337815</v>
      </c>
      <c r="CM159" s="21">
        <f>EXP(-LN(2)/2)*CM158+(1-EXP(-LN(2)/2))/(LN(2)/2)*CG159*CJ159*VLOOKUP('Données projet'!$B$12,Paramètres!$A$1:$I$89,3,0)*0.475*44/12</f>
        <v>8.7419970383880764E-4</v>
      </c>
      <c r="CN159" s="22">
        <f t="shared" si="172"/>
        <v>83.03700260870059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2.4829205358400945E-14</v>
      </c>
      <c r="CV159" s="13">
        <f t="shared" si="173"/>
        <v>4.3867331143352915E-13</v>
      </c>
      <c r="CW159" s="20">
        <f t="shared" si="174"/>
        <v>8.0726688341261168E-13</v>
      </c>
      <c r="CX159" s="59">
        <f t="shared" si="122"/>
        <v>293.33333333333411</v>
      </c>
      <c r="CY159" s="59">
        <f ca="1">AVERAGE(OFFSET($CX$3,0,0,'Données projet'!$E$13+1,1))-AVERAGE(OFFSET($H$3,0,0,'Données projet'!$E$13+1,1))</f>
        <v>261.93797831021766</v>
      </c>
      <c r="CZ159" s="59">
        <f t="shared" si="150"/>
        <v>256.90876395053073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7.3226313252998221</v>
      </c>
      <c r="DG159" s="21">
        <f>EXP(-LN(2)/25)*DG158+(1-EXP(-LN(2)/25))/(LN(2)/25)*Calculateur!DB159*Calculateur!DD159*VLOOKUP('Données projet'!$B$13,Paramètres!$A$1:$I$89,3,0)*0.475*44/12</f>
        <v>4.4372483574882073</v>
      </c>
      <c r="DH159" s="21">
        <f>EXP(-LN(2)/2)*DH158+(1-EXP(-LN(2)/2))/(LN(2)/2)*DB159*DE159*VLOOKUP('Données projet'!$B$13,Paramètres!$A$1:$I$89,3,0)*0.475*44/12</f>
        <v>1.6533319154633545E-10</v>
      </c>
      <c r="DI159" s="22">
        <f t="shared" si="175"/>
        <v>11.759879682953361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2.3999999999999964</v>
      </c>
      <c r="N160" s="13">
        <f>IF('Données projet'!$A$36&gt;35,N159+M160-V159,IF(A160&lt;'Données projet'!$A$36,$K$205^A160,IF(A160='Données projet'!$A$36,'Données projet'!$B$36,N159+M160-V159)))</f>
        <v>196.68000000000038</v>
      </c>
      <c r="O160" s="13">
        <f>N160*VLOOKUP('Données projet'!$B$9,Paramètres!$A$1:$I$89,3,0)*VLOOKUP('Données projet'!$B$9,Paramètres!$A$1:$I$89,5,0)</f>
        <v>177.95606400000034</v>
      </c>
      <c r="P160" s="13">
        <f t="shared" si="141"/>
        <v>44.867146262287271</v>
      </c>
      <c r="Q160" s="20">
        <f t="shared" si="162"/>
        <v>388.08375787348422</v>
      </c>
      <c r="R160" s="59">
        <f t="shared" si="109"/>
        <v>681.41709120681753</v>
      </c>
      <c r="S160" s="59">
        <f ca="1">AVERAGE(OFFSET($R$3,0,0,'Données projet'!$E$9+1,1))-AVERAGE(OFFSET($H$3,0,0,'Données projet'!$E$9+1,1))</f>
        <v>695.0879239758051</v>
      </c>
      <c r="T160" s="59">
        <f t="shared" si="142"/>
        <v>226.22150997227476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140.74272155912169</v>
      </c>
      <c r="AA160" s="21">
        <f>EXP(-LN(2)/25)*AA159+(1-EXP(-LN(2)/25))/(LN(2)/25)*Calculateur!V160*Calculateur!X160*VLOOKUP('Données projet'!$B$9,Paramètres!$A$1:$I$89,3,0)*0.475*44/12</f>
        <v>27.587318537553362</v>
      </c>
      <c r="AB160" s="21">
        <f>EXP(-LN(2)/2)*AB159+(1-EXP(-LN(2)/2))/(LN(2)/2)*V160*Y160*VLOOKUP('Données projet'!$B$9,Paramètres!$A$1:$I$89,3,0)*0.475*44/12</f>
        <v>5.564134696766045</v>
      </c>
      <c r="AC160" s="22">
        <f t="shared" si="163"/>
        <v>173.8941747934411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4.7884896048344674E-14</v>
      </c>
      <c r="AK160" s="13">
        <f t="shared" si="164"/>
        <v>7.8374629847779921E-13</v>
      </c>
      <c r="AL160" s="20">
        <f t="shared" si="165"/>
        <v>1.4484243304663672E-12</v>
      </c>
      <c r="AM160" s="59">
        <f t="shared" si="113"/>
        <v>293.33333333333474</v>
      </c>
      <c r="AN160" s="59">
        <f ca="1">AVERAGE(OFFSET($AM$3,0,0,'Données projet'!$E$10+1,1))-AVERAGE(OFFSET($H$3,0,0,'Données projet'!$E$10+1,1))</f>
        <v>424.81155998881928</v>
      </c>
      <c r="AO160" s="59">
        <f t="shared" si="144"/>
        <v>277.34430416544575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44.558473353633175</v>
      </c>
      <c r="AV160" s="21">
        <f>EXP(-LN(2)/25)*AV159+(1-EXP(-LN(2)/25))/(LN(2)/25)*Calculateur!AQ160*Calculateur!AS160*VLOOKUP('Données projet'!$B$10,Paramètres!$A$1:$I$89,3,0)*0.475*44/12</f>
        <v>6.8036774092740115</v>
      </c>
      <c r="AW160" s="21">
        <f>EXP(-LN(2)/2)*AW159+(1-EXP(-LN(2)/2))/(LN(2)/2)*AQ160*AT160*VLOOKUP('Données projet'!$B$10,Paramètres!$A$1:$I$89,3,0)*0.475*44/12</f>
        <v>1.5642852399967296E-7</v>
      </c>
      <c r="AX160" s="21">
        <f t="shared" si="166"/>
        <v>51.362150919335711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521.09865600000103</v>
      </c>
      <c r="BF160" s="13">
        <f t="shared" si="167"/>
        <v>115.93712735408282</v>
      </c>
      <c r="BG160" s="20">
        <f t="shared" si="168"/>
        <v>1109.5039893416961</v>
      </c>
      <c r="BH160" s="59">
        <f t="shared" si="116"/>
        <v>1402.8373226750293</v>
      </c>
      <c r="BI160" s="59">
        <f ca="1">AVERAGE(OFFSET($BH$3,0,0,'Données projet'!$E$11+1,1))-AVERAGE(OFFSET($H$3,0,0,'Données projet'!$E$11+1,1))</f>
        <v>706.69239849991595</v>
      </c>
      <c r="BJ160" s="59">
        <f t="shared" si="146"/>
        <v>310.59887275116529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57.177572483835526</v>
      </c>
      <c r="BQ160" s="21">
        <f>EXP(-LN(2)/25)*BQ159+(1-EXP(-LN(2)/25))/(LN(2)/25)*Calculateur!BL160*Calculateur!BN160*VLOOKUP('Données projet'!$B$11,Paramètres!$A$1:$I$89,3,0)*0.475*44/12</f>
        <v>23.610682289991448</v>
      </c>
      <c r="BR160" s="21">
        <f>EXP(-LN(2)/2)*BR159+(1-EXP(-LN(2)/2))/(LN(2)/2)*BL160*BO160*VLOOKUP('Données projet'!$B$11,Paramètres!$A$1:$I$89,3,0)*0.475*44/12</f>
        <v>6.1740419028045323E-5</v>
      </c>
      <c r="BS160" s="22">
        <f t="shared" si="169"/>
        <v>80.788316514246006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2.5579538487363607E-13</v>
      </c>
      <c r="BZ160" s="13">
        <f>BY160*VLOOKUP('Données projet'!$B$12,Paramètres!$A$1:$I$89,3,0)*VLOOKUP('Données projet'!$B$12,Paramètres!$A$1:$I$89,5,0)</f>
        <v>2.4341488824575211E-13</v>
      </c>
      <c r="CA160" s="13">
        <f t="shared" si="170"/>
        <v>3.2970717324875541E-12</v>
      </c>
      <c r="CB160" s="20">
        <f t="shared" si="171"/>
        <v>6.1663475311105072E-12</v>
      </c>
      <c r="CC160" s="59">
        <f t="shared" si="119"/>
        <v>293.33333333333945</v>
      </c>
      <c r="CD160" s="59">
        <f ca="1">AVERAGE(OFFSET($CC$3,0,0,'Données projet'!$E$12+1,1))-AVERAGE(OFFSET($H$3,0,0,'Données projet'!$E$12+1,1))</f>
        <v>449.28947235329758</v>
      </c>
      <c r="CE160" s="59">
        <f t="shared" si="148"/>
        <v>289.36994109443964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69.603132203825922</v>
      </c>
      <c r="CL160" s="21">
        <f>EXP(-LN(2)/25)*CL159+(1-EXP(-LN(2)/25))/(LN(2)/25)*Calculateur!CG160*Calculateur!CI160*VLOOKUP('Données projet'!$B$12,Paramètres!$A$1:$I$89,3,0)*0.475*44/12</f>
        <v>11.711564642117992</v>
      </c>
      <c r="CM160" s="21">
        <f>EXP(-LN(2)/2)*CM159+(1-EXP(-LN(2)/2))/(LN(2)/2)*CG160*CJ160*VLOOKUP('Données projet'!$B$12,Paramètres!$A$1:$I$89,3,0)*0.475*44/12</f>
        <v>6.181525386956924E-4</v>
      </c>
      <c r="CN160" s="22">
        <f t="shared" si="172"/>
        <v>81.315314998482606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2.4829205358400945E-14</v>
      </c>
      <c r="CV160" s="13">
        <f t="shared" si="173"/>
        <v>4.3867331143352915E-13</v>
      </c>
      <c r="CW160" s="20">
        <f t="shared" si="174"/>
        <v>8.0726688341261168E-13</v>
      </c>
      <c r="CX160" s="59">
        <f t="shared" si="122"/>
        <v>293.33333333333411</v>
      </c>
      <c r="CY160" s="59">
        <f ca="1">AVERAGE(OFFSET($CX$3,0,0,'Données projet'!$E$13+1,1))-AVERAGE(OFFSET($H$3,0,0,'Données projet'!$E$13+1,1))</f>
        <v>261.93797831021766</v>
      </c>
      <c r="CZ160" s="59">
        <f t="shared" si="150"/>
        <v>256.90876395053073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7.1790389913747843</v>
      </c>
      <c r="DG160" s="21">
        <f>EXP(-LN(2)/25)*DG159+(1-EXP(-LN(2)/25))/(LN(2)/25)*Calculateur!DB160*Calculateur!DD160*VLOOKUP('Données projet'!$B$13,Paramètres!$A$1:$I$89,3,0)*0.475*44/12</f>
        <v>4.3159115678079427</v>
      </c>
      <c r="DH160" s="21">
        <f>EXP(-LN(2)/2)*DH159+(1-EXP(-LN(2)/2))/(LN(2)/2)*DB160*DE160*VLOOKUP('Données projet'!$B$13,Paramètres!$A$1:$I$89,3,0)*0.475*44/12</f>
        <v>1.1690822089762817E-10</v>
      </c>
      <c r="DI160" s="22">
        <f t="shared" si="175"/>
        <v>11.494950559299633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2.3999999999999964</v>
      </c>
      <c r="N161" s="13">
        <f>IF('Données projet'!$A$36&gt;35,N160+M161-V160,IF(A161&lt;'Données projet'!$A$36,$K$205^A161,IF(A161='Données projet'!$A$36,'Données projet'!$B$36,N160+M161-V160)))</f>
        <v>199.08000000000038</v>
      </c>
      <c r="O161" s="13">
        <f>N161*VLOOKUP('Données projet'!$B$9,Paramètres!$A$1:$I$89,3,0)*VLOOKUP('Données projet'!$B$9,Paramètres!$A$1:$I$89,5,0)</f>
        <v>180.12758400000035</v>
      </c>
      <c r="P161" s="13">
        <f t="shared" si="141"/>
        <v>45.350570085330872</v>
      </c>
      <c r="Q161" s="20">
        <f t="shared" si="162"/>
        <v>392.7077850319518</v>
      </c>
      <c r="R161" s="59">
        <f t="shared" si="109"/>
        <v>686.04111836528512</v>
      </c>
      <c r="S161" s="59">
        <f ca="1">AVERAGE(OFFSET($R$3,0,0,'Données projet'!$E$9+1,1))-AVERAGE(OFFSET($H$3,0,0,'Données projet'!$E$9+1,1))</f>
        <v>695.0879239758051</v>
      </c>
      <c r="T161" s="59">
        <f t="shared" si="142"/>
        <v>226.22150997227476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137.98284263393103</v>
      </c>
      <c r="AA161" s="21">
        <f>EXP(-LN(2)/25)*AA160+(1-EXP(-LN(2)/25))/(LN(2)/25)*Calculateur!V161*Calculateur!X161*VLOOKUP('Données projet'!$B$9,Paramètres!$A$1:$I$89,3,0)*0.475*44/12</f>
        <v>26.832941861389934</v>
      </c>
      <c r="AB161" s="21">
        <f>EXP(-LN(2)/2)*AB160+(1-EXP(-LN(2)/2))/(LN(2)/2)*V161*Y161*VLOOKUP('Données projet'!$B$9,Paramètres!$A$1:$I$89,3,0)*0.475*44/12</f>
        <v>3.934437375518625</v>
      </c>
      <c r="AC161" s="22">
        <f t="shared" si="163"/>
        <v>168.7502218708396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4.7884896048344674E-14</v>
      </c>
      <c r="AK161" s="13">
        <f t="shared" si="164"/>
        <v>7.8374629847779921E-13</v>
      </c>
      <c r="AL161" s="20">
        <f t="shared" si="165"/>
        <v>1.4484243304663672E-12</v>
      </c>
      <c r="AM161" s="59">
        <f t="shared" si="113"/>
        <v>293.33333333333474</v>
      </c>
      <c r="AN161" s="59">
        <f ca="1">AVERAGE(OFFSET($AM$3,0,0,'Données projet'!$E$10+1,1))-AVERAGE(OFFSET($H$3,0,0,'Données projet'!$E$10+1,1))</f>
        <v>424.81155998881928</v>
      </c>
      <c r="AO161" s="59">
        <f t="shared" si="144"/>
        <v>277.34430416544575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43.684708869153575</v>
      </c>
      <c r="AV161" s="21">
        <f>EXP(-LN(2)/25)*AV160+(1-EXP(-LN(2)/25))/(LN(2)/25)*Calculateur!AQ161*Calculateur!AS161*VLOOKUP('Données projet'!$B$10,Paramètres!$A$1:$I$89,3,0)*0.475*44/12</f>
        <v>6.6176304927275691</v>
      </c>
      <c r="AW161" s="21">
        <f>EXP(-LN(2)/2)*AW160+(1-EXP(-LN(2)/2))/(LN(2)/2)*AQ161*AT161*VLOOKUP('Données projet'!$B$10,Paramètres!$A$1:$I$89,3,0)*0.475*44/12</f>
        <v>1.1061167009117135E-7</v>
      </c>
      <c r="AX161" s="21">
        <f t="shared" si="166"/>
        <v>50.302339472492818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530.71948800000109</v>
      </c>
      <c r="BF161" s="13">
        <f t="shared" si="167"/>
        <v>117.82645460602643</v>
      </c>
      <c r="BG161" s="20">
        <f t="shared" si="168"/>
        <v>1129.5508500388312</v>
      </c>
      <c r="BH161" s="59">
        <f t="shared" si="116"/>
        <v>1422.8841833721644</v>
      </c>
      <c r="BI161" s="59">
        <f ca="1">AVERAGE(OFFSET($BH$3,0,0,'Données projet'!$E$11+1,1))-AVERAGE(OFFSET($H$3,0,0,'Données projet'!$E$11+1,1))</f>
        <v>706.69239849991595</v>
      </c>
      <c r="BJ161" s="59">
        <f t="shared" si="146"/>
        <v>310.59887275116529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56.05635516230312</v>
      </c>
      <c r="BQ161" s="21">
        <f>EXP(-LN(2)/25)*BQ160+(1-EXP(-LN(2)/25))/(LN(2)/25)*Calculateur!BL161*Calculateur!BN161*VLOOKUP('Données projet'!$B$11,Paramètres!$A$1:$I$89,3,0)*0.475*44/12</f>
        <v>22.965046941139814</v>
      </c>
      <c r="BR161" s="21">
        <f>EXP(-LN(2)/2)*BR160+(1-EXP(-LN(2)/2))/(LN(2)/2)*BL161*BO161*VLOOKUP('Données projet'!$B$11,Paramètres!$A$1:$I$89,3,0)*0.475*44/12</f>
        <v>4.36570689680298E-5</v>
      </c>
      <c r="BS161" s="22">
        <f t="shared" si="169"/>
        <v>79.021445760511909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2.5579538487363607E-13</v>
      </c>
      <c r="BZ161" s="13">
        <f>BY161*VLOOKUP('Données projet'!$B$12,Paramètres!$A$1:$I$89,3,0)*VLOOKUP('Données projet'!$B$12,Paramètres!$A$1:$I$89,5,0)</f>
        <v>2.4341488824575211E-13</v>
      </c>
      <c r="CA161" s="13">
        <f t="shared" si="170"/>
        <v>3.2970717324875541E-12</v>
      </c>
      <c r="CB161" s="20">
        <f t="shared" si="171"/>
        <v>6.1663475311105072E-12</v>
      </c>
      <c r="CC161" s="59">
        <f t="shared" si="119"/>
        <v>293.33333333333945</v>
      </c>
      <c r="CD161" s="59">
        <f ca="1">AVERAGE(OFFSET($CC$3,0,0,'Données projet'!$E$12+1,1))-AVERAGE(OFFSET($H$3,0,0,'Données projet'!$E$12+1,1))</f>
        <v>449.28947235329758</v>
      </c>
      <c r="CE161" s="59">
        <f t="shared" si="148"/>
        <v>289.36994109443964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68.238257235027589</v>
      </c>
      <c r="CL161" s="21">
        <f>EXP(-LN(2)/25)*CL160+(1-EXP(-LN(2)/25))/(LN(2)/25)*Calculateur!CG161*Calculateur!CI161*VLOOKUP('Données projet'!$B$12,Paramètres!$A$1:$I$89,3,0)*0.475*44/12</f>
        <v>11.391311291094858</v>
      </c>
      <c r="CM161" s="21">
        <f>EXP(-LN(2)/2)*CM160+(1-EXP(-LN(2)/2))/(LN(2)/2)*CG161*CJ161*VLOOKUP('Données projet'!$B$12,Paramètres!$A$1:$I$89,3,0)*0.475*44/12</f>
        <v>4.3709985191940382E-4</v>
      </c>
      <c r="CN161" s="22">
        <f t="shared" si="172"/>
        <v>79.630005625974377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2.4829205358400945E-14</v>
      </c>
      <c r="CV161" s="13">
        <f t="shared" si="173"/>
        <v>4.3867331143352915E-13</v>
      </c>
      <c r="CW161" s="20">
        <f t="shared" si="174"/>
        <v>8.0726688341261168E-13</v>
      </c>
      <c r="CX161" s="59">
        <f t="shared" si="122"/>
        <v>293.33333333333411</v>
      </c>
      <c r="CY161" s="59">
        <f ca="1">AVERAGE(OFFSET($CX$3,0,0,'Données projet'!$E$13+1,1))-AVERAGE(OFFSET($H$3,0,0,'Données projet'!$E$13+1,1))</f>
        <v>261.93797831021766</v>
      </c>
      <c r="CZ161" s="59">
        <f t="shared" si="150"/>
        <v>256.90876395053073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7.0382624155353408</v>
      </c>
      <c r="DG161" s="21">
        <f>EXP(-LN(2)/25)*DG160+(1-EXP(-LN(2)/25))/(LN(2)/25)*Calculateur!DB161*Calculateur!DD161*VLOOKUP('Données projet'!$B$13,Paramètres!$A$1:$I$89,3,0)*0.475*44/12</f>
        <v>4.1978927390223095</v>
      </c>
      <c r="DH161" s="21">
        <f>EXP(-LN(2)/2)*DH160+(1-EXP(-LN(2)/2))/(LN(2)/2)*DB161*DE161*VLOOKUP('Données projet'!$B$13,Paramètres!$A$1:$I$89,3,0)*0.475*44/12</f>
        <v>8.2666595773167725E-11</v>
      </c>
      <c r="DI161" s="22">
        <f t="shared" si="175"/>
        <v>11.236155154640317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2.3999999999999964</v>
      </c>
      <c r="M162" s="12">
        <f t="array" ref="M162">INDEX(L:L,MIN(IF(ISNUMBER(L162:L358),ROW(L162:L358),"")))</f>
        <v>2.3999999999999964</v>
      </c>
      <c r="N162" s="13">
        <f>IF('Données projet'!$A$36&gt;35,N161+M162-V161,IF(A162&lt;'Données projet'!$A$36,$K$205^A162,IF(A162='Données projet'!$A$36,'Données projet'!$B$36,N161+M162-V161)))</f>
        <v>201.48000000000039</v>
      </c>
      <c r="O162" s="13">
        <f>N162*VLOOKUP('Données projet'!$B$9,Paramètres!$A$1:$I$89,3,0)*VLOOKUP('Données projet'!$B$9,Paramètres!$A$1:$I$89,5,0)</f>
        <v>182.29910400000034</v>
      </c>
      <c r="P162" s="13">
        <f t="shared" si="141"/>
        <v>45.833315999864418</v>
      </c>
      <c r="Q162" s="20">
        <f t="shared" si="162"/>
        <v>397.33063149976448</v>
      </c>
      <c r="R162" s="59">
        <f t="shared" si="109"/>
        <v>690.66396483309779</v>
      </c>
      <c r="S162" s="59">
        <f ca="1">AVERAGE(OFFSET($R$3,0,0,'Données projet'!$E$9+1,1))-AVERAGE(OFFSET($H$3,0,0,'Données projet'!$E$9+1,1))</f>
        <v>695.0879239758051</v>
      </c>
      <c r="T162" s="59">
        <f t="shared" si="142"/>
        <v>226.22150997227476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201.48</v>
      </c>
      <c r="W162" s="16">
        <f>IF(ISNA(VLOOKUP(A162,'Données projet'!$A$35:$I$55,5,0)),0%,VLOOKUP(A162,'Données projet'!$A$35:$I$55,5,0)*VLOOKUP('Données projet'!$B$9,Paramètres!$A$1:$I$89,7,0))</f>
        <v>0.19350000000000001</v>
      </c>
      <c r="X162" s="16">
        <f>IF(ISNA(VLOOKUP(A162,'Données projet'!$A$35:$I$55,6,0)),0%,VLOOKUP(A162,'Données projet'!$A$35:$I$55,6,0)*VLOOKUP('Données projet'!$B$9,Paramètres!$A$1:$I$89,7,0))</f>
        <v>2.1500000000000002E-2</v>
      </c>
      <c r="Y162" s="16">
        <f>IF(ISNA(VLOOKUP(A162,'Données projet'!$A$35:$I$55,7,0)),0%,VLOOKUP(A162,'Données projet'!$A$35:$I$55,7,0))</f>
        <v>0.05</v>
      </c>
      <c r="Z162" s="21">
        <f>EXP(-LN(2)/35)*Z161+(1-EXP(-LN(2)/35))/(LN(2)/35)*V162*W162*VLOOKUP('Données projet'!$B$9,Paramètres!$A$1:$I$89,3,0)*0.475*44/12</f>
        <v>174.27241450061467</v>
      </c>
      <c r="AA162" s="21">
        <f>EXP(-LN(2)/25)*AA161+(1-EXP(-LN(2)/25))/(LN(2)/25)*Calculateur!V162*Calculateur!X162*VLOOKUP('Données projet'!$B$9,Paramètres!$A$1:$I$89,3,0)*0.475*44/12</f>
        <v>30.414948296440013</v>
      </c>
      <c r="AB162" s="21">
        <f>EXP(-LN(2)/2)*AB161+(1-EXP(-LN(2)/2))/(LN(2)/2)*V162*Y162*VLOOKUP('Données projet'!$B$9,Paramètres!$A$1:$I$89,3,0)*0.475*44/12</f>
        <v>11.38227290500536</v>
      </c>
      <c r="AC162" s="22">
        <f t="shared" si="163"/>
        <v>216.06963570206003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4.7884896048344674E-14</v>
      </c>
      <c r="AK162" s="13">
        <f t="shared" si="164"/>
        <v>7.8374629847779921E-13</v>
      </c>
      <c r="AL162" s="20">
        <f t="shared" si="165"/>
        <v>1.4484243304663672E-12</v>
      </c>
      <c r="AM162" s="59">
        <f t="shared" si="113"/>
        <v>293.33333333333474</v>
      </c>
      <c r="AN162" s="59">
        <f ca="1">AVERAGE(OFFSET($AM$3,0,0,'Données projet'!$E$10+1,1))-AVERAGE(OFFSET($H$3,0,0,'Données projet'!$E$10+1,1))</f>
        <v>424.81155998881928</v>
      </c>
      <c r="AO162" s="59">
        <f t="shared" si="144"/>
        <v>277.34430416544575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42.828078373270905</v>
      </c>
      <c r="AV162" s="21">
        <f>EXP(-LN(2)/25)*AV161+(1-EXP(-LN(2)/25))/(LN(2)/25)*Calculateur!AQ162*Calculateur!AS162*VLOOKUP('Données projet'!$B$10,Paramètres!$A$1:$I$89,3,0)*0.475*44/12</f>
        <v>6.4366710388978712</v>
      </c>
      <c r="AW162" s="21">
        <f>EXP(-LN(2)/2)*AW161+(1-EXP(-LN(2)/2))/(LN(2)/2)*AQ162*AT162*VLOOKUP('Données projet'!$B$10,Paramètres!$A$1:$I$89,3,0)*0.475*44/12</f>
        <v>7.8214261999836482E-8</v>
      </c>
      <c r="AX162" s="21">
        <f t="shared" si="166"/>
        <v>49.264749490383039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540.34032000000116</v>
      </c>
      <c r="BF162" s="13">
        <f t="shared" si="167"/>
        <v>119.71179918365929</v>
      </c>
      <c r="BG162" s="20">
        <f t="shared" si="168"/>
        <v>1149.5907742448753</v>
      </c>
      <c r="BH162" s="59">
        <f t="shared" si="116"/>
        <v>1442.9241075782086</v>
      </c>
      <c r="BI162" s="59">
        <f ca="1">AVERAGE(OFFSET($BH$3,0,0,'Données projet'!$E$11+1,1))-AVERAGE(OFFSET($H$3,0,0,'Données projet'!$E$11+1,1))</f>
        <v>706.69239849991595</v>
      </c>
      <c r="BJ162" s="59">
        <f t="shared" si="146"/>
        <v>310.59887275116529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54.957124228570926</v>
      </c>
      <c r="BQ162" s="21">
        <f>EXP(-LN(2)/25)*BQ161+(1-EXP(-LN(2)/25))/(LN(2)/25)*Calculateur!BL162*Calculateur!BN162*VLOOKUP('Données projet'!$B$11,Paramètres!$A$1:$I$89,3,0)*0.475*44/12</f>
        <v>22.337066524855015</v>
      </c>
      <c r="BR162" s="21">
        <f>EXP(-LN(2)/2)*BR161+(1-EXP(-LN(2)/2))/(LN(2)/2)*BL162*BO162*VLOOKUP('Données projet'!$B$11,Paramètres!$A$1:$I$89,3,0)*0.475*44/12</f>
        <v>3.0870209514022662E-5</v>
      </c>
      <c r="BS162" s="22">
        <f t="shared" si="169"/>
        <v>77.294221623635451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2.5579538487363607E-13</v>
      </c>
      <c r="BZ162" s="13">
        <f>BY162*VLOOKUP('Données projet'!$B$12,Paramètres!$A$1:$I$89,3,0)*VLOOKUP('Données projet'!$B$12,Paramètres!$A$1:$I$89,5,0)</f>
        <v>2.4341488824575211E-13</v>
      </c>
      <c r="CA162" s="13">
        <f t="shared" si="170"/>
        <v>3.2970717324875541E-12</v>
      </c>
      <c r="CB162" s="20">
        <f t="shared" si="171"/>
        <v>6.1663475311105072E-12</v>
      </c>
      <c r="CC162" s="59">
        <f t="shared" si="119"/>
        <v>293.33333333333945</v>
      </c>
      <c r="CD162" s="59">
        <f ca="1">AVERAGE(OFFSET($CC$3,0,0,'Données projet'!$E$12+1,1))-AVERAGE(OFFSET($H$3,0,0,'Données projet'!$E$12+1,1))</f>
        <v>449.28947235329758</v>
      </c>
      <c r="CE162" s="59">
        <f t="shared" si="148"/>
        <v>289.36994109443964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66.900146631875856</v>
      </c>
      <c r="CL162" s="21">
        <f>EXP(-LN(2)/25)*CL161+(1-EXP(-LN(2)/25))/(LN(2)/25)*Calculateur!CG162*Calculateur!CI162*VLOOKUP('Données projet'!$B$12,Paramètres!$A$1:$I$89,3,0)*0.475*44/12</f>
        <v>11.079815284796844</v>
      </c>
      <c r="CM162" s="21">
        <f>EXP(-LN(2)/2)*CM161+(1-EXP(-LN(2)/2))/(LN(2)/2)*CG162*CJ162*VLOOKUP('Données projet'!$B$12,Paramètres!$A$1:$I$89,3,0)*0.475*44/12</f>
        <v>3.090762693478462E-4</v>
      </c>
      <c r="CN162" s="22">
        <f t="shared" si="172"/>
        <v>77.980270992942039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2.4829205358400945E-14</v>
      </c>
      <c r="CV162" s="13">
        <f t="shared" si="173"/>
        <v>4.3867331143352915E-13</v>
      </c>
      <c r="CW162" s="20">
        <f t="shared" si="174"/>
        <v>8.0726688341261168E-13</v>
      </c>
      <c r="CX162" s="59">
        <f t="shared" si="122"/>
        <v>293.33333333333411</v>
      </c>
      <c r="CY162" s="59">
        <f ca="1">AVERAGE(OFFSET($CX$3,0,0,'Données projet'!$E$13+1,1))-AVERAGE(OFFSET($H$3,0,0,'Données projet'!$E$13+1,1))</f>
        <v>261.93797831021766</v>
      </c>
      <c r="CZ162" s="59">
        <f t="shared" si="150"/>
        <v>256.90876395053073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6.9002463824828757</v>
      </c>
      <c r="DG162" s="21">
        <f>EXP(-LN(2)/25)*DG161+(1-EXP(-LN(2)/25))/(LN(2)/25)*Calculateur!DB162*Calculateur!DD162*VLOOKUP('Données projet'!$B$13,Paramètres!$A$1:$I$89,3,0)*0.475*44/12</f>
        <v>4.0831011413161598</v>
      </c>
      <c r="DH162" s="21">
        <f>EXP(-LN(2)/2)*DH161+(1-EXP(-LN(2)/2))/(LN(2)/2)*DB162*DE162*VLOOKUP('Données projet'!$B$13,Paramètres!$A$1:$I$89,3,0)*0.475*44/12</f>
        <v>5.8454110448814083E-11</v>
      </c>
      <c r="DI162" s="22">
        <f t="shared" si="175"/>
        <v>10.983347523857491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3.979039320256561E-13</v>
      </c>
      <c r="O163" s="13">
        <f>N163*VLOOKUP('Données projet'!$B$9,Paramètres!$A$1:$I$89,3,0)*VLOOKUP('Données projet'!$B$9,Paramètres!$A$1:$I$89,5,0)</f>
        <v>3.6002347769681362E-13</v>
      </c>
      <c r="P163" s="13">
        <f t="shared" si="141"/>
        <v>4.6593569189922594E-12</v>
      </c>
      <c r="Q163" s="20">
        <f t="shared" si="162"/>
        <v>8.7420875242334695E-12</v>
      </c>
      <c r="R163" s="59">
        <f t="shared" si="109"/>
        <v>293.33333333334207</v>
      </c>
      <c r="S163" s="59">
        <f ca="1">AVERAGE(OFFSET($R$3,0,0,'Données projet'!$E$9+1,1))-AVERAGE(OFFSET($H$3,0,0,'Données projet'!$E$9+1,1))</f>
        <v>695.0879239758051</v>
      </c>
      <c r="T163" s="59">
        <f t="shared" si="142"/>
        <v>226.22150997227476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170.85503874793463</v>
      </c>
      <c r="AA163" s="21">
        <f>EXP(-LN(2)/25)*AA162+(1-EXP(-LN(2)/25))/(LN(2)/25)*Calculateur!V163*Calculateur!X163*VLOOKUP('Données projet'!$B$9,Paramètres!$A$1:$I$89,3,0)*0.475*44/12</f>
        <v>29.583249935821243</v>
      </c>
      <c r="AB163" s="21">
        <f>EXP(-LN(2)/2)*AB162+(1-EXP(-LN(2)/2))/(LN(2)/2)*V163*Y163*VLOOKUP('Données projet'!$B$9,Paramètres!$A$1:$I$89,3,0)*0.475*44/12</f>
        <v>8.0484823564451951</v>
      </c>
      <c r="AC163" s="22">
        <f t="shared" si="163"/>
        <v>208.48677104020106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4.7884896048344674E-14</v>
      </c>
      <c r="AK163" s="13">
        <f t="shared" si="164"/>
        <v>7.8374629847779921E-13</v>
      </c>
      <c r="AL163" s="20">
        <f t="shared" si="165"/>
        <v>1.4484243304663672E-12</v>
      </c>
      <c r="AM163" s="59">
        <f t="shared" si="113"/>
        <v>293.33333333333474</v>
      </c>
      <c r="AN163" s="59">
        <f ca="1">AVERAGE(OFFSET($AM$3,0,0,'Données projet'!$E$10+1,1))-AVERAGE(OFFSET($H$3,0,0,'Données projet'!$E$10+1,1))</f>
        <v>424.81155998881928</v>
      </c>
      <c r="AO163" s="59">
        <f t="shared" si="144"/>
        <v>277.34430416544575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41.988245878919486</v>
      </c>
      <c r="AV163" s="21">
        <f>EXP(-LN(2)/25)*AV162+(1-EXP(-LN(2)/25))/(LN(2)/25)*Calculateur!AQ163*Calculateur!AS163*VLOOKUP('Données projet'!$B$10,Paramètres!$A$1:$I$89,3,0)*0.475*44/12</f>
        <v>6.26065993084939</v>
      </c>
      <c r="AW163" s="21">
        <f>EXP(-LN(2)/2)*AW162+(1-EXP(-LN(2)/2))/(LN(2)/2)*AQ163*AT163*VLOOKUP('Données projet'!$B$10,Paramètres!$A$1:$I$89,3,0)*0.475*44/12</f>
        <v>5.5305835045585675E-8</v>
      </c>
      <c r="AX163" s="21">
        <f t="shared" si="166"/>
        <v>48.248905865074711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549.96115200000122</v>
      </c>
      <c r="BF163" s="13">
        <f t="shared" si="167"/>
        <v>121.59324017964097</v>
      </c>
      <c r="BG163" s="20">
        <f t="shared" si="168"/>
        <v>1169.6238997128767</v>
      </c>
      <c r="BH163" s="59">
        <f t="shared" si="116"/>
        <v>1462.9572330462099</v>
      </c>
      <c r="BI163" s="59">
        <f ca="1">AVERAGE(OFFSET($BH$3,0,0,'Données projet'!$E$11+1,1))-AVERAGE(OFFSET($H$3,0,0,'Données projet'!$E$11+1,1))</f>
        <v>706.69239849991595</v>
      </c>
      <c r="BJ163" s="59">
        <f t="shared" si="146"/>
        <v>310.59887275116529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53.879448542984555</v>
      </c>
      <c r="BQ163" s="21">
        <f>EXP(-LN(2)/25)*BQ162+(1-EXP(-LN(2)/25))/(LN(2)/25)*Calculateur!BL163*Calculateur!BN163*VLOOKUP('Données projet'!$B$11,Paramètres!$A$1:$I$89,3,0)*0.475*44/12</f>
        <v>21.726258266077579</v>
      </c>
      <c r="BR163" s="21">
        <f>EXP(-LN(2)/2)*BR162+(1-EXP(-LN(2)/2))/(LN(2)/2)*BL163*BO163*VLOOKUP('Données projet'!$B$11,Paramètres!$A$1:$I$89,3,0)*0.475*44/12</f>
        <v>2.18285344840149E-5</v>
      </c>
      <c r="BS163" s="22">
        <f t="shared" si="169"/>
        <v>75.605728637596613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2.5579538487363607E-13</v>
      </c>
      <c r="BZ163" s="13">
        <f>BY163*VLOOKUP('Données projet'!$B$12,Paramètres!$A$1:$I$89,3,0)*VLOOKUP('Données projet'!$B$12,Paramètres!$A$1:$I$89,5,0)</f>
        <v>2.4341488824575211E-13</v>
      </c>
      <c r="CA163" s="13">
        <f t="shared" si="170"/>
        <v>3.2970717324875541E-12</v>
      </c>
      <c r="CB163" s="20">
        <f t="shared" si="171"/>
        <v>6.1663475311105072E-12</v>
      </c>
      <c r="CC163" s="59">
        <f t="shared" si="119"/>
        <v>293.33333333333945</v>
      </c>
      <c r="CD163" s="59">
        <f ca="1">AVERAGE(OFFSET($CC$3,0,0,'Données projet'!$E$12+1,1))-AVERAGE(OFFSET($H$3,0,0,'Données projet'!$E$12+1,1))</f>
        <v>449.28947235329758</v>
      </c>
      <c r="CE163" s="59">
        <f t="shared" si="148"/>
        <v>289.36994109443964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65.588275561485048</v>
      </c>
      <c r="CL163" s="21">
        <f>EXP(-LN(2)/25)*CL162+(1-EXP(-LN(2)/25))/(LN(2)/25)*Calculateur!CG163*Calculateur!CI163*VLOOKUP('Données projet'!$B$12,Paramètres!$A$1:$I$89,3,0)*0.475*44/12</f>
        <v>10.776837153171911</v>
      </c>
      <c r="CM163" s="21">
        <f>EXP(-LN(2)/2)*CM162+(1-EXP(-LN(2)/2))/(LN(2)/2)*CG163*CJ163*VLOOKUP('Données projet'!$B$12,Paramètres!$A$1:$I$89,3,0)*0.475*44/12</f>
        <v>2.1854992595970191E-4</v>
      </c>
      <c r="CN163" s="22">
        <f t="shared" si="172"/>
        <v>76.36533126458292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2.4829205358400945E-14</v>
      </c>
      <c r="CV163" s="13">
        <f t="shared" si="173"/>
        <v>4.3867331143352915E-13</v>
      </c>
      <c r="CW163" s="20">
        <f t="shared" si="174"/>
        <v>8.0726688341261168E-13</v>
      </c>
      <c r="CX163" s="59">
        <f t="shared" si="122"/>
        <v>293.33333333333411</v>
      </c>
      <c r="CY163" s="59">
        <f ca="1">AVERAGE(OFFSET($CX$3,0,0,'Données projet'!$E$13+1,1))-AVERAGE(OFFSET($H$3,0,0,'Données projet'!$E$13+1,1))</f>
        <v>261.93797831021766</v>
      </c>
      <c r="CZ163" s="59">
        <f t="shared" si="150"/>
        <v>256.90876395053073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6.7649367596571022</v>
      </c>
      <c r="DG163" s="21">
        <f>EXP(-LN(2)/25)*DG162+(1-EXP(-LN(2)/25))/(LN(2)/25)*Calculateur!DB163*Calculateur!DD163*VLOOKUP('Données projet'!$B$13,Paramètres!$A$1:$I$89,3,0)*0.475*44/12</f>
        <v>3.9714485258859122</v>
      </c>
      <c r="DH163" s="21">
        <f>EXP(-LN(2)/2)*DH162+(1-EXP(-LN(2)/2))/(LN(2)/2)*DB163*DE163*VLOOKUP('Données projet'!$B$13,Paramètres!$A$1:$I$89,3,0)*0.475*44/12</f>
        <v>4.1333297886583862E-11</v>
      </c>
      <c r="DI163" s="22">
        <f t="shared" si="175"/>
        <v>10.736385285584349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3.979039320256561E-13</v>
      </c>
      <c r="O164" s="13">
        <f>N164*VLOOKUP('Données projet'!$B$9,Paramètres!$A$1:$I$89,3,0)*VLOOKUP('Données projet'!$B$9,Paramètres!$A$1:$I$89,5,0)</f>
        <v>3.6002347769681362E-13</v>
      </c>
      <c r="P164" s="13">
        <f t="shared" si="141"/>
        <v>4.6593569189922594E-12</v>
      </c>
      <c r="Q164" s="20">
        <f t="shared" si="162"/>
        <v>8.7420875242334695E-12</v>
      </c>
      <c r="R164" s="59">
        <f t="shared" si="109"/>
        <v>293.33333333334207</v>
      </c>
      <c r="S164" s="59">
        <f ca="1">AVERAGE(OFFSET($R$3,0,0,'Données projet'!$E$9+1,1))-AVERAGE(OFFSET($H$3,0,0,'Données projet'!$E$9+1,1))</f>
        <v>695.0879239758051</v>
      </c>
      <c r="T164" s="59">
        <f t="shared" si="142"/>
        <v>226.22150997227476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167.50467564937125</v>
      </c>
      <c r="AA164" s="21">
        <f>EXP(-LN(2)/25)*AA163+(1-EXP(-LN(2)/25))/(LN(2)/25)*Calculateur!V164*Calculateur!X164*VLOOKUP('Données projet'!$B$9,Paramètres!$A$1:$I$89,3,0)*0.475*44/12</f>
        <v>28.774294410610711</v>
      </c>
      <c r="AB164" s="21">
        <f>EXP(-LN(2)/2)*AB163+(1-EXP(-LN(2)/2))/(LN(2)/2)*V164*Y164*VLOOKUP('Données projet'!$B$9,Paramètres!$A$1:$I$89,3,0)*0.475*44/12</f>
        <v>5.6911364525026817</v>
      </c>
      <c r="AC164" s="22">
        <f t="shared" si="163"/>
        <v>201.97010651248465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4.7884896048344674E-14</v>
      </c>
      <c r="AK164" s="13">
        <f t="shared" si="164"/>
        <v>7.8374629847779921E-13</v>
      </c>
      <c r="AL164" s="20">
        <f t="shared" si="165"/>
        <v>1.4484243304663672E-12</v>
      </c>
      <c r="AM164" s="59">
        <f t="shared" si="113"/>
        <v>293.33333333333474</v>
      </c>
      <c r="AN164" s="59">
        <f ca="1">AVERAGE(OFFSET($AM$3,0,0,'Données projet'!$E$10+1,1))-AVERAGE(OFFSET($H$3,0,0,'Données projet'!$E$10+1,1))</f>
        <v>424.81155998881928</v>
      </c>
      <c r="AO164" s="59">
        <f t="shared" si="144"/>
        <v>277.34430416544575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41.164881987535054</v>
      </c>
      <c r="AV164" s="21">
        <f>EXP(-LN(2)/25)*AV163+(1-EXP(-LN(2)/25))/(LN(2)/25)*Calculateur!AQ164*Calculateur!AS164*VLOOKUP('Données projet'!$B$10,Paramètres!$A$1:$I$89,3,0)*0.475*44/12</f>
        <v>6.0894618558065163</v>
      </c>
      <c r="AW164" s="21">
        <f>EXP(-LN(2)/2)*AW163+(1-EXP(-LN(2)/2))/(LN(2)/2)*AQ164*AT164*VLOOKUP('Données projet'!$B$10,Paramètres!$A$1:$I$89,3,0)*0.475*44/12</f>
        <v>3.9107130999918241E-8</v>
      </c>
      <c r="AX164" s="21">
        <f t="shared" si="166"/>
        <v>47.254343882448701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559.58198400000128</v>
      </c>
      <c r="BF164" s="13">
        <f t="shared" si="167"/>
        <v>123.47085376087081</v>
      </c>
      <c r="BG164" s="20">
        <f t="shared" si="168"/>
        <v>1189.6503591001856</v>
      </c>
      <c r="BH164" s="59">
        <f t="shared" si="116"/>
        <v>1482.9836924335189</v>
      </c>
      <c r="BI164" s="59">
        <f ca="1">AVERAGE(OFFSET($BH$3,0,0,'Données projet'!$E$11+1,1))-AVERAGE(OFFSET($H$3,0,0,'Données projet'!$E$11+1,1))</f>
        <v>706.69239849991595</v>
      </c>
      <c r="BJ164" s="59">
        <f t="shared" si="146"/>
        <v>310.59887275116529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52.822905420275269</v>
      </c>
      <c r="BQ164" s="21">
        <f>EXP(-LN(2)/25)*BQ163+(1-EXP(-LN(2)/25))/(LN(2)/25)*Calculateur!BL164*Calculateur!BN164*VLOOKUP('Données projet'!$B$11,Paramètres!$A$1:$I$89,3,0)*0.475*44/12</f>
        <v>21.132152591257423</v>
      </c>
      <c r="BR164" s="21">
        <f>EXP(-LN(2)/2)*BR163+(1-EXP(-LN(2)/2))/(LN(2)/2)*BL164*BO164*VLOOKUP('Données projet'!$B$11,Paramètres!$A$1:$I$89,3,0)*0.475*44/12</f>
        <v>1.5435104757011331E-5</v>
      </c>
      <c r="BS164" s="22">
        <f t="shared" si="169"/>
        <v>73.955073446637442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2.5579538487363607E-13</v>
      </c>
      <c r="BZ164" s="13">
        <f>BY164*VLOOKUP('Données projet'!$B$12,Paramètres!$A$1:$I$89,3,0)*VLOOKUP('Données projet'!$B$12,Paramètres!$A$1:$I$89,5,0)</f>
        <v>2.4341488824575211E-13</v>
      </c>
      <c r="CA164" s="13">
        <f t="shared" si="170"/>
        <v>3.2970717324875541E-12</v>
      </c>
      <c r="CB164" s="20">
        <f t="shared" si="171"/>
        <v>6.1663475311105072E-12</v>
      </c>
      <c r="CC164" s="59">
        <f t="shared" si="119"/>
        <v>293.33333333333945</v>
      </c>
      <c r="CD164" s="59">
        <f ca="1">AVERAGE(OFFSET($CC$3,0,0,'Données projet'!$E$12+1,1))-AVERAGE(OFFSET($H$3,0,0,'Données projet'!$E$12+1,1))</f>
        <v>449.28947235329758</v>
      </c>
      <c r="CE164" s="59">
        <f t="shared" si="148"/>
        <v>289.36994109443964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64.302129482622263</v>
      </c>
      <c r="CL164" s="21">
        <f>EXP(-LN(2)/25)*CL163+(1-EXP(-LN(2)/25))/(LN(2)/25)*Calculateur!CG164*Calculateur!CI164*VLOOKUP('Données projet'!$B$12,Paramètres!$A$1:$I$89,3,0)*0.475*44/12</f>
        <v>10.48214397448919</v>
      </c>
      <c r="CM164" s="21">
        <f>EXP(-LN(2)/2)*CM163+(1-EXP(-LN(2)/2))/(LN(2)/2)*CG164*CJ164*VLOOKUP('Données projet'!$B$12,Paramètres!$A$1:$I$89,3,0)*0.475*44/12</f>
        <v>1.545381346739231E-4</v>
      </c>
      <c r="CN164" s="22">
        <f t="shared" si="172"/>
        <v>74.784427995246133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2.4829205358400945E-14</v>
      </c>
      <c r="CV164" s="13">
        <f t="shared" si="173"/>
        <v>4.3867331143352915E-13</v>
      </c>
      <c r="CW164" s="20">
        <f t="shared" si="174"/>
        <v>8.0726688341261168E-13</v>
      </c>
      <c r="CX164" s="59">
        <f t="shared" si="122"/>
        <v>293.33333333333411</v>
      </c>
      <c r="CY164" s="59">
        <f ca="1">AVERAGE(OFFSET($CX$3,0,0,'Données projet'!$E$13+1,1))-AVERAGE(OFFSET($H$3,0,0,'Données projet'!$E$13+1,1))</f>
        <v>261.93797831021766</v>
      </c>
      <c r="CZ164" s="59">
        <f t="shared" si="150"/>
        <v>256.90876395053073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6.6322804760042207</v>
      </c>
      <c r="DG164" s="21">
        <f>EXP(-LN(2)/25)*DG163+(1-EXP(-LN(2)/25))/(LN(2)/25)*Calculateur!DB164*Calculateur!DD164*VLOOKUP('Données projet'!$B$13,Paramètres!$A$1:$I$89,3,0)*0.475*44/12</f>
        <v>3.8628490570961609</v>
      </c>
      <c r="DH164" s="21">
        <f>EXP(-LN(2)/2)*DH163+(1-EXP(-LN(2)/2))/(LN(2)/2)*DB164*DE164*VLOOKUP('Données projet'!$B$13,Paramètres!$A$1:$I$89,3,0)*0.475*44/12</f>
        <v>2.9227055224407042E-11</v>
      </c>
      <c r="DI164" s="22">
        <f t="shared" si="175"/>
        <v>10.495129533129608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3.979039320256561E-13</v>
      </c>
      <c r="O165" s="13">
        <f>N165*VLOOKUP('Données projet'!$B$9,Paramètres!$A$1:$I$89,3,0)*VLOOKUP('Données projet'!$B$9,Paramètres!$A$1:$I$89,5,0)</f>
        <v>3.6002347769681362E-13</v>
      </c>
      <c r="P165" s="13">
        <f t="shared" si="141"/>
        <v>4.6593569189922594E-12</v>
      </c>
      <c r="Q165" s="20">
        <f t="shared" si="162"/>
        <v>8.7420875242334695E-12</v>
      </c>
      <c r="R165" s="59">
        <f t="shared" si="109"/>
        <v>293.33333333334207</v>
      </c>
      <c r="S165" s="59">
        <f ca="1">AVERAGE(OFFSET($R$3,0,0,'Données projet'!$E$9+1,1))-AVERAGE(OFFSET($H$3,0,0,'Données projet'!$E$9+1,1))</f>
        <v>695.0879239758051</v>
      </c>
      <c r="T165" s="59">
        <f t="shared" si="142"/>
        <v>226.22150997227476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164.22001112765099</v>
      </c>
      <c r="AA165" s="21">
        <f>EXP(-LN(2)/25)*AA164+(1-EXP(-LN(2)/25))/(LN(2)/25)*Calculateur!V165*Calculateur!X165*VLOOKUP('Données projet'!$B$9,Paramètres!$A$1:$I$89,3,0)*0.475*44/12</f>
        <v>27.987459816778184</v>
      </c>
      <c r="AB165" s="21">
        <f>EXP(-LN(2)/2)*AB164+(1-EXP(-LN(2)/2))/(LN(2)/2)*V165*Y165*VLOOKUP('Données projet'!$B$9,Paramètres!$A$1:$I$89,3,0)*0.475*44/12</f>
        <v>4.0242411782225984</v>
      </c>
      <c r="AC165" s="22">
        <f t="shared" si="163"/>
        <v>196.2317121226518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4.7884896048344674E-14</v>
      </c>
      <c r="AK165" s="13">
        <f t="shared" si="164"/>
        <v>7.8374629847779921E-13</v>
      </c>
      <c r="AL165" s="20">
        <f t="shared" si="165"/>
        <v>1.4484243304663672E-12</v>
      </c>
      <c r="AM165" s="59">
        <f t="shared" si="113"/>
        <v>293.33333333333474</v>
      </c>
      <c r="AN165" s="59">
        <f ca="1">AVERAGE(OFFSET($AM$3,0,0,'Données projet'!$E$10+1,1))-AVERAGE(OFFSET($H$3,0,0,'Données projet'!$E$10+1,1))</f>
        <v>424.81155998881928</v>
      </c>
      <c r="AO165" s="59">
        <f t="shared" si="144"/>
        <v>277.34430416544575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40.357663759858283</v>
      </c>
      <c r="AV165" s="21">
        <f>EXP(-LN(2)/25)*AV164+(1-EXP(-LN(2)/25))/(LN(2)/25)*Calculateur!AQ165*Calculateur!AS165*VLOOKUP('Données projet'!$B$10,Paramètres!$A$1:$I$89,3,0)*0.475*44/12</f>
        <v>5.9229452011286057</v>
      </c>
      <c r="AW165" s="21">
        <f>EXP(-LN(2)/2)*AW164+(1-EXP(-LN(2)/2))/(LN(2)/2)*AQ165*AT165*VLOOKUP('Données projet'!$B$10,Paramètres!$A$1:$I$89,3,0)*0.475*44/12</f>
        <v>2.7652917522792837E-8</v>
      </c>
      <c r="AX165" s="21">
        <f t="shared" si="166"/>
        <v>46.280608988639806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569.20281600000135</v>
      </c>
      <c r="BF165" s="13">
        <f t="shared" si="167"/>
        <v>125.34471332512402</v>
      </c>
      <c r="BG165" s="20">
        <f t="shared" si="168"/>
        <v>1209.6702802412601</v>
      </c>
      <c r="BH165" s="59">
        <f t="shared" si="116"/>
        <v>1503.0036135745934</v>
      </c>
      <c r="BI165" s="59">
        <f ca="1">AVERAGE(OFFSET($BH$3,0,0,'Données projet'!$E$11+1,1))-AVERAGE(OFFSET($H$3,0,0,'Données projet'!$E$11+1,1))</f>
        <v>706.69239849991595</v>
      </c>
      <c r="BJ165" s="59">
        <f t="shared" si="146"/>
        <v>310.59887275116529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51.787080463774636</v>
      </c>
      <c r="BQ165" s="21">
        <f>EXP(-LN(2)/25)*BQ164+(1-EXP(-LN(2)/25))/(LN(2)/25)*Calculateur!BL165*Calculateur!BN165*VLOOKUP('Données projet'!$B$11,Paramètres!$A$1:$I$89,3,0)*0.475*44/12</f>
        <v>20.554292767357882</v>
      </c>
      <c r="BR165" s="21">
        <f>EXP(-LN(2)/2)*BR164+(1-EXP(-LN(2)/2))/(LN(2)/2)*BL165*BO165*VLOOKUP('Données projet'!$B$11,Paramètres!$A$1:$I$89,3,0)*0.475*44/12</f>
        <v>1.091426724200745E-5</v>
      </c>
      <c r="BS165" s="22">
        <f t="shared" si="169"/>
        <v>72.341384145399758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2.5579538487363607E-13</v>
      </c>
      <c r="BZ165" s="13">
        <f>BY165*VLOOKUP('Données projet'!$B$12,Paramètres!$A$1:$I$89,3,0)*VLOOKUP('Données projet'!$B$12,Paramètres!$A$1:$I$89,5,0)</f>
        <v>2.4341488824575211E-13</v>
      </c>
      <c r="CA165" s="13">
        <f t="shared" si="170"/>
        <v>3.2970717324875541E-12</v>
      </c>
      <c r="CB165" s="20">
        <f t="shared" si="171"/>
        <v>6.1663475311105072E-12</v>
      </c>
      <c r="CC165" s="59">
        <f t="shared" si="119"/>
        <v>293.33333333333945</v>
      </c>
      <c r="CD165" s="59">
        <f ca="1">AVERAGE(OFFSET($CC$3,0,0,'Données projet'!$E$12+1,1))-AVERAGE(OFFSET($H$3,0,0,'Données projet'!$E$12+1,1))</f>
        <v>449.28947235329758</v>
      </c>
      <c r="CE165" s="59">
        <f t="shared" si="148"/>
        <v>289.36994109443964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63.041203943894331</v>
      </c>
      <c r="CL165" s="21">
        <f>EXP(-LN(2)/25)*CL164+(1-EXP(-LN(2)/25))/(LN(2)/25)*Calculateur!CG165*Calculateur!CI165*VLOOKUP('Données projet'!$B$12,Paramètres!$A$1:$I$89,3,0)*0.475*44/12</f>
        <v>10.19550919627479</v>
      </c>
      <c r="CM165" s="21">
        <f>EXP(-LN(2)/2)*CM164+(1-EXP(-LN(2)/2))/(LN(2)/2)*CG165*CJ165*VLOOKUP('Données projet'!$B$12,Paramètres!$A$1:$I$89,3,0)*0.475*44/12</f>
        <v>1.0927496297985096E-4</v>
      </c>
      <c r="CN165" s="22">
        <f t="shared" si="172"/>
        <v>73.236822415132096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2.4829205358400945E-14</v>
      </c>
      <c r="CV165" s="13">
        <f t="shared" si="173"/>
        <v>4.3867331143352915E-13</v>
      </c>
      <c r="CW165" s="20">
        <f t="shared" si="174"/>
        <v>8.0726688341261168E-13</v>
      </c>
      <c r="CX165" s="59">
        <f t="shared" si="122"/>
        <v>293.33333333333411</v>
      </c>
      <c r="CY165" s="59">
        <f ca="1">AVERAGE(OFFSET($CX$3,0,0,'Données projet'!$E$13+1,1))-AVERAGE(OFFSET($H$3,0,0,'Données projet'!$E$13+1,1))</f>
        <v>261.93797831021766</v>
      </c>
      <c r="CZ165" s="59">
        <f t="shared" si="150"/>
        <v>256.90876395053073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6.5022255011614289</v>
      </c>
      <c r="DG165" s="21">
        <f>EXP(-LN(2)/25)*DG164+(1-EXP(-LN(2)/25))/(LN(2)/25)*Calculateur!DB165*Calculateur!DD165*VLOOKUP('Données projet'!$B$13,Paramètres!$A$1:$I$89,3,0)*0.475*44/12</f>
        <v>3.7572192464914633</v>
      </c>
      <c r="DH165" s="21">
        <f>EXP(-LN(2)/2)*DH164+(1-EXP(-LN(2)/2))/(LN(2)/2)*DB165*DE165*VLOOKUP('Données projet'!$B$13,Paramètres!$A$1:$I$89,3,0)*0.475*44/12</f>
        <v>2.0666648943291931E-11</v>
      </c>
      <c r="DI165" s="22">
        <f t="shared" si="175"/>
        <v>10.259444747673559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3.979039320256561E-13</v>
      </c>
      <c r="O166" s="13">
        <f>N166*VLOOKUP('Données projet'!$B$9,Paramètres!$A$1:$I$89,3,0)*VLOOKUP('Données projet'!$B$9,Paramètres!$A$1:$I$89,5,0)</f>
        <v>3.6002347769681362E-13</v>
      </c>
      <c r="P166" s="13">
        <f t="shared" si="141"/>
        <v>4.6593569189922594E-12</v>
      </c>
      <c r="Q166" s="20">
        <f t="shared" si="162"/>
        <v>8.7420875242334695E-12</v>
      </c>
      <c r="R166" s="59">
        <f t="shared" si="109"/>
        <v>293.33333333334207</v>
      </c>
      <c r="S166" s="59">
        <f ca="1">AVERAGE(OFFSET($R$3,0,0,'Données projet'!$E$9+1,1))-AVERAGE(OFFSET($H$3,0,0,'Données projet'!$E$9+1,1))</f>
        <v>695.0879239758051</v>
      </c>
      <c r="T166" s="59">
        <f t="shared" si="142"/>
        <v>226.22150997227476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160.99975687375414</v>
      </c>
      <c r="AA166" s="21">
        <f>EXP(-LN(2)/25)*AA165+(1-EXP(-LN(2)/25))/(LN(2)/25)*Calculateur!V166*Calculateur!X166*VLOOKUP('Données projet'!$B$9,Paramètres!$A$1:$I$89,3,0)*0.475*44/12</f>
        <v>27.222141256291838</v>
      </c>
      <c r="AB166" s="21">
        <f>EXP(-LN(2)/2)*AB165+(1-EXP(-LN(2)/2))/(LN(2)/2)*V166*Y166*VLOOKUP('Données projet'!$B$9,Paramètres!$A$1:$I$89,3,0)*0.475*44/12</f>
        <v>2.8455682262513413</v>
      </c>
      <c r="AC166" s="22">
        <f t="shared" si="163"/>
        <v>191.06746635629733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4.7884896048344674E-14</v>
      </c>
      <c r="AK166" s="13">
        <f t="shared" si="164"/>
        <v>7.8374629847779921E-13</v>
      </c>
      <c r="AL166" s="20">
        <f t="shared" si="165"/>
        <v>1.4484243304663672E-12</v>
      </c>
      <c r="AM166" s="59">
        <f t="shared" si="113"/>
        <v>293.33333333333474</v>
      </c>
      <c r="AN166" s="59">
        <f ca="1">AVERAGE(OFFSET($AM$3,0,0,'Données projet'!$E$10+1,1))-AVERAGE(OFFSET($H$3,0,0,'Données projet'!$E$10+1,1))</f>
        <v>424.81155998881928</v>
      </c>
      <c r="AO166" s="59">
        <f t="shared" si="144"/>
        <v>277.34430416544575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39.566274589271757</v>
      </c>
      <c r="AV166" s="21">
        <f>EXP(-LN(2)/25)*AV165+(1-EXP(-LN(2)/25))/(LN(2)/25)*Calculateur!AQ166*Calculateur!AS166*VLOOKUP('Données projet'!$B$10,Paramètres!$A$1:$I$89,3,0)*0.475*44/12</f>
        <v>5.7609819531295932</v>
      </c>
      <c r="AW166" s="21">
        <f>EXP(-LN(2)/2)*AW165+(1-EXP(-LN(2)/2))/(LN(2)/2)*AQ166*AT166*VLOOKUP('Données projet'!$B$10,Paramètres!$A$1:$I$89,3,0)*0.475*44/12</f>
        <v>1.955356549995912E-8</v>
      </c>
      <c r="AX166" s="21">
        <f t="shared" si="166"/>
        <v>45.327256561954918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578.82364800000141</v>
      </c>
      <c r="BF166" s="13">
        <f t="shared" si="167"/>
        <v>127.21488964679713</v>
      </c>
      <c r="BG166" s="20">
        <f t="shared" si="168"/>
        <v>1229.6837864015072</v>
      </c>
      <c r="BH166" s="59">
        <f t="shared" si="116"/>
        <v>1523.0171197348404</v>
      </c>
      <c r="BI166" s="59">
        <f ca="1">AVERAGE(OFFSET($BH$3,0,0,'Données projet'!$E$11+1,1))-AVERAGE(OFFSET($H$3,0,0,'Données projet'!$E$11+1,1))</f>
        <v>706.69239849991595</v>
      </c>
      <c r="BJ166" s="59">
        <f t="shared" si="146"/>
        <v>310.59887275116529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50.771567402880144</v>
      </c>
      <c r="BQ166" s="21">
        <f>EXP(-LN(2)/25)*BQ165+(1-EXP(-LN(2)/25))/(LN(2)/25)*Calculateur!BL166*Calculateur!BN166*VLOOKUP('Données projet'!$B$11,Paramètres!$A$1:$I$89,3,0)*0.475*44/12</f>
        <v>19.992234550731201</v>
      </c>
      <c r="BR166" s="21">
        <f>EXP(-LN(2)/2)*BR165+(1-EXP(-LN(2)/2))/(LN(2)/2)*BL166*BO166*VLOOKUP('Données projet'!$B$11,Paramètres!$A$1:$I$89,3,0)*0.475*44/12</f>
        <v>7.7175523785056654E-6</v>
      </c>
      <c r="BS166" s="22">
        <f t="shared" si="169"/>
        <v>70.763809671163727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2.5579538487363607E-13</v>
      </c>
      <c r="BZ166" s="13">
        <f>BY166*VLOOKUP('Données projet'!$B$12,Paramètres!$A$1:$I$89,3,0)*VLOOKUP('Données projet'!$B$12,Paramètres!$A$1:$I$89,5,0)</f>
        <v>2.4341488824575211E-13</v>
      </c>
      <c r="CA166" s="13">
        <f t="shared" si="170"/>
        <v>3.2970717324875541E-12</v>
      </c>
      <c r="CB166" s="20">
        <f t="shared" si="171"/>
        <v>6.1663475311105072E-12</v>
      </c>
      <c r="CC166" s="59">
        <f t="shared" si="119"/>
        <v>293.33333333333945</v>
      </c>
      <c r="CD166" s="59">
        <f ca="1">AVERAGE(OFFSET($CC$3,0,0,'Données projet'!$E$12+1,1))-AVERAGE(OFFSET($H$3,0,0,'Données projet'!$E$12+1,1))</f>
        <v>449.28947235329758</v>
      </c>
      <c r="CE166" s="59">
        <f t="shared" si="148"/>
        <v>289.36994109443964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61.805004385892218</v>
      </c>
      <c r="CL166" s="21">
        <f>EXP(-LN(2)/25)*CL165+(1-EXP(-LN(2)/25))/(LN(2)/25)*Calculateur!CG166*Calculateur!CI166*VLOOKUP('Données projet'!$B$12,Paramètres!$A$1:$I$89,3,0)*0.475*44/12</f>
        <v>9.9167124611441295</v>
      </c>
      <c r="CM166" s="21">
        <f>EXP(-LN(2)/2)*CM165+(1-EXP(-LN(2)/2))/(LN(2)/2)*CG166*CJ166*VLOOKUP('Données projet'!$B$12,Paramètres!$A$1:$I$89,3,0)*0.475*44/12</f>
        <v>7.726906733696155E-5</v>
      </c>
      <c r="CN166" s="22">
        <f t="shared" si="172"/>
        <v>71.72179411610368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2.4829205358400945E-14</v>
      </c>
      <c r="CV166" s="13">
        <f t="shared" si="173"/>
        <v>4.3867331143352915E-13</v>
      </c>
      <c r="CW166" s="20">
        <f t="shared" si="174"/>
        <v>8.0726688341261168E-13</v>
      </c>
      <c r="CX166" s="59">
        <f t="shared" si="122"/>
        <v>293.33333333333411</v>
      </c>
      <c r="CY166" s="59">
        <f ca="1">AVERAGE(OFFSET($CX$3,0,0,'Données projet'!$E$13+1,1))-AVERAGE(OFFSET($H$3,0,0,'Données projet'!$E$13+1,1))</f>
        <v>261.93797831021766</v>
      </c>
      <c r="CZ166" s="59">
        <f t="shared" si="150"/>
        <v>256.90876395053073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6.3747208250496028</v>
      </c>
      <c r="DG166" s="21">
        <f>EXP(-LN(2)/25)*DG165+(1-EXP(-LN(2)/25))/(LN(2)/25)*Calculateur!DB166*Calculateur!DD166*VLOOKUP('Données projet'!$B$13,Paramètres!$A$1:$I$89,3,0)*0.475*44/12</f>
        <v>3.6544778886125813</v>
      </c>
      <c r="DH166" s="21">
        <f>EXP(-LN(2)/2)*DH165+(1-EXP(-LN(2)/2))/(LN(2)/2)*DB166*DE166*VLOOKUP('Données projet'!$B$13,Paramètres!$A$1:$I$89,3,0)*0.475*44/12</f>
        <v>1.4613527612203521E-11</v>
      </c>
      <c r="DI166" s="22">
        <f t="shared" si="175"/>
        <v>10.029198713676799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3.979039320256561E-13</v>
      </c>
      <c r="O167" s="13">
        <f>N167*VLOOKUP('Données projet'!$B$9,Paramètres!$A$1:$I$89,3,0)*VLOOKUP('Données projet'!$B$9,Paramètres!$A$1:$I$89,5,0)</f>
        <v>3.6002347769681362E-13</v>
      </c>
      <c r="P167" s="13">
        <f t="shared" si="141"/>
        <v>4.6593569189922594E-12</v>
      </c>
      <c r="Q167" s="20">
        <f t="shared" si="162"/>
        <v>8.7420875242334695E-12</v>
      </c>
      <c r="R167" s="59">
        <f t="shared" si="109"/>
        <v>293.33333333334207</v>
      </c>
      <c r="S167" s="59">
        <f ca="1">AVERAGE(OFFSET($R$3,0,0,'Données projet'!$E$9+1,1))-AVERAGE(OFFSET($H$3,0,0,'Données projet'!$E$9+1,1))</f>
        <v>695.0879239758051</v>
      </c>
      <c r="T167" s="59">
        <f t="shared" si="142"/>
        <v>226.22150997227476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157.84264984161504</v>
      </c>
      <c r="AA167" s="21">
        <f>EXP(-LN(2)/25)*AA166+(1-EXP(-LN(2)/25))/(LN(2)/25)*Calculateur!V167*Calculateur!X167*VLOOKUP('Données projet'!$B$9,Paramètres!$A$1:$I$89,3,0)*0.475*44/12</f>
        <v>26.477750372088344</v>
      </c>
      <c r="AB167" s="21">
        <f>EXP(-LN(2)/2)*AB166+(1-EXP(-LN(2)/2))/(LN(2)/2)*V167*Y167*VLOOKUP('Données projet'!$B$9,Paramètres!$A$1:$I$89,3,0)*0.475*44/12</f>
        <v>2.0121205891112997</v>
      </c>
      <c r="AC167" s="22">
        <f t="shared" si="163"/>
        <v>186.33252080281468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4.7884896048344674E-14</v>
      </c>
      <c r="AK167" s="13">
        <f t="shared" si="164"/>
        <v>7.8374629847779921E-13</v>
      </c>
      <c r="AL167" s="20">
        <f t="shared" si="165"/>
        <v>1.4484243304663672E-12</v>
      </c>
      <c r="AM167" s="59">
        <f t="shared" si="113"/>
        <v>293.33333333333474</v>
      </c>
      <c r="AN167" s="59">
        <f ca="1">AVERAGE(OFFSET($AM$3,0,0,'Données projet'!$E$10+1,1))-AVERAGE(OFFSET($H$3,0,0,'Données projet'!$E$10+1,1))</f>
        <v>424.81155998881928</v>
      </c>
      <c r="AO167" s="59">
        <f t="shared" si="144"/>
        <v>277.34430416544575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38.7904040776207</v>
      </c>
      <c r="AV167" s="21">
        <f>EXP(-LN(2)/25)*AV166+(1-EXP(-LN(2)/25))/(LN(2)/25)*Calculateur!AQ167*Calculateur!AS167*VLOOKUP('Données projet'!$B$10,Paramètres!$A$1:$I$89,3,0)*0.475*44/12</f>
        <v>5.6034475986643901</v>
      </c>
      <c r="AW167" s="21">
        <f>EXP(-LN(2)/2)*AW166+(1-EXP(-LN(2)/2))/(LN(2)/2)*AQ167*AT167*VLOOKUP('Données projet'!$B$10,Paramètres!$A$1:$I$89,3,0)*0.475*44/12</f>
        <v>1.3826458761396419E-8</v>
      </c>
      <c r="AX167" s="21">
        <f t="shared" si="166"/>
        <v>44.393851690111546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588.44448000000148</v>
      </c>
      <c r="BF167" s="13">
        <f t="shared" si="167"/>
        <v>129.08145101269025</v>
      </c>
      <c r="BG167" s="20">
        <f t="shared" si="168"/>
        <v>1249.6909965137713</v>
      </c>
      <c r="BH167" s="59">
        <f t="shared" si="116"/>
        <v>1543.0243298471046</v>
      </c>
      <c r="BI167" s="59">
        <f ca="1">AVERAGE(OFFSET($BH$3,0,0,'Données projet'!$E$11+1,1))-AVERAGE(OFFSET($H$3,0,0,'Données projet'!$E$11+1,1))</f>
        <v>706.69239849991595</v>
      </c>
      <c r="BJ167" s="59">
        <f t="shared" si="146"/>
        <v>310.59887275116529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65.687025436827426</v>
      </c>
      <c r="BQ167" s="21">
        <f>EXP(-LN(2)/25)*BQ166+(1-EXP(-LN(2)/25))/(LN(2)/25)*Calculateur!BL167*Calculateur!BN167*VLOOKUP('Données projet'!$B$11,Paramètres!$A$1:$I$89,3,0)*0.475*44/12</f>
        <v>25.784909688452114</v>
      </c>
      <c r="BR167" s="21">
        <f>EXP(-LN(2)/2)*BR166+(1-EXP(-LN(2)/2))/(LN(2)/2)*BL167*BO167*VLOOKUP('Données projet'!$B$11,Paramètres!$A$1:$I$89,3,0)*0.475*44/12</f>
        <v>5.4571336210037249E-6</v>
      </c>
      <c r="BS167" s="22">
        <f t="shared" si="169"/>
        <v>91.471940582413168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2.5579538487363607E-13</v>
      </c>
      <c r="BZ167" s="13">
        <f>BY167*VLOOKUP('Données projet'!$B$12,Paramètres!$A$1:$I$89,3,0)*VLOOKUP('Données projet'!$B$12,Paramètres!$A$1:$I$89,5,0)</f>
        <v>2.4341488824575211E-13</v>
      </c>
      <c r="CA167" s="13">
        <f t="shared" si="170"/>
        <v>3.2970717324875541E-12</v>
      </c>
      <c r="CB167" s="20">
        <f t="shared" si="171"/>
        <v>6.1663475311105072E-12</v>
      </c>
      <c r="CC167" s="59">
        <f t="shared" si="119"/>
        <v>293.33333333333945</v>
      </c>
      <c r="CD167" s="59">
        <f ca="1">AVERAGE(OFFSET($CC$3,0,0,'Données projet'!$E$12+1,1))-AVERAGE(OFFSET($H$3,0,0,'Données projet'!$E$12+1,1))</f>
        <v>449.28947235329758</v>
      </c>
      <c r="CE167" s="59">
        <f t="shared" si="148"/>
        <v>289.36994109443964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60.593045947215245</v>
      </c>
      <c r="CL167" s="21">
        <f>EXP(-LN(2)/25)*CL166+(1-EXP(-LN(2)/25))/(LN(2)/25)*Calculateur!CG167*Calculateur!CI167*VLOOKUP('Données projet'!$B$12,Paramètres!$A$1:$I$89,3,0)*0.475*44/12</f>
        <v>9.6455394373969003</v>
      </c>
      <c r="CM167" s="21">
        <f>EXP(-LN(2)/2)*CM166+(1-EXP(-LN(2)/2))/(LN(2)/2)*CG167*CJ167*VLOOKUP('Données projet'!$B$12,Paramètres!$A$1:$I$89,3,0)*0.475*44/12</f>
        <v>5.4637481489925478E-5</v>
      </c>
      <c r="CN167" s="22">
        <f t="shared" si="172"/>
        <v>70.238640022093634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2.4829205358400945E-14</v>
      </c>
      <c r="CV167" s="13">
        <f t="shared" si="173"/>
        <v>4.3867331143352915E-13</v>
      </c>
      <c r="CW167" s="20">
        <f t="shared" si="174"/>
        <v>8.0726688341261168E-13</v>
      </c>
      <c r="CX167" s="59">
        <f t="shared" si="122"/>
        <v>293.33333333333411</v>
      </c>
      <c r="CY167" s="59">
        <f ca="1">AVERAGE(OFFSET($CX$3,0,0,'Données projet'!$E$13+1,1))-AVERAGE(OFFSET($H$3,0,0,'Données projet'!$E$13+1,1))</f>
        <v>261.93797831021766</v>
      </c>
      <c r="CZ167" s="59">
        <f t="shared" si="150"/>
        <v>256.90876395053073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6.249716437866156</v>
      </c>
      <c r="DG167" s="21">
        <f>EXP(-LN(2)/25)*DG166+(1-EXP(-LN(2)/25))/(LN(2)/25)*Calculateur!DB167*Calculateur!DD167*VLOOKUP('Données projet'!$B$13,Paramètres!$A$1:$I$89,3,0)*0.475*44/12</f>
        <v>3.5545459985678307</v>
      </c>
      <c r="DH167" s="21">
        <f>EXP(-LN(2)/2)*DH166+(1-EXP(-LN(2)/2))/(LN(2)/2)*DB167*DE167*VLOOKUP('Données projet'!$B$13,Paramètres!$A$1:$I$89,3,0)*0.475*44/12</f>
        <v>1.0333324471645966E-11</v>
      </c>
      <c r="DI167" s="22">
        <f t="shared" si="175"/>
        <v>9.8042624364443203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3.979039320256561E-13</v>
      </c>
      <c r="O168" s="13">
        <f>N168*VLOOKUP('Données projet'!$B$9,Paramètres!$A$1:$I$89,3,0)*VLOOKUP('Données projet'!$B$9,Paramètres!$A$1:$I$89,5,0)</f>
        <v>3.6002347769681362E-13</v>
      </c>
      <c r="P168" s="13">
        <f t="shared" si="141"/>
        <v>4.6593569189922594E-12</v>
      </c>
      <c r="Q168" s="20">
        <f t="shared" si="162"/>
        <v>8.7420875242334695E-12</v>
      </c>
      <c r="R168" s="59">
        <f t="shared" si="109"/>
        <v>293.33333333334207</v>
      </c>
      <c r="S168" s="59">
        <f ca="1">AVERAGE(OFFSET($R$3,0,0,'Données projet'!$E$9+1,1))-AVERAGE(OFFSET($H$3,0,0,'Données projet'!$E$9+1,1))</f>
        <v>695.0879239758051</v>
      </c>
      <c r="T168" s="59">
        <f t="shared" si="142"/>
        <v>226.22150997227476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154.74745175273105</v>
      </c>
      <c r="AA168" s="21">
        <f>EXP(-LN(2)/25)*AA167+(1-EXP(-LN(2)/25))/(LN(2)/25)*Calculateur!V168*Calculateur!X168*VLOOKUP('Données projet'!$B$9,Paramètres!$A$1:$I$89,3,0)*0.475*44/12</f>
        <v>25.753714895759213</v>
      </c>
      <c r="AB168" s="21">
        <f>EXP(-LN(2)/2)*AB167+(1-EXP(-LN(2)/2))/(LN(2)/2)*V168*Y168*VLOOKUP('Données projet'!$B$9,Paramètres!$A$1:$I$89,3,0)*0.475*44/12</f>
        <v>1.4227841131256709</v>
      </c>
      <c r="AC168" s="22">
        <f t="shared" si="163"/>
        <v>181.92395076161591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4.7884896048344674E-14</v>
      </c>
      <c r="AK168" s="13">
        <f t="shared" si="164"/>
        <v>7.8374629847779921E-13</v>
      </c>
      <c r="AL168" s="20">
        <f t="shared" si="165"/>
        <v>1.4484243304663672E-12</v>
      </c>
      <c r="AM168" s="59">
        <f t="shared" si="113"/>
        <v>293.33333333333474</v>
      </c>
      <c r="AN168" s="59">
        <f ca="1">AVERAGE(OFFSET($AM$3,0,0,'Données projet'!$E$10+1,1))-AVERAGE(OFFSET($H$3,0,0,'Données projet'!$E$10+1,1))</f>
        <v>424.81155998881928</v>
      </c>
      <c r="AO168" s="59">
        <f t="shared" si="144"/>
        <v>277.34430416544575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38.029747913468832</v>
      </c>
      <c r="AV168" s="21">
        <f>EXP(-LN(2)/25)*AV167+(1-EXP(-LN(2)/25))/(LN(2)/25)*Calculateur!AQ168*Calculateur!AS168*VLOOKUP('Données projet'!$B$10,Paramètres!$A$1:$I$89,3,0)*0.475*44/12</f>
        <v>5.4502210294064097</v>
      </c>
      <c r="AW168" s="21">
        <f>EXP(-LN(2)/2)*AW167+(1-EXP(-LN(2)/2))/(LN(2)/2)*AQ168*AT168*VLOOKUP('Données projet'!$B$10,Paramètres!$A$1:$I$89,3,0)*0.475*44/12</f>
        <v>9.7767827499795602E-9</v>
      </c>
      <c r="AX168" s="21">
        <f t="shared" si="166"/>
        <v>43.479968952652023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531.25690800000132</v>
      </c>
      <c r="BF168" s="13">
        <f t="shared" si="167"/>
        <v>117.93187429253524</v>
      </c>
      <c r="BG168" s="20">
        <f t="shared" si="168"/>
        <v>1130.6704624928343</v>
      </c>
      <c r="BH168" s="59">
        <f t="shared" si="116"/>
        <v>1424.0037958261676</v>
      </c>
      <c r="BI168" s="59">
        <f ca="1">AVERAGE(OFFSET($BH$3,0,0,'Données projet'!$E$11+1,1))-AVERAGE(OFFSET($H$3,0,0,'Données projet'!$E$11+1,1))</f>
        <v>706.69239849991595</v>
      </c>
      <c r="BJ168" s="59">
        <f t="shared" si="146"/>
        <v>310.59887275116529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64.39894293314066</v>
      </c>
      <c r="BQ168" s="21">
        <f>EXP(-LN(2)/25)*BQ167+(1-EXP(-LN(2)/25))/(LN(2)/25)*Calculateur!BL168*Calculateur!BN168*VLOOKUP('Données projet'!$B$11,Paramètres!$A$1:$I$89,3,0)*0.475*44/12</f>
        <v>25.079819977051923</v>
      </c>
      <c r="BR168" s="21">
        <f>EXP(-LN(2)/2)*BR167+(1-EXP(-LN(2)/2))/(LN(2)/2)*BL168*BO168*VLOOKUP('Données projet'!$B$11,Paramètres!$A$1:$I$89,3,0)*0.475*44/12</f>
        <v>3.8587761892528327E-6</v>
      </c>
      <c r="BS168" s="22">
        <f t="shared" si="169"/>
        <v>89.478766768968782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2.5579538487363607E-13</v>
      </c>
      <c r="BZ168" s="13">
        <f>BY168*VLOOKUP('Données projet'!$B$12,Paramètres!$A$1:$I$89,3,0)*VLOOKUP('Données projet'!$B$12,Paramètres!$A$1:$I$89,5,0)</f>
        <v>2.4341488824575211E-13</v>
      </c>
      <c r="CA168" s="13">
        <f t="shared" si="170"/>
        <v>3.2970717324875541E-12</v>
      </c>
      <c r="CB168" s="20">
        <f t="shared" si="171"/>
        <v>6.1663475311105072E-12</v>
      </c>
      <c r="CC168" s="59">
        <f t="shared" si="119"/>
        <v>293.33333333333945</v>
      </c>
      <c r="CD168" s="59">
        <f ca="1">AVERAGE(OFFSET($CC$3,0,0,'Données projet'!$E$12+1,1))-AVERAGE(OFFSET($H$3,0,0,'Données projet'!$E$12+1,1))</f>
        <v>449.28947235329758</v>
      </c>
      <c r="CE168" s="59">
        <f t="shared" si="148"/>
        <v>289.36994109443964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59.404853274299072</v>
      </c>
      <c r="CL168" s="21">
        <f>EXP(-LN(2)/25)*CL167+(1-EXP(-LN(2)/25))/(LN(2)/25)*Calculateur!CG168*Calculateur!CI168*VLOOKUP('Données projet'!$B$12,Paramètres!$A$1:$I$89,3,0)*0.475*44/12</f>
        <v>9.3817816542444081</v>
      </c>
      <c r="CM168" s="21">
        <f>EXP(-LN(2)/2)*CM167+(1-EXP(-LN(2)/2))/(LN(2)/2)*CG168*CJ168*VLOOKUP('Données projet'!$B$12,Paramètres!$A$1:$I$89,3,0)*0.475*44/12</f>
        <v>3.8634533668480775E-5</v>
      </c>
      <c r="CN168" s="22">
        <f t="shared" si="172"/>
        <v>68.786673563077144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2.4829205358400945E-14</v>
      </c>
      <c r="CV168" s="13">
        <f t="shared" si="173"/>
        <v>4.3867331143352915E-13</v>
      </c>
      <c r="CW168" s="20">
        <f t="shared" si="174"/>
        <v>8.0726688341261168E-13</v>
      </c>
      <c r="CX168" s="59">
        <f t="shared" si="122"/>
        <v>293.33333333333411</v>
      </c>
      <c r="CY168" s="59">
        <f ca="1">AVERAGE(OFFSET($CX$3,0,0,'Données projet'!$E$13+1,1))-AVERAGE(OFFSET($H$3,0,0,'Données projet'!$E$13+1,1))</f>
        <v>261.93797831021766</v>
      </c>
      <c r="CZ168" s="59">
        <f t="shared" si="150"/>
        <v>256.90876395053073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6.1271633104702286</v>
      </c>
      <c r="DG168" s="21">
        <f>EXP(-LN(2)/25)*DG167+(1-EXP(-LN(2)/25))/(LN(2)/25)*Calculateur!DB168*Calculateur!DD168*VLOOKUP('Données projet'!$B$13,Paramètres!$A$1:$I$89,3,0)*0.475*44/12</f>
        <v>3.4573467513115435</v>
      </c>
      <c r="DH168" s="21">
        <f>EXP(-LN(2)/2)*DH167+(1-EXP(-LN(2)/2))/(LN(2)/2)*DB168*DE168*VLOOKUP('Données projet'!$B$13,Paramètres!$A$1:$I$89,3,0)*0.475*44/12</f>
        <v>7.3067638061017604E-12</v>
      </c>
      <c r="DI168" s="22">
        <f t="shared" si="175"/>
        <v>9.5845100617890786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3.979039320256561E-13</v>
      </c>
      <c r="O169" s="13">
        <f>N169*VLOOKUP('Données projet'!$B$9,Paramètres!$A$1:$I$89,3,0)*VLOOKUP('Données projet'!$B$9,Paramètres!$A$1:$I$89,5,0)</f>
        <v>3.6002347769681362E-13</v>
      </c>
      <c r="P169" s="13">
        <f t="shared" si="141"/>
        <v>4.6593569189922594E-12</v>
      </c>
      <c r="Q169" s="20">
        <f t="shared" si="162"/>
        <v>8.7420875242334695E-12</v>
      </c>
      <c r="R169" s="59">
        <f t="shared" si="109"/>
        <v>293.33333333334207</v>
      </c>
      <c r="S169" s="59">
        <f ca="1">AVERAGE(OFFSET($R$3,0,0,'Données projet'!$E$9+1,1))-AVERAGE(OFFSET($H$3,0,0,'Données projet'!$E$9+1,1))</f>
        <v>695.0879239758051</v>
      </c>
      <c r="T169" s="59">
        <f t="shared" si="142"/>
        <v>226.22150997227476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151.71294861048565</v>
      </c>
      <c r="AA169" s="21">
        <f>EXP(-LN(2)/25)*AA168+(1-EXP(-LN(2)/25))/(LN(2)/25)*Calculateur!V169*Calculateur!X169*VLOOKUP('Données projet'!$B$9,Paramètres!$A$1:$I$89,3,0)*0.475*44/12</f>
        <v>25.04947820760567</v>
      </c>
      <c r="AB169" s="21">
        <f>EXP(-LN(2)/2)*AB168+(1-EXP(-LN(2)/2))/(LN(2)/2)*V169*Y169*VLOOKUP('Données projet'!$B$9,Paramètres!$A$1:$I$89,3,0)*0.475*44/12</f>
        <v>1.0060602945556498</v>
      </c>
      <c r="AC169" s="22">
        <f t="shared" si="163"/>
        <v>177.76848711264697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4.7884896048344674E-14</v>
      </c>
      <c r="AK169" s="13">
        <f t="shared" si="164"/>
        <v>7.8374629847779921E-13</v>
      </c>
      <c r="AL169" s="20">
        <f t="shared" si="165"/>
        <v>1.4484243304663672E-12</v>
      </c>
      <c r="AM169" s="59">
        <f t="shared" si="113"/>
        <v>293.33333333333474</v>
      </c>
      <c r="AN169" s="59">
        <f ca="1">AVERAGE(OFFSET($AM$3,0,0,'Données projet'!$E$10+1,1))-AVERAGE(OFFSET($H$3,0,0,'Données projet'!$E$10+1,1))</f>
        <v>424.81155998881928</v>
      </c>
      <c r="AO169" s="59">
        <f t="shared" si="144"/>
        <v>277.34430416544575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37.284007752741537</v>
      </c>
      <c r="AV169" s="21">
        <f>EXP(-LN(2)/25)*AV168+(1-EXP(-LN(2)/25))/(LN(2)/25)*Calculateur!AQ169*Calculateur!AS169*VLOOKUP('Données projet'!$B$10,Paramètres!$A$1:$I$89,3,0)*0.475*44/12</f>
        <v>5.3011844487426245</v>
      </c>
      <c r="AW169" s="21">
        <f>EXP(-LN(2)/2)*AW168+(1-EXP(-LN(2)/2))/(LN(2)/2)*AQ169*AT169*VLOOKUP('Données projet'!$B$10,Paramètres!$A$1:$I$89,3,0)*0.475*44/12</f>
        <v>6.9132293806982094E-9</v>
      </c>
      <c r="AX169" s="21">
        <f t="shared" si="166"/>
        <v>42.585192208397395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541.01361600000132</v>
      </c>
      <c r="BF169" s="13">
        <f t="shared" si="167"/>
        <v>119.84359445909256</v>
      </c>
      <c r="BG169" s="20">
        <f t="shared" si="168"/>
        <v>1150.9929748829218</v>
      </c>
      <c r="BH169" s="59">
        <f t="shared" si="116"/>
        <v>1444.326308216255</v>
      </c>
      <c r="BI169" s="59">
        <f ca="1">AVERAGE(OFFSET($BH$3,0,0,'Données projet'!$E$11+1,1))-AVERAGE(OFFSET($H$3,0,0,'Données projet'!$E$11+1,1))</f>
        <v>706.69239849991595</v>
      </c>
      <c r="BJ169" s="59">
        <f t="shared" si="146"/>
        <v>310.59887275116529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63.136118941698435</v>
      </c>
      <c r="BQ169" s="21">
        <f>EXP(-LN(2)/25)*BQ168+(1-EXP(-LN(2)/25))/(LN(2)/25)*Calculateur!BL169*Calculateur!BN169*VLOOKUP('Données projet'!$B$11,Paramètres!$A$1:$I$89,3,0)*0.475*44/12</f>
        <v>24.394010980889025</v>
      </c>
      <c r="BR169" s="21">
        <f>EXP(-LN(2)/2)*BR168+(1-EXP(-LN(2)/2))/(LN(2)/2)*BL169*BO169*VLOOKUP('Données projet'!$B$11,Paramètres!$A$1:$I$89,3,0)*0.475*44/12</f>
        <v>2.7285668105018625E-6</v>
      </c>
      <c r="BS169" s="22">
        <f t="shared" si="169"/>
        <v>87.530132651154275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2.5579538487363607E-13</v>
      </c>
      <c r="BZ169" s="13">
        <f>BY169*VLOOKUP('Données projet'!$B$12,Paramètres!$A$1:$I$89,3,0)*VLOOKUP('Données projet'!$B$12,Paramètres!$A$1:$I$89,5,0)</f>
        <v>2.4341488824575211E-13</v>
      </c>
      <c r="CA169" s="13">
        <f t="shared" si="170"/>
        <v>3.2970717324875541E-12</v>
      </c>
      <c r="CB169" s="20">
        <f t="shared" si="171"/>
        <v>6.1663475311105072E-12</v>
      </c>
      <c r="CC169" s="59">
        <f t="shared" si="119"/>
        <v>293.33333333333945</v>
      </c>
      <c r="CD169" s="59">
        <f ca="1">AVERAGE(OFFSET($CC$3,0,0,'Données projet'!$E$12+1,1))-AVERAGE(OFFSET($H$3,0,0,'Données projet'!$E$12+1,1))</f>
        <v>449.28947235329758</v>
      </c>
      <c r="CE169" s="59">
        <f t="shared" si="148"/>
        <v>289.36994109443964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58.239960334972814</v>
      </c>
      <c r="CL169" s="21">
        <f>EXP(-LN(2)/25)*CL168+(1-EXP(-LN(2)/25))/(LN(2)/25)*Calculateur!CG169*Calculateur!CI169*VLOOKUP('Données projet'!$B$12,Paramètres!$A$1:$I$89,3,0)*0.475*44/12</f>
        <v>9.1252363415426405</v>
      </c>
      <c r="CM169" s="21">
        <f>EXP(-LN(2)/2)*CM168+(1-EXP(-LN(2)/2))/(LN(2)/2)*CG169*CJ169*VLOOKUP('Données projet'!$B$12,Paramètres!$A$1:$I$89,3,0)*0.475*44/12</f>
        <v>2.7318740744962739E-5</v>
      </c>
      <c r="CN169" s="22">
        <f t="shared" si="172"/>
        <v>67.365223995256201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2.4829205358400945E-14</v>
      </c>
      <c r="CV169" s="13">
        <f t="shared" si="173"/>
        <v>4.3867331143352915E-13</v>
      </c>
      <c r="CW169" s="20">
        <f t="shared" si="174"/>
        <v>8.0726688341261168E-13</v>
      </c>
      <c r="CX169" s="59">
        <f t="shared" si="122"/>
        <v>293.33333333333411</v>
      </c>
      <c r="CY169" s="59">
        <f ca="1">AVERAGE(OFFSET($CX$3,0,0,'Données projet'!$E$13+1,1))-AVERAGE(OFFSET($H$3,0,0,'Données projet'!$E$13+1,1))</f>
        <v>261.93797831021766</v>
      </c>
      <c r="CZ169" s="59">
        <f t="shared" si="150"/>
        <v>256.90876395053073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6.0070133751525088</v>
      </c>
      <c r="DG169" s="21">
        <f>EXP(-LN(2)/25)*DG168+(1-EXP(-LN(2)/25))/(LN(2)/25)*Calculateur!DB169*Calculateur!DD169*VLOOKUP('Données projet'!$B$13,Paramètres!$A$1:$I$89,3,0)*0.475*44/12</f>
        <v>3.3628054225829653</v>
      </c>
      <c r="DH169" s="21">
        <f>EXP(-LN(2)/2)*DH168+(1-EXP(-LN(2)/2))/(LN(2)/2)*DB169*DE169*VLOOKUP('Données projet'!$B$13,Paramètres!$A$1:$I$89,3,0)*0.475*44/12</f>
        <v>5.1666622358229828E-12</v>
      </c>
      <c r="DI169" s="22">
        <f t="shared" si="175"/>
        <v>9.369818797740642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3.979039320256561E-13</v>
      </c>
      <c r="O170" s="13">
        <f>N170*VLOOKUP('Données projet'!$B$9,Paramètres!$A$1:$I$89,3,0)*VLOOKUP('Données projet'!$B$9,Paramètres!$A$1:$I$89,5,0)</f>
        <v>3.6002347769681362E-13</v>
      </c>
      <c r="P170" s="13">
        <f t="shared" si="141"/>
        <v>4.6593569189922594E-12</v>
      </c>
      <c r="Q170" s="20">
        <f t="shared" si="162"/>
        <v>8.7420875242334695E-12</v>
      </c>
      <c r="R170" s="59">
        <f t="shared" si="109"/>
        <v>293.33333333334207</v>
      </c>
      <c r="S170" s="59">
        <f ca="1">AVERAGE(OFFSET($R$3,0,0,'Données projet'!$E$9+1,1))-AVERAGE(OFFSET($H$3,0,0,'Données projet'!$E$9+1,1))</f>
        <v>695.0879239758051</v>
      </c>
      <c r="T170" s="59">
        <f t="shared" si="142"/>
        <v>226.22150997227476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148.73795022399554</v>
      </c>
      <c r="AA170" s="21">
        <f>EXP(-LN(2)/25)*AA169+(1-EXP(-LN(2)/25))/(LN(2)/25)*Calculateur!V170*Calculateur!X170*VLOOKUP('Données projet'!$B$9,Paramètres!$A$1:$I$89,3,0)*0.475*44/12</f>
        <v>24.364498908723885</v>
      </c>
      <c r="AB170" s="21">
        <f>EXP(-LN(2)/2)*AB169+(1-EXP(-LN(2)/2))/(LN(2)/2)*V170*Y170*VLOOKUP('Données projet'!$B$9,Paramètres!$A$1:$I$89,3,0)*0.475*44/12</f>
        <v>0.71139205656283544</v>
      </c>
      <c r="AC170" s="22">
        <f t="shared" si="163"/>
        <v>173.81384118928224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4.7884896048344674E-14</v>
      </c>
      <c r="AK170" s="13">
        <f t="shared" si="164"/>
        <v>7.8374629847779921E-13</v>
      </c>
      <c r="AL170" s="20">
        <f t="shared" si="165"/>
        <v>1.4484243304663672E-12</v>
      </c>
      <c r="AM170" s="59">
        <f t="shared" si="113"/>
        <v>293.33333333333474</v>
      </c>
      <c r="AN170" s="59">
        <f ca="1">AVERAGE(OFFSET($AM$3,0,0,'Données projet'!$E$10+1,1))-AVERAGE(OFFSET($H$3,0,0,'Données projet'!$E$10+1,1))</f>
        <v>424.81155998881928</v>
      </c>
      <c r="AO170" s="59">
        <f t="shared" si="144"/>
        <v>277.34430416544575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36.55289110170952</v>
      </c>
      <c r="AV170" s="21">
        <f>EXP(-LN(2)/25)*AV169+(1-EXP(-LN(2)/25))/(LN(2)/25)*Calculateur!AQ170*Calculateur!AS170*VLOOKUP('Données projet'!$B$10,Paramètres!$A$1:$I$89,3,0)*0.475*44/12</f>
        <v>5.156223281214583</v>
      </c>
      <c r="AW170" s="21">
        <f>EXP(-LN(2)/2)*AW169+(1-EXP(-LN(2)/2))/(LN(2)/2)*AQ170*AT170*VLOOKUP('Données projet'!$B$10,Paramètres!$A$1:$I$89,3,0)*0.475*44/12</f>
        <v>4.8883913749897801E-9</v>
      </c>
      <c r="AX170" s="21">
        <f t="shared" si="166"/>
        <v>41.709114387812491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550.77032400000132</v>
      </c>
      <c r="BF170" s="13">
        <f t="shared" si="167"/>
        <v>121.75130557491971</v>
      </c>
      <c r="BG170" s="20">
        <f t="shared" si="168"/>
        <v>1171.3085048429873</v>
      </c>
      <c r="BH170" s="59">
        <f t="shared" si="116"/>
        <v>1464.6418381763206</v>
      </c>
      <c r="BI170" s="59">
        <f ca="1">AVERAGE(OFFSET($BH$3,0,0,'Données projet'!$E$11+1,1))-AVERAGE(OFFSET($H$3,0,0,'Données projet'!$E$11+1,1))</f>
        <v>706.69239849991595</v>
      </c>
      <c r="BJ170" s="59">
        <f t="shared" si="146"/>
        <v>310.59887275116529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61.89805815848181</v>
      </c>
      <c r="BQ170" s="21">
        <f>EXP(-LN(2)/25)*BQ169+(1-EXP(-LN(2)/25))/(LN(2)/25)*Calculateur!BL170*Calculateur!BN170*VLOOKUP('Données projet'!$B$11,Paramètres!$A$1:$I$89,3,0)*0.475*44/12</f>
        <v>23.726955467791331</v>
      </c>
      <c r="BR170" s="21">
        <f>EXP(-LN(2)/2)*BR169+(1-EXP(-LN(2)/2))/(LN(2)/2)*BL170*BO170*VLOOKUP('Données projet'!$B$11,Paramètres!$A$1:$I$89,3,0)*0.475*44/12</f>
        <v>1.9293880946264163E-6</v>
      </c>
      <c r="BS170" s="22">
        <f t="shared" si="169"/>
        <v>85.625015555661236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2.5579538487363607E-13</v>
      </c>
      <c r="BZ170" s="13">
        <f>BY170*VLOOKUP('Données projet'!$B$12,Paramètres!$A$1:$I$89,3,0)*VLOOKUP('Données projet'!$B$12,Paramètres!$A$1:$I$89,5,0)</f>
        <v>2.4341488824575211E-13</v>
      </c>
      <c r="CA170" s="13">
        <f t="shared" si="170"/>
        <v>3.2970717324875541E-12</v>
      </c>
      <c r="CB170" s="20">
        <f t="shared" si="171"/>
        <v>6.1663475311105072E-12</v>
      </c>
      <c r="CC170" s="59">
        <f t="shared" si="119"/>
        <v>293.33333333333945</v>
      </c>
      <c r="CD170" s="59">
        <f ca="1">AVERAGE(OFFSET($CC$3,0,0,'Données projet'!$E$12+1,1))-AVERAGE(OFFSET($H$3,0,0,'Données projet'!$E$12+1,1))</f>
        <v>449.28947235329758</v>
      </c>
      <c r="CE170" s="59">
        <f t="shared" si="148"/>
        <v>289.36994109443964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57.097910235672209</v>
      </c>
      <c r="CL170" s="21">
        <f>EXP(-LN(2)/25)*CL169+(1-EXP(-LN(2)/25))/(LN(2)/25)*Calculateur!CG170*Calculateur!CI170*VLOOKUP('Données projet'!$B$12,Paramètres!$A$1:$I$89,3,0)*0.475*44/12</f>
        <v>8.8757062739078343</v>
      </c>
      <c r="CM170" s="21">
        <f>EXP(-LN(2)/2)*CM169+(1-EXP(-LN(2)/2))/(LN(2)/2)*CG170*CJ170*VLOOKUP('Données projet'!$B$12,Paramètres!$A$1:$I$89,3,0)*0.475*44/12</f>
        <v>1.9317266834240387E-5</v>
      </c>
      <c r="CN170" s="22">
        <f t="shared" si="172"/>
        <v>65.973635826846873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2.4829205358400945E-14</v>
      </c>
      <c r="CV170" s="13">
        <f t="shared" si="173"/>
        <v>4.3867331143352915E-13</v>
      </c>
      <c r="CW170" s="20">
        <f t="shared" si="174"/>
        <v>8.0726688341261168E-13</v>
      </c>
      <c r="CX170" s="59">
        <f t="shared" si="122"/>
        <v>293.33333333333411</v>
      </c>
      <c r="CY170" s="59">
        <f ca="1">AVERAGE(OFFSET($CX$3,0,0,'Données projet'!$E$13+1,1))-AVERAGE(OFFSET($H$3,0,0,'Données projet'!$E$13+1,1))</f>
        <v>261.93797831021766</v>
      </c>
      <c r="CZ170" s="59">
        <f t="shared" si="150"/>
        <v>256.90876395053073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5.8892195067821449</v>
      </c>
      <c r="DG170" s="21">
        <f>EXP(-LN(2)/25)*DG169+(1-EXP(-LN(2)/25))/(LN(2)/25)*Calculateur!DB170*Calculateur!DD170*VLOOKUP('Données projet'!$B$13,Paramètres!$A$1:$I$89,3,0)*0.475*44/12</f>
        <v>3.270849331460183</v>
      </c>
      <c r="DH170" s="21">
        <f>EXP(-LN(2)/2)*DH169+(1-EXP(-LN(2)/2))/(LN(2)/2)*DB170*DE170*VLOOKUP('Données projet'!$B$13,Paramètres!$A$1:$I$89,3,0)*0.475*44/12</f>
        <v>3.6533819030508802E-12</v>
      </c>
      <c r="DI170" s="22">
        <f t="shared" si="175"/>
        <v>9.1600688382459818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3.979039320256561E-13</v>
      </c>
      <c r="O171" s="13">
        <f>N171*VLOOKUP('Données projet'!$B$9,Paramètres!$A$1:$I$89,3,0)*VLOOKUP('Données projet'!$B$9,Paramètres!$A$1:$I$89,5,0)</f>
        <v>3.6002347769681362E-13</v>
      </c>
      <c r="P171" s="13">
        <f t="shared" si="141"/>
        <v>4.6593569189922594E-12</v>
      </c>
      <c r="Q171" s="20">
        <f t="shared" si="162"/>
        <v>8.7420875242334695E-12</v>
      </c>
      <c r="R171" s="59">
        <f t="shared" si="109"/>
        <v>293.33333333334207</v>
      </c>
      <c r="S171" s="59">
        <f ca="1">AVERAGE(OFFSET($R$3,0,0,'Données projet'!$E$9+1,1))-AVERAGE(OFFSET($H$3,0,0,'Données projet'!$E$9+1,1))</f>
        <v>695.0879239758051</v>
      </c>
      <c r="T171" s="59">
        <f t="shared" si="142"/>
        <v>226.22150997227476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145.82128974129466</v>
      </c>
      <c r="AA171" s="21">
        <f>EXP(-LN(2)/25)*AA170+(1-EXP(-LN(2)/25))/(LN(2)/25)*Calculateur!V171*Calculateur!X171*VLOOKUP('Données projet'!$B$9,Paramètres!$A$1:$I$89,3,0)*0.475*44/12</f>
        <v>23.698250404791519</v>
      </c>
      <c r="AB171" s="21">
        <f>EXP(-LN(2)/2)*AB170+(1-EXP(-LN(2)/2))/(LN(2)/2)*V171*Y171*VLOOKUP('Données projet'!$B$9,Paramètres!$A$1:$I$89,3,0)*0.475*44/12</f>
        <v>0.50303014727782491</v>
      </c>
      <c r="AC171" s="22">
        <f t="shared" si="163"/>
        <v>170.022570293364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4.7884896048344674E-14</v>
      </c>
      <c r="AK171" s="13">
        <f t="shared" si="164"/>
        <v>7.8374629847779921E-13</v>
      </c>
      <c r="AL171" s="20">
        <f t="shared" si="165"/>
        <v>1.4484243304663672E-12</v>
      </c>
      <c r="AM171" s="59">
        <f t="shared" si="113"/>
        <v>293.33333333333474</v>
      </c>
      <c r="AN171" s="59">
        <f ca="1">AVERAGE(OFFSET($AM$3,0,0,'Données projet'!$E$10+1,1))-AVERAGE(OFFSET($H$3,0,0,'Données projet'!$E$10+1,1))</f>
        <v>424.81155998881928</v>
      </c>
      <c r="AO171" s="59">
        <f t="shared" si="144"/>
        <v>277.34430416544575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35.836111202267112</v>
      </c>
      <c r="AV171" s="21">
        <f>EXP(-LN(2)/25)*AV170+(1-EXP(-LN(2)/25))/(LN(2)/25)*Calculateur!AQ171*Calculateur!AS171*VLOOKUP('Données projet'!$B$10,Paramètres!$A$1:$I$89,3,0)*0.475*44/12</f>
        <v>5.0152260844357723</v>
      </c>
      <c r="AW171" s="21">
        <f>EXP(-LN(2)/2)*AW170+(1-EXP(-LN(2)/2))/(LN(2)/2)*AQ171*AT171*VLOOKUP('Données projet'!$B$10,Paramètres!$A$1:$I$89,3,0)*0.475*44/12</f>
        <v>3.4566146903491047E-9</v>
      </c>
      <c r="AX171" s="21">
        <f t="shared" si="166"/>
        <v>40.851337290159499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560.52703200000121</v>
      </c>
      <c r="BF171" s="13">
        <f t="shared" si="167"/>
        <v>123.65508685225305</v>
      </c>
      <c r="BG171" s="20">
        <f t="shared" si="168"/>
        <v>1191.6171903343427</v>
      </c>
      <c r="BH171" s="59">
        <f t="shared" si="116"/>
        <v>1484.950523667676</v>
      </c>
      <c r="BI171" s="59">
        <f ca="1">AVERAGE(OFFSET($BH$3,0,0,'Données projet'!$E$11+1,1))-AVERAGE(OFFSET($H$3,0,0,'Données projet'!$E$11+1,1))</f>
        <v>706.69239849991595</v>
      </c>
      <c r="BJ171" s="59">
        <f t="shared" si="146"/>
        <v>310.59887275116529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60.684274992081555</v>
      </c>
      <c r="BQ171" s="21">
        <f>EXP(-LN(2)/25)*BQ170+(1-EXP(-LN(2)/25))/(LN(2)/25)*Calculateur!BL171*Calculateur!BN171*VLOOKUP('Données projet'!$B$11,Paramètres!$A$1:$I$89,3,0)*0.475*44/12</f>
        <v>23.078140622778218</v>
      </c>
      <c r="BR171" s="21">
        <f>EXP(-LN(2)/2)*BR170+(1-EXP(-LN(2)/2))/(LN(2)/2)*BL171*BO171*VLOOKUP('Données projet'!$B$11,Paramètres!$A$1:$I$89,3,0)*0.475*44/12</f>
        <v>1.3642834052509312E-6</v>
      </c>
      <c r="BS171" s="22">
        <f t="shared" si="169"/>
        <v>83.762416979143183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2.5579538487363607E-13</v>
      </c>
      <c r="BZ171" s="13">
        <f>BY171*VLOOKUP('Données projet'!$B$12,Paramètres!$A$1:$I$89,3,0)*VLOOKUP('Données projet'!$B$12,Paramètres!$A$1:$I$89,5,0)</f>
        <v>2.4341488824575211E-13</v>
      </c>
      <c r="CA171" s="13">
        <f t="shared" si="170"/>
        <v>3.2970717324875541E-12</v>
      </c>
      <c r="CB171" s="20">
        <f t="shared" si="171"/>
        <v>6.1663475311105072E-12</v>
      </c>
      <c r="CC171" s="59">
        <f t="shared" si="119"/>
        <v>293.33333333333945</v>
      </c>
      <c r="CD171" s="59">
        <f ca="1">AVERAGE(OFFSET($CC$3,0,0,'Données projet'!$E$12+1,1))-AVERAGE(OFFSET($H$3,0,0,'Données projet'!$E$12+1,1))</f>
        <v>449.28947235329758</v>
      </c>
      <c r="CE171" s="59">
        <f t="shared" si="148"/>
        <v>289.36994109443964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55.978255042237109</v>
      </c>
      <c r="CL171" s="21">
        <f>EXP(-LN(2)/25)*CL170+(1-EXP(-LN(2)/25))/(LN(2)/25)*Calculateur!CG171*Calculateur!CI171*VLOOKUP('Données projet'!$B$12,Paramètres!$A$1:$I$89,3,0)*0.475*44/12</f>
        <v>8.6329996190947167</v>
      </c>
      <c r="CM171" s="21">
        <f>EXP(-LN(2)/2)*CM170+(1-EXP(-LN(2)/2))/(LN(2)/2)*CG171*CJ171*VLOOKUP('Données projet'!$B$12,Paramètres!$A$1:$I$89,3,0)*0.475*44/12</f>
        <v>1.3659370372481369E-5</v>
      </c>
      <c r="CN171" s="22">
        <f t="shared" si="172"/>
        <v>64.611268320702195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2.4829205358400945E-14</v>
      </c>
      <c r="CV171" s="13">
        <f t="shared" si="173"/>
        <v>4.3867331143352915E-13</v>
      </c>
      <c r="CW171" s="20">
        <f t="shared" si="174"/>
        <v>8.0726688341261168E-13</v>
      </c>
      <c r="CX171" s="59">
        <f t="shared" si="122"/>
        <v>293.33333333333411</v>
      </c>
      <c r="CY171" s="59">
        <f ca="1">AVERAGE(OFFSET($CX$3,0,0,'Données projet'!$E$13+1,1))-AVERAGE(OFFSET($H$3,0,0,'Données projet'!$E$13+1,1))</f>
        <v>261.93797831021766</v>
      </c>
      <c r="CZ171" s="59">
        <f t="shared" si="150"/>
        <v>256.90876395053073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5.7737355043233585</v>
      </c>
      <c r="DG171" s="21">
        <f>EXP(-LN(2)/25)*DG170+(1-EXP(-LN(2)/25))/(LN(2)/25)*Calculateur!DB171*Calculateur!DD171*VLOOKUP('Données projet'!$B$13,Paramètres!$A$1:$I$89,3,0)*0.475*44/12</f>
        <v>3.1814077844849136</v>
      </c>
      <c r="DH171" s="21">
        <f>EXP(-LN(2)/2)*DH170+(1-EXP(-LN(2)/2))/(LN(2)/2)*DB171*DE171*VLOOKUP('Données projet'!$B$13,Paramètres!$A$1:$I$89,3,0)*0.475*44/12</f>
        <v>2.5833311179114914E-12</v>
      </c>
      <c r="DI171" s="22">
        <f t="shared" si="175"/>
        <v>8.9551432888108558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3.979039320256561E-13</v>
      </c>
      <c r="O172" s="13">
        <f>N172*VLOOKUP('Données projet'!$B$9,Paramètres!$A$1:$I$89,3,0)*VLOOKUP('Données projet'!$B$9,Paramètres!$A$1:$I$89,5,0)</f>
        <v>3.6002347769681362E-13</v>
      </c>
      <c r="P172" s="13">
        <f t="shared" si="141"/>
        <v>4.6593569189922594E-12</v>
      </c>
      <c r="Q172" s="20">
        <f t="shared" si="162"/>
        <v>8.7420875242334695E-12</v>
      </c>
      <c r="R172" s="59">
        <f t="shared" si="109"/>
        <v>293.33333333334207</v>
      </c>
      <c r="S172" s="59">
        <f ca="1">AVERAGE(OFFSET($R$3,0,0,'Données projet'!$E$9+1,1))-AVERAGE(OFFSET($H$3,0,0,'Données projet'!$E$9+1,1))</f>
        <v>695.0879239758051</v>
      </c>
      <c r="T172" s="59">
        <f t="shared" si="142"/>
        <v>226.22150997227476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142.96182319167229</v>
      </c>
      <c r="AA172" s="21">
        <f>EXP(-LN(2)/25)*AA171+(1-EXP(-LN(2)/25))/(LN(2)/25)*Calculateur!V172*Calculateur!X172*VLOOKUP('Données projet'!$B$9,Paramètres!$A$1:$I$89,3,0)*0.475*44/12</f>
        <v>23.050220501235671</v>
      </c>
      <c r="AB172" s="21">
        <f>EXP(-LN(2)/2)*AB171+(1-EXP(-LN(2)/2))/(LN(2)/2)*V172*Y172*VLOOKUP('Données projet'!$B$9,Paramètres!$A$1:$I$89,3,0)*0.475*44/12</f>
        <v>0.35569602828141772</v>
      </c>
      <c r="AC172" s="22">
        <f t="shared" si="163"/>
        <v>166.36773972118939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4.7884896048344674E-14</v>
      </c>
      <c r="AK172" s="13">
        <f t="shared" si="164"/>
        <v>7.8374629847779921E-13</v>
      </c>
      <c r="AL172" s="20">
        <f t="shared" si="165"/>
        <v>1.4484243304663672E-12</v>
      </c>
      <c r="AM172" s="59">
        <f t="shared" si="113"/>
        <v>293.33333333333474</v>
      </c>
      <c r="AN172" s="59">
        <f ca="1">AVERAGE(OFFSET($AM$3,0,0,'Données projet'!$E$10+1,1))-AVERAGE(OFFSET($H$3,0,0,'Données projet'!$E$10+1,1))</f>
        <v>424.81155998881928</v>
      </c>
      <c r="AO172" s="59">
        <f t="shared" si="144"/>
        <v>277.34430416544575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35.1333869194602</v>
      </c>
      <c r="AV172" s="21">
        <f>EXP(-LN(2)/25)*AV171+(1-EXP(-LN(2)/25))/(LN(2)/25)*Calculateur!AQ172*Calculateur!AS172*VLOOKUP('Données projet'!$B$10,Paramètres!$A$1:$I$89,3,0)*0.475*44/12</f>
        <v>4.8780844634175988</v>
      </c>
      <c r="AW172" s="21">
        <f>EXP(-LN(2)/2)*AW171+(1-EXP(-LN(2)/2))/(LN(2)/2)*AQ172*AT172*VLOOKUP('Données projet'!$B$10,Paramètres!$A$1:$I$89,3,0)*0.475*44/12</f>
        <v>2.4441956874948901E-9</v>
      </c>
      <c r="AX172" s="21">
        <f t="shared" si="166"/>
        <v>40.011471385321997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570.28374000000122</v>
      </c>
      <c r="BF172" s="13">
        <f t="shared" si="167"/>
        <v>125.55501458776541</v>
      </c>
      <c r="BG172" s="20">
        <f t="shared" si="168"/>
        <v>1211.9191642403603</v>
      </c>
      <c r="BH172" s="59">
        <f t="shared" si="116"/>
        <v>1505.2524975736935</v>
      </c>
      <c r="BI172" s="59">
        <f ca="1">AVERAGE(OFFSET($BH$3,0,0,'Données projet'!$E$11+1,1))-AVERAGE(OFFSET($H$3,0,0,'Données projet'!$E$11+1,1))</f>
        <v>706.69239849991595</v>
      </c>
      <c r="BJ172" s="59">
        <f t="shared" si="146"/>
        <v>310.59887275116529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59.494293373239778</v>
      </c>
      <c r="BQ172" s="21">
        <f>EXP(-LN(2)/25)*BQ171+(1-EXP(-LN(2)/25))/(LN(2)/25)*Calculateur!BL172*Calculateur!BN172*VLOOKUP('Données projet'!$B$11,Paramètres!$A$1:$I$89,3,0)*0.475*44/12</f>
        <v>22.447067653821676</v>
      </c>
      <c r="BR172" s="21">
        <f>EXP(-LN(2)/2)*BR171+(1-EXP(-LN(2)/2))/(LN(2)/2)*BL172*BO172*VLOOKUP('Données projet'!$B$11,Paramètres!$A$1:$I$89,3,0)*0.475*44/12</f>
        <v>9.6469404731320817E-7</v>
      </c>
      <c r="BS172" s="22">
        <f t="shared" si="169"/>
        <v>81.9413619917555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2.5579538487363607E-13</v>
      </c>
      <c r="BZ172" s="13">
        <f>BY172*VLOOKUP('Données projet'!$B$12,Paramètres!$A$1:$I$89,3,0)*VLOOKUP('Données projet'!$B$12,Paramètres!$A$1:$I$89,5,0)</f>
        <v>2.4341488824575211E-13</v>
      </c>
      <c r="CA172" s="13">
        <f t="shared" si="170"/>
        <v>3.2970717324875541E-12</v>
      </c>
      <c r="CB172" s="20">
        <f t="shared" si="171"/>
        <v>6.1663475311105072E-12</v>
      </c>
      <c r="CC172" s="59">
        <f t="shared" si="119"/>
        <v>293.33333333333945</v>
      </c>
      <c r="CD172" s="59">
        <f ca="1">AVERAGE(OFFSET($CC$3,0,0,'Données projet'!$E$12+1,1))-AVERAGE(OFFSET($H$3,0,0,'Données projet'!$E$12+1,1))</f>
        <v>449.28947235329758</v>
      </c>
      <c r="CE172" s="59">
        <f t="shared" si="148"/>
        <v>289.36994109443964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54.880555604223041</v>
      </c>
      <c r="CL172" s="21">
        <f>EXP(-LN(2)/25)*CL171+(1-EXP(-LN(2)/25))/(LN(2)/25)*Calculateur!CG172*Calculateur!CI172*VLOOKUP('Données projet'!$B$12,Paramètres!$A$1:$I$89,3,0)*0.475*44/12</f>
        <v>8.3969297905208524</v>
      </c>
      <c r="CM172" s="21">
        <f>EXP(-LN(2)/2)*CM171+(1-EXP(-LN(2)/2))/(LN(2)/2)*CG172*CJ172*VLOOKUP('Données projet'!$B$12,Paramètres!$A$1:$I$89,3,0)*0.475*44/12</f>
        <v>9.6586334171201937E-6</v>
      </c>
      <c r="CN172" s="22">
        <f t="shared" si="172"/>
        <v>63.277495053377308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2.4829205358400945E-14</v>
      </c>
      <c r="CV172" s="13">
        <f t="shared" si="173"/>
        <v>4.3867331143352915E-13</v>
      </c>
      <c r="CW172" s="20">
        <f t="shared" si="174"/>
        <v>8.0726688341261168E-13</v>
      </c>
      <c r="CX172" s="59">
        <f t="shared" si="122"/>
        <v>293.33333333333411</v>
      </c>
      <c r="CY172" s="59">
        <f ca="1">AVERAGE(OFFSET($CX$3,0,0,'Données projet'!$E$13+1,1))-AVERAGE(OFFSET($H$3,0,0,'Données projet'!$E$13+1,1))</f>
        <v>261.93797831021766</v>
      </c>
      <c r="CZ172" s="59">
        <f t="shared" si="150"/>
        <v>256.90876395053073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5.6605160727145032</v>
      </c>
      <c r="DG172" s="21">
        <f>EXP(-LN(2)/25)*DG171+(1-EXP(-LN(2)/25))/(LN(2)/25)*Calculateur!DB172*Calculateur!DD172*VLOOKUP('Données projet'!$B$13,Paramètres!$A$1:$I$89,3,0)*0.475*44/12</f>
        <v>3.0944120213152093</v>
      </c>
      <c r="DH172" s="21">
        <f>EXP(-LN(2)/2)*DH171+(1-EXP(-LN(2)/2))/(LN(2)/2)*DB172*DE172*VLOOKUP('Données projet'!$B$13,Paramètres!$A$1:$I$89,3,0)*0.475*44/12</f>
        <v>1.8266909515254401E-12</v>
      </c>
      <c r="DI172" s="22">
        <f t="shared" si="175"/>
        <v>8.7549280940315377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3.979039320256561E-13</v>
      </c>
      <c r="O173" s="13">
        <f>N173*VLOOKUP('Données projet'!$B$9,Paramètres!$A$1:$I$89,3,0)*VLOOKUP('Données projet'!$B$9,Paramètres!$A$1:$I$89,5,0)</f>
        <v>3.6002347769681362E-13</v>
      </c>
      <c r="P173" s="13">
        <f t="shared" si="141"/>
        <v>4.6593569189922594E-12</v>
      </c>
      <c r="Q173" s="20">
        <f t="shared" si="162"/>
        <v>8.7420875242334695E-12</v>
      </c>
      <c r="R173" s="59">
        <f t="shared" si="109"/>
        <v>293.33333333334207</v>
      </c>
      <c r="S173" s="59">
        <f ca="1">AVERAGE(OFFSET($R$3,0,0,'Données projet'!$E$9+1,1))-AVERAGE(OFFSET($H$3,0,0,'Données projet'!$E$9+1,1))</f>
        <v>695.0879239758051</v>
      </c>
      <c r="T173" s="59">
        <f t="shared" si="142"/>
        <v>226.22150997227476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140.15842903698564</v>
      </c>
      <c r="AA173" s="21">
        <f>EXP(-LN(2)/25)*AA172+(1-EXP(-LN(2)/25))/(LN(2)/25)*Calculateur!V173*Calculateur!X173*VLOOKUP('Données projet'!$B$9,Paramètres!$A$1:$I$89,3,0)*0.475*44/12</f>
        <v>22.419911009470969</v>
      </c>
      <c r="AB173" s="21">
        <f>EXP(-LN(2)/2)*AB172+(1-EXP(-LN(2)/2))/(LN(2)/2)*V173*Y173*VLOOKUP('Données projet'!$B$9,Paramètres!$A$1:$I$89,3,0)*0.475*44/12</f>
        <v>0.25151507363891246</v>
      </c>
      <c r="AC173" s="22">
        <f t="shared" si="163"/>
        <v>162.82985512009552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4.7884896048344674E-14</v>
      </c>
      <c r="AK173" s="13">
        <f t="shared" si="164"/>
        <v>7.8374629847779921E-13</v>
      </c>
      <c r="AL173" s="20">
        <f t="shared" si="165"/>
        <v>1.4484243304663672E-12</v>
      </c>
      <c r="AM173" s="59">
        <f t="shared" si="113"/>
        <v>293.33333333333474</v>
      </c>
      <c r="AN173" s="59">
        <f ca="1">AVERAGE(OFFSET($AM$3,0,0,'Données projet'!$E$10+1,1))-AVERAGE(OFFSET($H$3,0,0,'Données projet'!$E$10+1,1))</f>
        <v>424.81155998881928</v>
      </c>
      <c r="AO173" s="59">
        <f t="shared" si="144"/>
        <v>277.34430416544575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34.444442631219644</v>
      </c>
      <c r="AV173" s="21">
        <f>EXP(-LN(2)/25)*AV172+(1-EXP(-LN(2)/25))/(LN(2)/25)*Calculateur!AQ173*Calculateur!AS173*VLOOKUP('Données projet'!$B$10,Paramètres!$A$1:$I$89,3,0)*0.475*44/12</f>
        <v>4.7446929872381318</v>
      </c>
      <c r="AW173" s="21">
        <f>EXP(-LN(2)/2)*AW172+(1-EXP(-LN(2)/2))/(LN(2)/2)*AQ173*AT173*VLOOKUP('Données projet'!$B$10,Paramètres!$A$1:$I$89,3,0)*0.475*44/12</f>
        <v>1.7283073451745523E-9</v>
      </c>
      <c r="AX173" s="21">
        <f t="shared" si="166"/>
        <v>39.189135620186086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580.04044800000111</v>
      </c>
      <c r="BF173" s="13">
        <f t="shared" si="167"/>
        <v>127.45116231789045</v>
      </c>
      <c r="BG173" s="20">
        <f t="shared" si="168"/>
        <v>1232.2145546369943</v>
      </c>
      <c r="BH173" s="59">
        <f t="shared" si="116"/>
        <v>1525.5478879703276</v>
      </c>
      <c r="BI173" s="59">
        <f ca="1">AVERAGE(OFFSET($BH$3,0,0,'Données projet'!$E$11+1,1))-AVERAGE(OFFSET($H$3,0,0,'Données projet'!$E$11+1,1))</f>
        <v>706.69239849991595</v>
      </c>
      <c r="BJ173" s="59">
        <f t="shared" si="146"/>
        <v>310.59887275116529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58.327646568126369</v>
      </c>
      <c r="BQ173" s="21">
        <f>EXP(-LN(2)/25)*BQ172+(1-EXP(-LN(2)/25))/(LN(2)/25)*Calculateur!BL173*Calculateur!BN173*VLOOKUP('Données projet'!$B$11,Paramètres!$A$1:$I$89,3,0)*0.475*44/12</f>
        <v>21.833251408387937</v>
      </c>
      <c r="BR173" s="21">
        <f>EXP(-LN(2)/2)*BR172+(1-EXP(-LN(2)/2))/(LN(2)/2)*BL173*BO173*VLOOKUP('Données projet'!$B$11,Paramètres!$A$1:$I$89,3,0)*0.475*44/12</f>
        <v>6.8214170262546562E-7</v>
      </c>
      <c r="BS173" s="22">
        <f t="shared" si="169"/>
        <v>80.160898658656009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2.5579538487363607E-13</v>
      </c>
      <c r="BZ173" s="13">
        <f>BY173*VLOOKUP('Données projet'!$B$12,Paramètres!$A$1:$I$89,3,0)*VLOOKUP('Données projet'!$B$12,Paramètres!$A$1:$I$89,5,0)</f>
        <v>2.4341488824575211E-13</v>
      </c>
      <c r="CA173" s="13">
        <f t="shared" si="170"/>
        <v>3.2970717324875541E-12</v>
      </c>
      <c r="CB173" s="20">
        <f t="shared" si="171"/>
        <v>6.1663475311105072E-12</v>
      </c>
      <c r="CC173" s="59">
        <f t="shared" si="119"/>
        <v>293.33333333333945</v>
      </c>
      <c r="CD173" s="59">
        <f ca="1">AVERAGE(OFFSET($CC$3,0,0,'Données projet'!$E$12+1,1))-AVERAGE(OFFSET($H$3,0,0,'Données projet'!$E$12+1,1))</f>
        <v>449.28947235329758</v>
      </c>
      <c r="CE173" s="59">
        <f t="shared" si="148"/>
        <v>289.36994109443964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53.80438138265788</v>
      </c>
      <c r="CL173" s="21">
        <f>EXP(-LN(2)/25)*CL172+(1-EXP(-LN(2)/25))/(LN(2)/25)*Calculateur!CG173*Calculateur!CI173*VLOOKUP('Données projet'!$B$12,Paramètres!$A$1:$I$89,3,0)*0.475*44/12</f>
        <v>8.1673153038237132</v>
      </c>
      <c r="CM173" s="21">
        <f>EXP(-LN(2)/2)*CM172+(1-EXP(-LN(2)/2))/(LN(2)/2)*CG173*CJ173*VLOOKUP('Données projet'!$B$12,Paramètres!$A$1:$I$89,3,0)*0.475*44/12</f>
        <v>6.8296851862406847E-6</v>
      </c>
      <c r="CN173" s="22">
        <f t="shared" si="172"/>
        <v>61.971703516166777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2.4829205358400945E-14</v>
      </c>
      <c r="CV173" s="13">
        <f t="shared" si="173"/>
        <v>4.3867331143352915E-13</v>
      </c>
      <c r="CW173" s="20">
        <f t="shared" si="174"/>
        <v>8.0726688341261168E-13</v>
      </c>
      <c r="CX173" s="59">
        <f t="shared" si="122"/>
        <v>293.33333333333411</v>
      </c>
      <c r="CY173" s="59">
        <f ca="1">AVERAGE(OFFSET($CX$3,0,0,'Données projet'!$E$13+1,1))-AVERAGE(OFFSET($H$3,0,0,'Données projet'!$E$13+1,1))</f>
        <v>261.93797831021766</v>
      </c>
      <c r="CZ173" s="59">
        <f t="shared" si="150"/>
        <v>256.90876395053073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5.5495168051024626</v>
      </c>
      <c r="DG173" s="21">
        <f>EXP(-LN(2)/25)*DG172+(1-EXP(-LN(2)/25))/(LN(2)/25)*Calculateur!DB173*Calculateur!DD173*VLOOKUP('Données projet'!$B$13,Paramètres!$A$1:$I$89,3,0)*0.475*44/12</f>
        <v>3.0097951618642891</v>
      </c>
      <c r="DH173" s="21">
        <f>EXP(-LN(2)/2)*DH172+(1-EXP(-LN(2)/2))/(LN(2)/2)*DB173*DE173*VLOOKUP('Données projet'!$B$13,Paramètres!$A$1:$I$89,3,0)*0.475*44/12</f>
        <v>1.2916655589557457E-12</v>
      </c>
      <c r="DI173" s="22">
        <f t="shared" si="175"/>
        <v>8.5593119669680426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3.979039320256561E-13</v>
      </c>
      <c r="O174" s="13">
        <f>N174*VLOOKUP('Données projet'!$B$9,Paramètres!$A$1:$I$89,3,0)*VLOOKUP('Données projet'!$B$9,Paramètres!$A$1:$I$89,5,0)</f>
        <v>3.6002347769681362E-13</v>
      </c>
      <c r="P174" s="13">
        <f t="shared" si="141"/>
        <v>4.6593569189922594E-12</v>
      </c>
      <c r="Q174" s="20">
        <f t="shared" si="162"/>
        <v>8.7420875242334695E-12</v>
      </c>
      <c r="R174" s="59">
        <f t="shared" si="109"/>
        <v>293.33333333334207</v>
      </c>
      <c r="S174" s="59">
        <f ca="1">AVERAGE(OFFSET($R$3,0,0,'Données projet'!$E$9+1,1))-AVERAGE(OFFSET($H$3,0,0,'Données projet'!$E$9+1,1))</f>
        <v>695.0879239758051</v>
      </c>
      <c r="T174" s="59">
        <f t="shared" si="142"/>
        <v>226.22150997227476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137.4100077317708</v>
      </c>
      <c r="AA174" s="21">
        <f>EXP(-LN(2)/25)*AA173+(1-EXP(-LN(2)/25))/(LN(2)/25)*Calculateur!V174*Calculateur!X174*VLOOKUP('Données projet'!$B$9,Paramètres!$A$1:$I$89,3,0)*0.475*44/12</f>
        <v>21.806837363905107</v>
      </c>
      <c r="AB174" s="21">
        <f>EXP(-LN(2)/2)*AB173+(1-EXP(-LN(2)/2))/(LN(2)/2)*V174*Y174*VLOOKUP('Données projet'!$B$9,Paramètres!$A$1:$I$89,3,0)*0.475*44/12</f>
        <v>0.17784801414070886</v>
      </c>
      <c r="AC174" s="22">
        <f t="shared" si="163"/>
        <v>159.39469310981664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4.7884896048344674E-14</v>
      </c>
      <c r="AK174" s="13">
        <f t="shared" si="164"/>
        <v>7.8374629847779921E-13</v>
      </c>
      <c r="AL174" s="20">
        <f t="shared" si="165"/>
        <v>1.4484243304663672E-12</v>
      </c>
      <c r="AM174" s="59">
        <f t="shared" si="113"/>
        <v>293.33333333333474</v>
      </c>
      <c r="AN174" s="59">
        <f ca="1">AVERAGE(OFFSET($AM$3,0,0,'Données projet'!$E$10+1,1))-AVERAGE(OFFSET($H$3,0,0,'Données projet'!$E$10+1,1))</f>
        <v>424.81155998881928</v>
      </c>
      <c r="AO174" s="59">
        <f t="shared" si="144"/>
        <v>277.34430416544575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33.769008120256963</v>
      </c>
      <c r="AV174" s="21">
        <f>EXP(-LN(2)/25)*AV173+(1-EXP(-LN(2)/25))/(LN(2)/25)*Calculateur!AQ174*Calculateur!AS174*VLOOKUP('Données projet'!$B$10,Paramètres!$A$1:$I$89,3,0)*0.475*44/12</f>
        <v>4.6149491079895446</v>
      </c>
      <c r="AW174" s="21">
        <f>EXP(-LN(2)/2)*AW173+(1-EXP(-LN(2)/2))/(LN(2)/2)*AQ174*AT174*VLOOKUP('Données projet'!$B$10,Paramètres!$A$1:$I$89,3,0)*0.475*44/12</f>
        <v>1.222097843747445E-9</v>
      </c>
      <c r="AX174" s="21">
        <f t="shared" si="166"/>
        <v>38.383957229468606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589.79715600000111</v>
      </c>
      <c r="BF174" s="13">
        <f t="shared" si="167"/>
        <v>129.34360096340086</v>
      </c>
      <c r="BG174" s="20">
        <f t="shared" si="168"/>
        <v>1252.5034850445916</v>
      </c>
      <c r="BH174" s="59">
        <f t="shared" si="116"/>
        <v>1545.8368183779248</v>
      </c>
      <c r="BI174" s="59">
        <f ca="1">AVERAGE(OFFSET($BH$3,0,0,'Données projet'!$E$11+1,1))-AVERAGE(OFFSET($H$3,0,0,'Données projet'!$E$11+1,1))</f>
        <v>706.69239849991595</v>
      </c>
      <c r="BJ174" s="59">
        <f t="shared" si="146"/>
        <v>310.59887275116529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57.183876995276947</v>
      </c>
      <c r="BQ174" s="21">
        <f>EXP(-LN(2)/25)*BQ173+(1-EXP(-LN(2)/25))/(LN(2)/25)*Calculateur!BL174*Calculateur!BN174*VLOOKUP('Données projet'!$B$11,Paramètres!$A$1:$I$89,3,0)*0.475*44/12</f>
        <v>21.23622000046478</v>
      </c>
      <c r="BR174" s="21">
        <f>EXP(-LN(2)/2)*BR173+(1-EXP(-LN(2)/2))/(LN(2)/2)*BL174*BO174*VLOOKUP('Données projet'!$B$11,Paramètres!$A$1:$I$89,3,0)*0.475*44/12</f>
        <v>4.8234702365660409E-7</v>
      </c>
      <c r="BS174" s="22">
        <f t="shared" si="169"/>
        <v>78.420097478088749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2.5579538487363607E-13</v>
      </c>
      <c r="BZ174" s="13">
        <f>BY174*VLOOKUP('Données projet'!$B$12,Paramètres!$A$1:$I$89,3,0)*VLOOKUP('Données projet'!$B$12,Paramètres!$A$1:$I$89,5,0)</f>
        <v>2.4341488824575211E-13</v>
      </c>
      <c r="CA174" s="13">
        <f t="shared" si="170"/>
        <v>3.2970717324875541E-12</v>
      </c>
      <c r="CB174" s="20">
        <f t="shared" si="171"/>
        <v>6.1663475311105072E-12</v>
      </c>
      <c r="CC174" s="59">
        <f t="shared" si="119"/>
        <v>293.33333333333945</v>
      </c>
      <c r="CD174" s="59">
        <f ca="1">AVERAGE(OFFSET($CC$3,0,0,'Données projet'!$E$12+1,1))-AVERAGE(OFFSET($H$3,0,0,'Données projet'!$E$12+1,1))</f>
        <v>449.28947235329758</v>
      </c>
      <c r="CE174" s="59">
        <f t="shared" si="148"/>
        <v>289.36994109443964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52.74931028117615</v>
      </c>
      <c r="CL174" s="21">
        <f>EXP(-LN(2)/25)*CL173+(1-EXP(-LN(2)/25))/(LN(2)/25)*Calculateur!CG174*Calculateur!CI174*VLOOKUP('Données projet'!$B$12,Paramètres!$A$1:$I$89,3,0)*0.475*44/12</f>
        <v>7.9439796373402087</v>
      </c>
      <c r="CM174" s="21">
        <f>EXP(-LN(2)/2)*CM173+(1-EXP(-LN(2)/2))/(LN(2)/2)*CG174*CJ174*VLOOKUP('Données projet'!$B$12,Paramètres!$A$1:$I$89,3,0)*0.475*44/12</f>
        <v>4.8293167085600968E-6</v>
      </c>
      <c r="CN174" s="22">
        <f t="shared" si="172"/>
        <v>60.693294747833065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2.4829205358400945E-14</v>
      </c>
      <c r="CV174" s="13">
        <f t="shared" si="173"/>
        <v>4.3867331143352915E-13</v>
      </c>
      <c r="CW174" s="20">
        <f t="shared" si="174"/>
        <v>8.0726688341261168E-13</v>
      </c>
      <c r="CX174" s="59">
        <f t="shared" si="122"/>
        <v>293.33333333333411</v>
      </c>
      <c r="CY174" s="59">
        <f ca="1">AVERAGE(OFFSET($CX$3,0,0,'Données projet'!$E$13+1,1))-AVERAGE(OFFSET($H$3,0,0,'Données projet'!$E$13+1,1))</f>
        <v>261.93797831021766</v>
      </c>
      <c r="CZ174" s="59">
        <f t="shared" si="150"/>
        <v>256.90876395053073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5.4406941654254259</v>
      </c>
      <c r="DG174" s="21">
        <f>EXP(-LN(2)/25)*DG173+(1-EXP(-LN(2)/25))/(LN(2)/25)*Calculateur!DB174*Calculateur!DD174*VLOOKUP('Données projet'!$B$13,Paramètres!$A$1:$I$89,3,0)*0.475*44/12</f>
        <v>2.9274921548848614</v>
      </c>
      <c r="DH174" s="21">
        <f>EXP(-LN(2)/2)*DH173+(1-EXP(-LN(2)/2))/(LN(2)/2)*DB174*DE174*VLOOKUP('Données projet'!$B$13,Paramètres!$A$1:$I$89,3,0)*0.475*44/12</f>
        <v>9.1334547576272005E-13</v>
      </c>
      <c r="DI174" s="22">
        <f t="shared" si="175"/>
        <v>8.3681863203111995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3.979039320256561E-13</v>
      </c>
      <c r="O175" s="13">
        <f>N175*VLOOKUP('Données projet'!$B$9,Paramètres!$A$1:$I$89,3,0)*VLOOKUP('Données projet'!$B$9,Paramètres!$A$1:$I$89,5,0)</f>
        <v>3.6002347769681362E-13</v>
      </c>
      <c r="P175" s="13">
        <f t="shared" si="141"/>
        <v>4.6593569189922594E-12</v>
      </c>
      <c r="Q175" s="20">
        <f t="shared" si="162"/>
        <v>8.7420875242334695E-12</v>
      </c>
      <c r="R175" s="59">
        <f t="shared" si="109"/>
        <v>293.33333333334207</v>
      </c>
      <c r="S175" s="59">
        <f ca="1">AVERAGE(OFFSET($R$3,0,0,'Données projet'!$E$9+1,1))-AVERAGE(OFFSET($H$3,0,0,'Données projet'!$E$9+1,1))</f>
        <v>695.0879239758051</v>
      </c>
      <c r="T175" s="59">
        <f t="shared" si="142"/>
        <v>226.22150997227476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134.71548129197976</v>
      </c>
      <c r="AA175" s="21">
        <f>EXP(-LN(2)/25)*AA174+(1-EXP(-LN(2)/25))/(LN(2)/25)*Calculateur!V175*Calculateur!X175*VLOOKUP('Données projet'!$B$9,Paramètres!$A$1:$I$89,3,0)*0.475*44/12</f>
        <v>21.210528249417386</v>
      </c>
      <c r="AB175" s="21">
        <f>EXP(-LN(2)/2)*AB174+(1-EXP(-LN(2)/2))/(LN(2)/2)*V175*Y175*VLOOKUP('Données projet'!$B$9,Paramètres!$A$1:$I$89,3,0)*0.475*44/12</f>
        <v>0.12575753681945623</v>
      </c>
      <c r="AC175" s="22">
        <f t="shared" si="163"/>
        <v>156.05176707821661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4.7884896048344674E-14</v>
      </c>
      <c r="AK175" s="13">
        <f t="shared" si="164"/>
        <v>7.8374629847779921E-13</v>
      </c>
      <c r="AL175" s="20">
        <f t="shared" si="165"/>
        <v>1.4484243304663672E-12</v>
      </c>
      <c r="AM175" s="59">
        <f t="shared" si="113"/>
        <v>293.33333333333474</v>
      </c>
      <c r="AN175" s="59">
        <f ca="1">AVERAGE(OFFSET($AM$3,0,0,'Données projet'!$E$10+1,1))-AVERAGE(OFFSET($H$3,0,0,'Données projet'!$E$10+1,1))</f>
        <v>424.81155998881928</v>
      </c>
      <c r="AO175" s="59">
        <f t="shared" si="144"/>
        <v>277.34430416544575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33.106818468079886</v>
      </c>
      <c r="AV175" s="21">
        <f>EXP(-LN(2)/25)*AV174+(1-EXP(-LN(2)/25))/(LN(2)/25)*Calculateur!AQ175*Calculateur!AS175*VLOOKUP('Données projet'!$B$10,Paramètres!$A$1:$I$89,3,0)*0.475*44/12</f>
        <v>4.4887530819419448</v>
      </c>
      <c r="AW175" s="21">
        <f>EXP(-LN(2)/2)*AW174+(1-EXP(-LN(2)/2))/(LN(2)/2)*AQ175*AT175*VLOOKUP('Données projet'!$B$10,Paramètres!$A$1:$I$89,3,0)*0.475*44/12</f>
        <v>8.6415367258727617E-10</v>
      </c>
      <c r="AX175" s="21">
        <f t="shared" si="166"/>
        <v>37.595571550885985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599.553864000001</v>
      </c>
      <c r="BF175" s="13">
        <f t="shared" si="167"/>
        <v>131.23239896414796</v>
      </c>
      <c r="BG175" s="20">
        <f t="shared" si="168"/>
        <v>1272.7860746625593</v>
      </c>
      <c r="BH175" s="59">
        <f t="shared" si="116"/>
        <v>1566.1194079958925</v>
      </c>
      <c r="BI175" s="59">
        <f ca="1">AVERAGE(OFFSET($BH$3,0,0,'Données projet'!$E$11+1,1))-AVERAGE(OFFSET($H$3,0,0,'Données projet'!$E$11+1,1))</f>
        <v>706.69239849991595</v>
      </c>
      <c r="BJ175" s="59">
        <f t="shared" si="146"/>
        <v>310.59887275116529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56.062536046120549</v>
      </c>
      <c r="BQ175" s="21">
        <f>EXP(-LN(2)/25)*BQ174+(1-EXP(-LN(2)/25))/(LN(2)/25)*Calculateur!BL175*Calculateur!BN175*VLOOKUP('Données projet'!$B$11,Paramètres!$A$1:$I$89,3,0)*0.475*44/12</f>
        <v>20.655514447787798</v>
      </c>
      <c r="BR175" s="21">
        <f>EXP(-LN(2)/2)*BR174+(1-EXP(-LN(2)/2))/(LN(2)/2)*BL175*BO175*VLOOKUP('Données projet'!$B$11,Paramètres!$A$1:$I$89,3,0)*0.475*44/12</f>
        <v>3.4107085131273281E-7</v>
      </c>
      <c r="BS175" s="22">
        <f t="shared" si="169"/>
        <v>76.718050834979195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2.5579538487363607E-13</v>
      </c>
      <c r="BZ175" s="13">
        <f>BY175*VLOOKUP('Données projet'!$B$12,Paramètres!$A$1:$I$89,3,0)*VLOOKUP('Données projet'!$B$12,Paramètres!$A$1:$I$89,5,0)</f>
        <v>2.4341488824575211E-13</v>
      </c>
      <c r="CA175" s="13">
        <f t="shared" si="170"/>
        <v>3.2970717324875541E-12</v>
      </c>
      <c r="CB175" s="20">
        <f t="shared" si="171"/>
        <v>6.1663475311105072E-12</v>
      </c>
      <c r="CC175" s="59">
        <f t="shared" si="119"/>
        <v>293.33333333333945</v>
      </c>
      <c r="CD175" s="59">
        <f ca="1">AVERAGE(OFFSET($CC$3,0,0,'Données projet'!$E$12+1,1))-AVERAGE(OFFSET($H$3,0,0,'Données projet'!$E$12+1,1))</f>
        <v>449.28947235329758</v>
      </c>
      <c r="CE175" s="59">
        <f t="shared" si="148"/>
        <v>289.36994109443964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51.71492848046465</v>
      </c>
      <c r="CL175" s="21">
        <f>EXP(-LN(2)/25)*CL174+(1-EXP(-LN(2)/25))/(LN(2)/25)*Calculateur!CG175*Calculateur!CI175*VLOOKUP('Données projet'!$B$12,Paramètres!$A$1:$I$89,3,0)*0.475*44/12</f>
        <v>7.7267510964014079</v>
      </c>
      <c r="CM175" s="21">
        <f>EXP(-LN(2)/2)*CM174+(1-EXP(-LN(2)/2))/(LN(2)/2)*CG175*CJ175*VLOOKUP('Données projet'!$B$12,Paramètres!$A$1:$I$89,3,0)*0.475*44/12</f>
        <v>3.4148425931203423E-6</v>
      </c>
      <c r="CN175" s="22">
        <f t="shared" si="172"/>
        <v>59.441682991708653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2.4829205358400945E-14</v>
      </c>
      <c r="CV175" s="13">
        <f t="shared" si="173"/>
        <v>4.3867331143352915E-13</v>
      </c>
      <c r="CW175" s="20">
        <f t="shared" si="174"/>
        <v>8.0726688341261168E-13</v>
      </c>
      <c r="CX175" s="59">
        <f t="shared" si="122"/>
        <v>293.33333333333411</v>
      </c>
      <c r="CY175" s="59">
        <f ca="1">AVERAGE(OFFSET($CX$3,0,0,'Données projet'!$E$13+1,1))-AVERAGE(OFFSET($H$3,0,0,'Données projet'!$E$13+1,1))</f>
        <v>261.93797831021766</v>
      </c>
      <c r="CZ175" s="59">
        <f t="shared" si="150"/>
        <v>256.90876395053073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5.3340054713371998</v>
      </c>
      <c r="DG175" s="21">
        <f>EXP(-LN(2)/25)*DG174+(1-EXP(-LN(2)/25))/(LN(2)/25)*Calculateur!DB175*Calculateur!DD175*VLOOKUP('Données projet'!$B$13,Paramètres!$A$1:$I$89,3,0)*0.475*44/12</f>
        <v>2.8474397279594132</v>
      </c>
      <c r="DH175" s="21">
        <f>EXP(-LN(2)/2)*DH174+(1-EXP(-LN(2)/2))/(LN(2)/2)*DB175*DE175*VLOOKUP('Données projet'!$B$13,Paramètres!$A$1:$I$89,3,0)*0.475*44/12</f>
        <v>6.4583277947787285E-13</v>
      </c>
      <c r="DI175" s="22">
        <f t="shared" si="175"/>
        <v>8.1814451992972597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3.979039320256561E-13</v>
      </c>
      <c r="O176" s="13">
        <f>N176*VLOOKUP('Données projet'!$B$9,Paramètres!$A$1:$I$89,3,0)*VLOOKUP('Données projet'!$B$9,Paramètres!$A$1:$I$89,5,0)</f>
        <v>3.6002347769681362E-13</v>
      </c>
      <c r="P176" s="13">
        <f t="shared" si="141"/>
        <v>4.6593569189922594E-12</v>
      </c>
      <c r="Q176" s="20">
        <f t="shared" si="162"/>
        <v>8.7420875242334695E-12</v>
      </c>
      <c r="R176" s="59">
        <f t="shared" si="109"/>
        <v>293.33333333334207</v>
      </c>
      <c r="S176" s="59">
        <f ca="1">AVERAGE(OFFSET($R$3,0,0,'Données projet'!$E$9+1,1))-AVERAGE(OFFSET($H$3,0,0,'Données projet'!$E$9+1,1))</f>
        <v>695.0879239758051</v>
      </c>
      <c r="T176" s="59">
        <f t="shared" si="142"/>
        <v>226.22150997227476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132.07379287217418</v>
      </c>
      <c r="AA176" s="21">
        <f>EXP(-LN(2)/25)*AA175+(1-EXP(-LN(2)/25))/(LN(2)/25)*Calculateur!V176*Calculateur!X176*VLOOKUP('Données projet'!$B$9,Paramètres!$A$1:$I$89,3,0)*0.475*44/12</f>
        <v>20.630525239023864</v>
      </c>
      <c r="AB176" s="21">
        <f>EXP(-LN(2)/2)*AB175+(1-EXP(-LN(2)/2))/(LN(2)/2)*V176*Y176*VLOOKUP('Données projet'!$B$9,Paramètres!$A$1:$I$89,3,0)*0.475*44/12</f>
        <v>8.892400707035443E-2</v>
      </c>
      <c r="AC176" s="22">
        <f t="shared" si="163"/>
        <v>152.79324211826838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4.7884896048344674E-14</v>
      </c>
      <c r="AK176" s="13">
        <f t="shared" si="164"/>
        <v>7.8374629847779921E-13</v>
      </c>
      <c r="AL176" s="20">
        <f t="shared" si="165"/>
        <v>1.4484243304663672E-12</v>
      </c>
      <c r="AM176" s="59">
        <f t="shared" si="113"/>
        <v>293.33333333333474</v>
      </c>
      <c r="AN176" s="59">
        <f ca="1">AVERAGE(OFFSET($AM$3,0,0,'Données projet'!$E$10+1,1))-AVERAGE(OFFSET($H$3,0,0,'Données projet'!$E$10+1,1))</f>
        <v>424.81155998881928</v>
      </c>
      <c r="AO176" s="59">
        <f t="shared" si="144"/>
        <v>277.34430416544575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32.457613951086195</v>
      </c>
      <c r="AV176" s="21">
        <f>EXP(-LN(2)/25)*AV175+(1-EXP(-LN(2)/25))/(LN(2)/25)*Calculateur!AQ176*Calculateur!AS176*VLOOKUP('Données projet'!$B$10,Paramètres!$A$1:$I$89,3,0)*0.475*44/12</f>
        <v>4.3660078928629771</v>
      </c>
      <c r="AW176" s="21">
        <f>EXP(-LN(2)/2)*AW175+(1-EXP(-LN(2)/2))/(LN(2)/2)*AQ176*AT176*VLOOKUP('Données projet'!$B$10,Paramètres!$A$1:$I$89,3,0)*0.475*44/12</f>
        <v>6.1104892187372251E-10</v>
      </c>
      <c r="AX176" s="21">
        <f t="shared" si="166"/>
        <v>36.823621844560215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609.310572000001</v>
      </c>
      <c r="BF176" s="13">
        <f t="shared" si="167"/>
        <v>133.11762240478217</v>
      </c>
      <c r="BG176" s="20">
        <f t="shared" si="168"/>
        <v>1293.0624385883307</v>
      </c>
      <c r="BH176" s="59">
        <f t="shared" si="116"/>
        <v>1586.3957719216639</v>
      </c>
      <c r="BI176" s="59">
        <f ca="1">AVERAGE(OFFSET($BH$3,0,0,'Données projet'!$E$11+1,1))-AVERAGE(OFFSET($H$3,0,0,'Données projet'!$E$11+1,1))</f>
        <v>706.69239849991595</v>
      </c>
      <c r="BJ176" s="59">
        <f t="shared" si="146"/>
        <v>310.59887275116529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54.963183909026661</v>
      </c>
      <c r="BQ176" s="21">
        <f>EXP(-LN(2)/25)*BQ175+(1-EXP(-LN(2)/25))/(LN(2)/25)*Calculateur!BL176*Calculateur!BN176*VLOOKUP('Données projet'!$B$11,Paramètres!$A$1:$I$89,3,0)*0.475*44/12</f>
        <v>20.090688318986746</v>
      </c>
      <c r="BR176" s="21">
        <f>EXP(-LN(2)/2)*BR175+(1-EXP(-LN(2)/2))/(LN(2)/2)*BL176*BO176*VLOOKUP('Données projet'!$B$11,Paramètres!$A$1:$I$89,3,0)*0.475*44/12</f>
        <v>2.4117351182830204E-7</v>
      </c>
      <c r="BS176" s="22">
        <f t="shared" si="169"/>
        <v>75.053872469186913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2.5579538487363607E-13</v>
      </c>
      <c r="BZ176" s="13">
        <f>BY176*VLOOKUP('Données projet'!$B$12,Paramètres!$A$1:$I$89,3,0)*VLOOKUP('Données projet'!$B$12,Paramètres!$A$1:$I$89,5,0)</f>
        <v>2.4341488824575211E-13</v>
      </c>
      <c r="CA176" s="13">
        <f t="shared" si="170"/>
        <v>3.2970717324875541E-12</v>
      </c>
      <c r="CB176" s="20">
        <f t="shared" si="171"/>
        <v>6.1663475311105072E-12</v>
      </c>
      <c r="CC176" s="59">
        <f t="shared" si="119"/>
        <v>293.33333333333945</v>
      </c>
      <c r="CD176" s="59">
        <f ca="1">AVERAGE(OFFSET($CC$3,0,0,'Données projet'!$E$12+1,1))-AVERAGE(OFFSET($H$3,0,0,'Données projet'!$E$12+1,1))</f>
        <v>449.28947235329758</v>
      </c>
      <c r="CE176" s="59">
        <f t="shared" si="148"/>
        <v>289.36994109443964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50.700830275954502</v>
      </c>
      <c r="CL176" s="21">
        <f>EXP(-LN(2)/25)*CL175+(1-EXP(-LN(2)/25))/(LN(2)/25)*Calculateur!CG176*Calculateur!CI176*VLOOKUP('Données projet'!$B$12,Paramètres!$A$1:$I$89,3,0)*0.475*44/12</f>
        <v>7.5154626813381311</v>
      </c>
      <c r="CM176" s="21">
        <f>EXP(-LN(2)/2)*CM175+(1-EXP(-LN(2)/2))/(LN(2)/2)*CG176*CJ176*VLOOKUP('Données projet'!$B$12,Paramètres!$A$1:$I$89,3,0)*0.475*44/12</f>
        <v>2.4146583542800484E-6</v>
      </c>
      <c r="CN176" s="22">
        <f t="shared" si="172"/>
        <v>58.216295371950984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2.4829205358400945E-14</v>
      </c>
      <c r="CV176" s="13">
        <f t="shared" si="173"/>
        <v>4.3867331143352915E-13</v>
      </c>
      <c r="CW176" s="20">
        <f t="shared" si="174"/>
        <v>8.0726688341261168E-13</v>
      </c>
      <c r="CX176" s="59">
        <f t="shared" si="122"/>
        <v>293.33333333333411</v>
      </c>
      <c r="CY176" s="59">
        <f ca="1">AVERAGE(OFFSET($CX$3,0,0,'Données projet'!$E$13+1,1))-AVERAGE(OFFSET($H$3,0,0,'Données projet'!$E$13+1,1))</f>
        <v>261.93797831021766</v>
      </c>
      <c r="CZ176" s="59">
        <f t="shared" si="150"/>
        <v>256.90876395053073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5.2294088774663665</v>
      </c>
      <c r="DG176" s="21">
        <f>EXP(-LN(2)/25)*DG175+(1-EXP(-LN(2)/25))/(LN(2)/25)*Calculateur!DB176*Calculateur!DD176*VLOOKUP('Données projet'!$B$13,Paramètres!$A$1:$I$89,3,0)*0.475*44/12</f>
        <v>2.7695763388580157</v>
      </c>
      <c r="DH176" s="21">
        <f>EXP(-LN(2)/2)*DH175+(1-EXP(-LN(2)/2))/(LN(2)/2)*DB176*DE176*VLOOKUP('Données projet'!$B$13,Paramètres!$A$1:$I$89,3,0)*0.475*44/12</f>
        <v>4.5667273788136003E-13</v>
      </c>
      <c r="DI176" s="22">
        <f t="shared" si="175"/>
        <v>7.9989852163248383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3.979039320256561E-13</v>
      </c>
      <c r="O177" s="13">
        <f>N177*VLOOKUP('Données projet'!$B$9,Paramètres!$A$1:$I$89,3,0)*VLOOKUP('Données projet'!$B$9,Paramètres!$A$1:$I$89,5,0)</f>
        <v>3.6002347769681362E-13</v>
      </c>
      <c r="P177" s="13">
        <f t="shared" si="141"/>
        <v>4.6593569189922594E-12</v>
      </c>
      <c r="Q177" s="20">
        <f t="shared" si="162"/>
        <v>8.7420875242334695E-12</v>
      </c>
      <c r="R177" s="59">
        <f t="shared" si="109"/>
        <v>293.33333333334207</v>
      </c>
      <c r="S177" s="59">
        <f ca="1">AVERAGE(OFFSET($R$3,0,0,'Données projet'!$E$9+1,1))-AVERAGE(OFFSET($H$3,0,0,'Données projet'!$E$9+1,1))</f>
        <v>695.0879239758051</v>
      </c>
      <c r="T177" s="59">
        <f t="shared" si="142"/>
        <v>226.22150997227476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129.48390635101015</v>
      </c>
      <c r="AA177" s="21">
        <f>EXP(-LN(2)/25)*AA176+(1-EXP(-LN(2)/25))/(LN(2)/25)*Calculateur!V177*Calculateur!X177*VLOOKUP('Données projet'!$B$9,Paramètres!$A$1:$I$89,3,0)*0.475*44/12</f>
        <v>20.066382441450585</v>
      </c>
      <c r="AB177" s="21">
        <f>EXP(-LN(2)/2)*AB176+(1-EXP(-LN(2)/2))/(LN(2)/2)*V177*Y177*VLOOKUP('Données projet'!$B$9,Paramètres!$A$1:$I$89,3,0)*0.475*44/12</f>
        <v>6.2878768409728114E-2</v>
      </c>
      <c r="AC177" s="22">
        <f t="shared" si="163"/>
        <v>149.61316756087044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4.7884896048344674E-14</v>
      </c>
      <c r="AK177" s="13">
        <f t="shared" si="164"/>
        <v>7.8374629847779921E-13</v>
      </c>
      <c r="AL177" s="20">
        <f t="shared" si="165"/>
        <v>1.4484243304663672E-12</v>
      </c>
      <c r="AM177" s="59">
        <f t="shared" si="113"/>
        <v>293.33333333333474</v>
      </c>
      <c r="AN177" s="59">
        <f ca="1">AVERAGE(OFFSET($AM$3,0,0,'Données projet'!$E$10+1,1))-AVERAGE(OFFSET($H$3,0,0,'Données projet'!$E$10+1,1))</f>
        <v>424.81155998881928</v>
      </c>
      <c r="AO177" s="59">
        <f t="shared" si="144"/>
        <v>277.34430416544575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31.821139938695094</v>
      </c>
      <c r="AV177" s="21">
        <f>EXP(-LN(2)/25)*AV176+(1-EXP(-LN(2)/25))/(LN(2)/25)*Calculateur!AQ177*Calculateur!AS177*VLOOKUP('Données projet'!$B$10,Paramètres!$A$1:$I$89,3,0)*0.475*44/12</f>
        <v>4.2466191774342628</v>
      </c>
      <c r="AW177" s="21">
        <f>EXP(-LN(2)/2)*AW176+(1-EXP(-LN(2)/2))/(LN(2)/2)*AQ177*AT177*VLOOKUP('Données projet'!$B$10,Paramètres!$A$1:$I$89,3,0)*0.475*44/12</f>
        <v>4.3207683629363808E-10</v>
      </c>
      <c r="AX177" s="21">
        <f t="shared" si="166"/>
        <v>36.067759116561433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619.06728000000089</v>
      </c>
      <c r="BF177" s="13">
        <f t="shared" si="167"/>
        <v>134.99933513219278</v>
      </c>
      <c r="BG177" s="20">
        <f t="shared" si="168"/>
        <v>1313.332688021904</v>
      </c>
      <c r="BH177" s="59">
        <f t="shared" si="116"/>
        <v>1606.6660213552373</v>
      </c>
      <c r="BI177" s="59">
        <f ca="1">AVERAGE(OFFSET($BH$3,0,0,'Données projet'!$E$11+1,1))-AVERAGE(OFFSET($H$3,0,0,'Données projet'!$E$11+1,1))</f>
        <v>706.69239849991595</v>
      </c>
      <c r="BJ177" s="59">
        <f t="shared" si="146"/>
        <v>310.59887275116529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105.94216644426993</v>
      </c>
      <c r="BQ177" s="21">
        <f>EXP(-LN(2)/25)*BQ176+(1-EXP(-LN(2)/25))/(LN(2)/25)*Calculateur!BL177*Calculateur!BN177*VLOOKUP('Données projet'!$B$11,Paramètres!$A$1:$I$89,3,0)*0.475*44/12</f>
        <v>25.30261957716338</v>
      </c>
      <c r="BR177" s="21">
        <f>EXP(-LN(2)/2)*BR176+(1-EXP(-LN(2)/2))/(LN(2)/2)*BL177*BO177*VLOOKUP('Données projet'!$B$11,Paramètres!$A$1:$I$89,3,0)*0.475*44/12</f>
        <v>11.480835667453793</v>
      </c>
      <c r="BS177" s="22">
        <f t="shared" si="169"/>
        <v>142.72562168888709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2.5579538487363607E-13</v>
      </c>
      <c r="BZ177" s="13">
        <f>BY177*VLOOKUP('Données projet'!$B$12,Paramètres!$A$1:$I$89,3,0)*VLOOKUP('Données projet'!$B$12,Paramètres!$A$1:$I$89,5,0)</f>
        <v>2.4341488824575211E-13</v>
      </c>
      <c r="CA177" s="13">
        <f t="shared" si="170"/>
        <v>3.2970717324875541E-12</v>
      </c>
      <c r="CB177" s="20">
        <f t="shared" si="171"/>
        <v>6.1663475311105072E-12</v>
      </c>
      <c r="CC177" s="59">
        <f t="shared" si="119"/>
        <v>293.33333333333945</v>
      </c>
      <c r="CD177" s="59">
        <f ca="1">AVERAGE(OFFSET($CC$3,0,0,'Données projet'!$E$12+1,1))-AVERAGE(OFFSET($H$3,0,0,'Données projet'!$E$12+1,1))</f>
        <v>449.28947235329758</v>
      </c>
      <c r="CE177" s="59">
        <f t="shared" si="148"/>
        <v>289.36994109443964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49.706617918695969</v>
      </c>
      <c r="CL177" s="21">
        <f>EXP(-LN(2)/25)*CL176+(1-EXP(-LN(2)/25))/(LN(2)/25)*Calculateur!CG177*Calculateur!CI177*VLOOKUP('Données projet'!$B$12,Paramètres!$A$1:$I$89,3,0)*0.475*44/12</f>
        <v>7.3099519590959341</v>
      </c>
      <c r="CM177" s="21">
        <f>EXP(-LN(2)/2)*CM176+(1-EXP(-LN(2)/2))/(LN(2)/2)*CG177*CJ177*VLOOKUP('Données projet'!$B$12,Paramètres!$A$1:$I$89,3,0)*0.475*44/12</f>
        <v>1.7074212965601712E-6</v>
      </c>
      <c r="CN177" s="22">
        <f t="shared" si="172"/>
        <v>57.0165715852132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2.4829205358400945E-14</v>
      </c>
      <c r="CV177" s="13">
        <f t="shared" si="173"/>
        <v>4.3867331143352915E-13</v>
      </c>
      <c r="CW177" s="20">
        <f t="shared" si="174"/>
        <v>8.0726688341261168E-13</v>
      </c>
      <c r="CX177" s="59">
        <f t="shared" si="122"/>
        <v>293.33333333333411</v>
      </c>
      <c r="CY177" s="59">
        <f ca="1">AVERAGE(OFFSET($CX$3,0,0,'Données projet'!$E$13+1,1))-AVERAGE(OFFSET($H$3,0,0,'Données projet'!$E$13+1,1))</f>
        <v>261.93797831021766</v>
      </c>
      <c r="CZ177" s="59">
        <f t="shared" si="150"/>
        <v>256.90876395053073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5.1268633590037167</v>
      </c>
      <c r="DG177" s="21">
        <f>EXP(-LN(2)/25)*DG176+(1-EXP(-LN(2)/25))/(LN(2)/25)*Calculateur!DB177*Calculateur!DD177*VLOOKUP('Données projet'!$B$13,Paramètres!$A$1:$I$89,3,0)*0.475*44/12</f>
        <v>2.6938421282262537</v>
      </c>
      <c r="DH177" s="21">
        <f>EXP(-LN(2)/2)*DH176+(1-EXP(-LN(2)/2))/(LN(2)/2)*DB177*DE177*VLOOKUP('Données projet'!$B$13,Paramètres!$A$1:$I$89,3,0)*0.475*44/12</f>
        <v>3.2291638973893642E-13</v>
      </c>
      <c r="DI177" s="22">
        <f t="shared" si="175"/>
        <v>7.8207054872302937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3.979039320256561E-13</v>
      </c>
      <c r="O178" s="13">
        <f>N178*VLOOKUP('Données projet'!$B$9,Paramètres!$A$1:$I$89,3,0)*VLOOKUP('Données projet'!$B$9,Paramètres!$A$1:$I$89,5,0)</f>
        <v>3.6002347769681362E-13</v>
      </c>
      <c r="P178" s="13">
        <f t="shared" si="141"/>
        <v>4.6593569189922594E-12</v>
      </c>
      <c r="Q178" s="20">
        <f t="shared" si="162"/>
        <v>8.7420875242334695E-12</v>
      </c>
      <c r="R178" s="59">
        <f t="shared" si="109"/>
        <v>293.33333333334207</v>
      </c>
      <c r="S178" s="59">
        <f ca="1">AVERAGE(OFFSET($R$3,0,0,'Données projet'!$E$9+1,1))-AVERAGE(OFFSET($H$3,0,0,'Données projet'!$E$9+1,1))</f>
        <v>695.0879239758051</v>
      </c>
      <c r="T178" s="59">
        <f t="shared" si="142"/>
        <v>226.22150997227476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126.94480592485134</v>
      </c>
      <c r="AA178" s="21">
        <f>EXP(-LN(2)/25)*AA177+(1-EXP(-LN(2)/25))/(LN(2)/25)*Calculateur!V178*Calculateur!X178*VLOOKUP('Données projet'!$B$9,Paramètres!$A$1:$I$89,3,0)*0.475*44/12</f>
        <v>19.517666158343928</v>
      </c>
      <c r="AB178" s="21">
        <f>EXP(-LN(2)/2)*AB177+(1-EXP(-LN(2)/2))/(LN(2)/2)*V178*Y178*VLOOKUP('Données projet'!$B$9,Paramètres!$A$1:$I$89,3,0)*0.475*44/12</f>
        <v>4.4462003535177215E-2</v>
      </c>
      <c r="AC178" s="22">
        <f t="shared" si="163"/>
        <v>146.50693408673047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4.7884896048344674E-14</v>
      </c>
      <c r="AK178" s="13">
        <f t="shared" si="164"/>
        <v>7.8374629847779921E-13</v>
      </c>
      <c r="AL178" s="20">
        <f t="shared" si="165"/>
        <v>1.4484243304663672E-12</v>
      </c>
      <c r="AM178" s="59">
        <f t="shared" si="113"/>
        <v>293.33333333333474</v>
      </c>
      <c r="AN178" s="59">
        <f ca="1">AVERAGE(OFFSET($AM$3,0,0,'Données projet'!$E$10+1,1))-AVERAGE(OFFSET($H$3,0,0,'Données projet'!$E$10+1,1))</f>
        <v>424.81155998881928</v>
      </c>
      <c r="AO178" s="59">
        <f t="shared" si="144"/>
        <v>277.34430416544575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31.197146793476168</v>
      </c>
      <c r="AV178" s="21">
        <f>EXP(-LN(2)/25)*AV177+(1-EXP(-LN(2)/25))/(LN(2)/25)*Calculateur!AQ178*Calculateur!AS178*VLOOKUP('Données projet'!$B$10,Paramètres!$A$1:$I$89,3,0)*0.475*44/12</f>
        <v>4.1304951527073257</v>
      </c>
      <c r="AW178" s="21">
        <f>EXP(-LN(2)/2)*AW177+(1-EXP(-LN(2)/2))/(LN(2)/2)*AQ178*AT178*VLOOKUP('Données projet'!$B$10,Paramètres!$A$1:$I$89,3,0)*0.475*44/12</f>
        <v>3.0552446093686126E-10</v>
      </c>
      <c r="AX178" s="21">
        <f t="shared" si="166"/>
        <v>35.327641946489017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381.93324000000092</v>
      </c>
      <c r="BF178" s="13">
        <f t="shared" si="167"/>
        <v>88.104112736615605</v>
      </c>
      <c r="BG178" s="20">
        <f t="shared" si="168"/>
        <v>818.64838934960699</v>
      </c>
      <c r="BH178" s="59">
        <f t="shared" si="116"/>
        <v>1111.9817226829402</v>
      </c>
      <c r="BI178" s="59">
        <f ca="1">AVERAGE(OFFSET($BH$3,0,0,'Données projet'!$E$11+1,1))-AVERAGE(OFFSET($H$3,0,0,'Données projet'!$E$11+1,1))</f>
        <v>706.69239849991595</v>
      </c>
      <c r="BJ178" s="59">
        <f t="shared" si="146"/>
        <v>310.59887275116529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103.8647051786388</v>
      </c>
      <c r="BQ178" s="21">
        <f>EXP(-LN(2)/25)*BQ177+(1-EXP(-LN(2)/25))/(LN(2)/25)*Calculateur!BL178*Calculateur!BN178*VLOOKUP('Données projet'!$B$11,Paramètres!$A$1:$I$89,3,0)*0.475*44/12</f>
        <v>24.610718114218916</v>
      </c>
      <c r="BR178" s="21">
        <f>EXP(-LN(2)/2)*BR177+(1-EXP(-LN(2)/2))/(LN(2)/2)*BL178*BO178*VLOOKUP('Données projet'!$B$11,Paramètres!$A$1:$I$89,3,0)*0.475*44/12</f>
        <v>8.1181767541449599</v>
      </c>
      <c r="BS178" s="22">
        <f t="shared" si="169"/>
        <v>136.5936000470027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2.5579538487363607E-13</v>
      </c>
      <c r="BZ178" s="13">
        <f>BY178*VLOOKUP('Données projet'!$B$12,Paramètres!$A$1:$I$89,3,0)*VLOOKUP('Données projet'!$B$12,Paramètres!$A$1:$I$89,5,0)</f>
        <v>2.4341488824575211E-13</v>
      </c>
      <c r="CA178" s="13">
        <f t="shared" si="170"/>
        <v>3.2970717324875541E-12</v>
      </c>
      <c r="CB178" s="20">
        <f t="shared" si="171"/>
        <v>6.1663475311105072E-12</v>
      </c>
      <c r="CC178" s="59">
        <f t="shared" si="119"/>
        <v>293.33333333333945</v>
      </c>
      <c r="CD178" s="59">
        <f ca="1">AVERAGE(OFFSET($CC$3,0,0,'Données projet'!$E$12+1,1))-AVERAGE(OFFSET($H$3,0,0,'Données projet'!$E$12+1,1))</f>
        <v>449.28947235329758</v>
      </c>
      <c r="CE178" s="59">
        <f t="shared" si="148"/>
        <v>289.36994109443964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48.731901459353615</v>
      </c>
      <c r="CL178" s="21">
        <f>EXP(-LN(2)/25)*CL177+(1-EXP(-LN(2)/25))/(LN(2)/25)*Calculateur!CG178*Calculateur!CI178*VLOOKUP('Données projet'!$B$12,Paramètres!$A$1:$I$89,3,0)*0.475*44/12</f>
        <v>7.1100609383607898</v>
      </c>
      <c r="CM178" s="21">
        <f>EXP(-LN(2)/2)*CM177+(1-EXP(-LN(2)/2))/(LN(2)/2)*CG178*CJ178*VLOOKUP('Données projet'!$B$12,Paramètres!$A$1:$I$89,3,0)*0.475*44/12</f>
        <v>1.2073291771400242E-6</v>
      </c>
      <c r="CN178" s="22">
        <f t="shared" si="172"/>
        <v>55.841963605043581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2.4829205358400945E-14</v>
      </c>
      <c r="CV178" s="13">
        <f t="shared" si="173"/>
        <v>4.3867331143352915E-13</v>
      </c>
      <c r="CW178" s="20">
        <f t="shared" si="174"/>
        <v>8.0726688341261168E-13</v>
      </c>
      <c r="CX178" s="59">
        <f t="shared" si="122"/>
        <v>293.33333333333411</v>
      </c>
      <c r="CY178" s="59">
        <f ca="1">AVERAGE(OFFSET($CX$3,0,0,'Données projet'!$E$13+1,1))-AVERAGE(OFFSET($H$3,0,0,'Données projet'!$E$13+1,1))</f>
        <v>261.93797831021766</v>
      </c>
      <c r="CZ178" s="59">
        <f t="shared" si="150"/>
        <v>256.90876395053073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5.0263286956115296</v>
      </c>
      <c r="DG178" s="21">
        <f>EXP(-LN(2)/25)*DG177+(1-EXP(-LN(2)/25))/(LN(2)/25)*Calculateur!DB178*Calculateur!DD178*VLOOKUP('Données projet'!$B$13,Paramètres!$A$1:$I$89,3,0)*0.475*44/12</f>
        <v>2.620178873566906</v>
      </c>
      <c r="DH178" s="21">
        <f>EXP(-LN(2)/2)*DH177+(1-EXP(-LN(2)/2))/(LN(2)/2)*DB178*DE178*VLOOKUP('Données projet'!$B$13,Paramètres!$A$1:$I$89,3,0)*0.475*44/12</f>
        <v>2.2833636894068001E-13</v>
      </c>
      <c r="DI178" s="22">
        <f t="shared" si="175"/>
        <v>7.6465075691786639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3.979039320256561E-13</v>
      </c>
      <c r="O179" s="13">
        <f>N179*VLOOKUP('Données projet'!$B$9,Paramètres!$A$1:$I$89,3,0)*VLOOKUP('Données projet'!$B$9,Paramètres!$A$1:$I$89,5,0)</f>
        <v>3.6002347769681362E-13</v>
      </c>
      <c r="P179" s="13">
        <f t="shared" si="141"/>
        <v>4.6593569189922594E-12</v>
      </c>
      <c r="Q179" s="20">
        <f t="shared" si="162"/>
        <v>8.7420875242334695E-12</v>
      </c>
      <c r="R179" s="59">
        <f t="shared" si="109"/>
        <v>293.33333333334207</v>
      </c>
      <c r="S179" s="59">
        <f ca="1">AVERAGE(OFFSET($R$3,0,0,'Données projet'!$E$9+1,1))-AVERAGE(OFFSET($H$3,0,0,'Données projet'!$E$9+1,1))</f>
        <v>695.0879239758051</v>
      </c>
      <c r="T179" s="59">
        <f t="shared" si="142"/>
        <v>226.22150997227476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124.45549570935117</v>
      </c>
      <c r="AA179" s="21">
        <f>EXP(-LN(2)/25)*AA178+(1-EXP(-LN(2)/25))/(LN(2)/25)*Calculateur!V179*Calculateur!X179*VLOOKUP('Données projet'!$B$9,Paramètres!$A$1:$I$89,3,0)*0.475*44/12</f>
        <v>18.983954550854559</v>
      </c>
      <c r="AB179" s="21">
        <f>EXP(-LN(2)/2)*AB178+(1-EXP(-LN(2)/2))/(LN(2)/2)*V179*Y179*VLOOKUP('Données projet'!$B$9,Paramètres!$A$1:$I$89,3,0)*0.475*44/12</f>
        <v>3.1439384204864057E-2</v>
      </c>
      <c r="AC179" s="22">
        <f t="shared" si="163"/>
        <v>143.47088964441059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4.7884896048344674E-14</v>
      </c>
      <c r="AK179" s="13">
        <f t="shared" si="164"/>
        <v>7.8374629847779921E-13</v>
      </c>
      <c r="AL179" s="20">
        <f t="shared" si="165"/>
        <v>1.4484243304663672E-12</v>
      </c>
      <c r="AM179" s="59">
        <f t="shared" si="113"/>
        <v>293.33333333333474</v>
      </c>
      <c r="AN179" s="59">
        <f ca="1">AVERAGE(OFFSET($AM$3,0,0,'Données projet'!$E$10+1,1))-AVERAGE(OFFSET($H$3,0,0,'Données projet'!$E$10+1,1))</f>
        <v>424.81155998881928</v>
      </c>
      <c r="AO179" s="59">
        <f t="shared" si="144"/>
        <v>277.34430416544575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30.585389773236749</v>
      </c>
      <c r="AV179" s="21">
        <f>EXP(-LN(2)/25)*AV178+(1-EXP(-LN(2)/25))/(LN(2)/25)*Calculateur!AQ179*Calculateur!AS179*VLOOKUP('Données projet'!$B$10,Paramètres!$A$1:$I$89,3,0)*0.475*44/12</f>
        <v>4.0175465455432438</v>
      </c>
      <c r="AW179" s="21">
        <f>EXP(-LN(2)/2)*AW178+(1-EXP(-LN(2)/2))/(LN(2)/2)*AQ179*AT179*VLOOKUP('Données projet'!$B$10,Paramètres!$A$1:$I$89,3,0)*0.475*44/12</f>
        <v>2.1603841814681904E-10</v>
      </c>
      <c r="AX179" s="21">
        <f t="shared" si="166"/>
        <v>34.602936318996036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388.15920000000091</v>
      </c>
      <c r="BF179" s="13">
        <f t="shared" si="167"/>
        <v>89.37194271202209</v>
      </c>
      <c r="BG179" s="20">
        <f t="shared" si="168"/>
        <v>831.70007355677342</v>
      </c>
      <c r="BH179" s="59">
        <f t="shared" si="116"/>
        <v>1125.0334068901068</v>
      </c>
      <c r="BI179" s="59">
        <f ca="1">AVERAGE(OFFSET($BH$3,0,0,'Données projet'!$E$11+1,1))-AVERAGE(OFFSET($H$3,0,0,'Données projet'!$E$11+1,1))</f>
        <v>706.69239849991595</v>
      </c>
      <c r="BJ179" s="59">
        <f t="shared" si="146"/>
        <v>310.59887275116529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101.82798166130044</v>
      </c>
      <c r="BQ179" s="21">
        <f>EXP(-LN(2)/25)*BQ178+(1-EXP(-LN(2)/25))/(LN(2)/25)*Calculateur!BL179*Calculateur!BN179*VLOOKUP('Données projet'!$B$11,Paramètres!$A$1:$I$89,3,0)*0.475*44/12</f>
        <v>23.937736733164183</v>
      </c>
      <c r="BR179" s="21">
        <f>EXP(-LN(2)/2)*BR178+(1-EXP(-LN(2)/2))/(LN(2)/2)*BL179*BO179*VLOOKUP('Données projet'!$B$11,Paramètres!$A$1:$I$89,3,0)*0.475*44/12</f>
        <v>5.7404178337268972</v>
      </c>
      <c r="BS179" s="22">
        <f t="shared" si="169"/>
        <v>131.50613622819154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2.5579538487363607E-13</v>
      </c>
      <c r="BZ179" s="13">
        <f>BY179*VLOOKUP('Données projet'!$B$12,Paramètres!$A$1:$I$89,3,0)*VLOOKUP('Données projet'!$B$12,Paramètres!$A$1:$I$89,5,0)</f>
        <v>2.4341488824575211E-13</v>
      </c>
      <c r="CA179" s="13">
        <f t="shared" si="170"/>
        <v>3.2970717324875541E-12</v>
      </c>
      <c r="CB179" s="20">
        <f t="shared" si="171"/>
        <v>6.1663475311105072E-12</v>
      </c>
      <c r="CC179" s="59">
        <f t="shared" si="119"/>
        <v>293.33333333333945</v>
      </c>
      <c r="CD179" s="59">
        <f ca="1">AVERAGE(OFFSET($CC$3,0,0,'Données projet'!$E$12+1,1))-AVERAGE(OFFSET($H$3,0,0,'Données projet'!$E$12+1,1))</f>
        <v>449.28947235329758</v>
      </c>
      <c r="CE179" s="59">
        <f t="shared" si="148"/>
        <v>289.36994109443964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47.776298595260627</v>
      </c>
      <c r="CL179" s="21">
        <f>EXP(-LN(2)/25)*CL178+(1-EXP(-LN(2)/25))/(LN(2)/25)*Calculateur!CG179*Calculateur!CI179*VLOOKUP('Données projet'!$B$12,Paramètres!$A$1:$I$89,3,0)*0.475*44/12</f>
        <v>6.9156359480994594</v>
      </c>
      <c r="CM179" s="21">
        <f>EXP(-LN(2)/2)*CM178+(1-EXP(-LN(2)/2))/(LN(2)/2)*CG179*CJ179*VLOOKUP('Données projet'!$B$12,Paramètres!$A$1:$I$89,3,0)*0.475*44/12</f>
        <v>8.5371064828008559E-7</v>
      </c>
      <c r="CN179" s="22">
        <f t="shared" si="172"/>
        <v>54.691935397070729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2.4829205358400945E-14</v>
      </c>
      <c r="CV179" s="13">
        <f t="shared" si="173"/>
        <v>4.3867331143352915E-13</v>
      </c>
      <c r="CW179" s="20">
        <f t="shared" si="174"/>
        <v>8.0726688341261168E-13</v>
      </c>
      <c r="CX179" s="59">
        <f t="shared" si="122"/>
        <v>293.33333333333411</v>
      </c>
      <c r="CY179" s="59">
        <f ca="1">AVERAGE(OFFSET($CX$3,0,0,'Données projet'!$E$13+1,1))-AVERAGE(OFFSET($H$3,0,0,'Données projet'!$E$13+1,1))</f>
        <v>261.93797831021766</v>
      </c>
      <c r="CZ179" s="59">
        <f t="shared" si="150"/>
        <v>256.90876395053073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4.9277654556483732</v>
      </c>
      <c r="DG179" s="21">
        <f>EXP(-LN(2)/25)*DG178+(1-EXP(-LN(2)/25))/(LN(2)/25)*Calculateur!DB179*Calculateur!DD179*VLOOKUP('Données projet'!$B$13,Paramètres!$A$1:$I$89,3,0)*0.475*44/12</f>
        <v>2.5485299444800007</v>
      </c>
      <c r="DH179" s="21">
        <f>EXP(-LN(2)/2)*DH178+(1-EXP(-LN(2)/2))/(LN(2)/2)*DB179*DE179*VLOOKUP('Données projet'!$B$13,Paramètres!$A$1:$I$89,3,0)*0.475*44/12</f>
        <v>1.6145819486946821E-13</v>
      </c>
      <c r="DI179" s="22">
        <f t="shared" si="175"/>
        <v>7.4762954001285351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3.979039320256561E-13</v>
      </c>
      <c r="O180" s="13">
        <f>N180*VLOOKUP('Données projet'!$B$9,Paramètres!$A$1:$I$89,3,0)*VLOOKUP('Données projet'!$B$9,Paramètres!$A$1:$I$89,5,0)</f>
        <v>3.6002347769681362E-13</v>
      </c>
      <c r="P180" s="13">
        <f t="shared" si="141"/>
        <v>4.6593569189922594E-12</v>
      </c>
      <c r="Q180" s="20">
        <f t="shared" si="162"/>
        <v>8.7420875242334695E-12</v>
      </c>
      <c r="R180" s="59">
        <f t="shared" si="109"/>
        <v>293.33333333334207</v>
      </c>
      <c r="S180" s="59">
        <f ca="1">AVERAGE(OFFSET($R$3,0,0,'Données projet'!$E$9+1,1))-AVERAGE(OFFSET($H$3,0,0,'Données projet'!$E$9+1,1))</f>
        <v>695.0879239758051</v>
      </c>
      <c r="T180" s="59">
        <f t="shared" si="142"/>
        <v>226.22150997227476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122.01499934884765</v>
      </c>
      <c r="AA180" s="21">
        <f>EXP(-LN(2)/25)*AA179+(1-EXP(-LN(2)/25))/(LN(2)/25)*Calculateur!V180*Calculateur!X180*VLOOKUP('Données projet'!$B$9,Paramètres!$A$1:$I$89,3,0)*0.475*44/12</f>
        <v>18.464837315338659</v>
      </c>
      <c r="AB180" s="21">
        <f>EXP(-LN(2)/2)*AB179+(1-EXP(-LN(2)/2))/(LN(2)/2)*V180*Y180*VLOOKUP('Données projet'!$B$9,Paramètres!$A$1:$I$89,3,0)*0.475*44/12</f>
        <v>2.2231001767588607E-2</v>
      </c>
      <c r="AC180" s="22">
        <f t="shared" si="163"/>
        <v>140.50206766595389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4.7884896048344674E-14</v>
      </c>
      <c r="AK180" s="13">
        <f t="shared" si="164"/>
        <v>7.8374629847779921E-13</v>
      </c>
      <c r="AL180" s="20">
        <f t="shared" si="165"/>
        <v>1.4484243304663672E-12</v>
      </c>
      <c r="AM180" s="59">
        <f t="shared" si="113"/>
        <v>293.33333333333474</v>
      </c>
      <c r="AN180" s="59">
        <f ca="1">AVERAGE(OFFSET($AM$3,0,0,'Données projet'!$E$10+1,1))-AVERAGE(OFFSET($H$3,0,0,'Données projet'!$E$10+1,1))</f>
        <v>424.81155998881928</v>
      </c>
      <c r="AO180" s="59">
        <f t="shared" si="144"/>
        <v>277.34430416544575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29.985628935029286</v>
      </c>
      <c r="AV180" s="21">
        <f>EXP(-LN(2)/25)*AV179+(1-EXP(-LN(2)/25))/(LN(2)/25)*Calculateur!AQ180*Calculateur!AS180*VLOOKUP('Données projet'!$B$10,Paramètres!$A$1:$I$89,3,0)*0.475*44/12</f>
        <v>3.9076865239817731</v>
      </c>
      <c r="AW180" s="21">
        <f>EXP(-LN(2)/2)*AW179+(1-EXP(-LN(2)/2))/(LN(2)/2)*AQ180*AT180*VLOOKUP('Données projet'!$B$10,Paramètres!$A$1:$I$89,3,0)*0.475*44/12</f>
        <v>1.5276223046843063E-10</v>
      </c>
      <c r="AX180" s="21">
        <f t="shared" si="166"/>
        <v>33.893315459163816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394.38516000000089</v>
      </c>
      <c r="BF180" s="13">
        <f t="shared" si="167"/>
        <v>90.637407722136572</v>
      </c>
      <c r="BG180" s="20">
        <f t="shared" si="168"/>
        <v>844.74763878272279</v>
      </c>
      <c r="BH180" s="59">
        <f t="shared" si="116"/>
        <v>1138.080972116056</v>
      </c>
      <c r="BI180" s="59">
        <f ca="1">AVERAGE(OFFSET($BH$3,0,0,'Données projet'!$E$11+1,1))-AVERAGE(OFFSET($H$3,0,0,'Données projet'!$E$11+1,1))</f>
        <v>706.69239849991595</v>
      </c>
      <c r="BJ180" s="59">
        <f t="shared" si="146"/>
        <v>310.59887275116529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127.73796761205486</v>
      </c>
      <c r="BQ180" s="21">
        <f>EXP(-LN(2)/25)*BQ179+(1-EXP(-LN(2)/25))/(LN(2)/25)*Calculateur!BL180*Calculateur!BN180*VLOOKUP('Données projet'!$B$11,Paramètres!$A$1:$I$89,3,0)*0.475*44/12</f>
        <v>26.371701504829375</v>
      </c>
      <c r="BR180" s="21">
        <f>EXP(-LN(2)/2)*BR179+(1-EXP(-LN(2)/2))/(LN(2)/2)*BL180*BO180*VLOOKUP('Données projet'!$B$11,Paramètres!$A$1:$I$89,3,0)*0.475*44/12</f>
        <v>10.213772939712136</v>
      </c>
      <c r="BS180" s="22">
        <f t="shared" si="169"/>
        <v>164.32344205659635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2.5579538487363607E-13</v>
      </c>
      <c r="BZ180" s="13">
        <f>BY180*VLOOKUP('Données projet'!$B$12,Paramètres!$A$1:$I$89,3,0)*VLOOKUP('Données projet'!$B$12,Paramètres!$A$1:$I$89,5,0)</f>
        <v>2.4341488824575211E-13</v>
      </c>
      <c r="CA180" s="13">
        <f t="shared" si="170"/>
        <v>3.2970717324875541E-12</v>
      </c>
      <c r="CB180" s="20">
        <f t="shared" si="171"/>
        <v>6.1663475311105072E-12</v>
      </c>
      <c r="CC180" s="59">
        <f t="shared" si="119"/>
        <v>293.33333333333945</v>
      </c>
      <c r="CD180" s="59">
        <f ca="1">AVERAGE(OFFSET($CC$3,0,0,'Données projet'!$E$12+1,1))-AVERAGE(OFFSET($H$3,0,0,'Données projet'!$E$12+1,1))</f>
        <v>449.28947235329758</v>
      </c>
      <c r="CE180" s="59">
        <f t="shared" si="148"/>
        <v>289.36994109443964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46.839434520472309</v>
      </c>
      <c r="CL180" s="21">
        <f>EXP(-LN(2)/25)*CL179+(1-EXP(-LN(2)/25))/(LN(2)/25)*Calculateur!CG180*Calculateur!CI180*VLOOKUP('Données projet'!$B$12,Paramètres!$A$1:$I$89,3,0)*0.475*44/12</f>
        <v>6.7265275194211913</v>
      </c>
      <c r="CM180" s="21">
        <f>EXP(-LN(2)/2)*CM179+(1-EXP(-LN(2)/2))/(LN(2)/2)*CG180*CJ180*VLOOKUP('Données projet'!$B$12,Paramètres!$A$1:$I$89,3,0)*0.475*44/12</f>
        <v>6.0366458857001211E-7</v>
      </c>
      <c r="CN180" s="22">
        <f t="shared" si="172"/>
        <v>53.565962643558088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2.4829205358400945E-14</v>
      </c>
      <c r="CV180" s="13">
        <f t="shared" si="173"/>
        <v>4.3867331143352915E-13</v>
      </c>
      <c r="CW180" s="20">
        <f t="shared" si="174"/>
        <v>8.0726688341261168E-13</v>
      </c>
      <c r="CX180" s="59">
        <f t="shared" si="122"/>
        <v>293.33333333333411</v>
      </c>
      <c r="CY180" s="59">
        <f ca="1">AVERAGE(OFFSET($CX$3,0,0,'Données projet'!$E$13+1,1))-AVERAGE(OFFSET($H$3,0,0,'Données projet'!$E$13+1,1))</f>
        <v>261.93797831021766</v>
      </c>
      <c r="CZ180" s="59">
        <f t="shared" si="150"/>
        <v>256.90876395053073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4.8311349807032542</v>
      </c>
      <c r="DG180" s="21">
        <f>EXP(-LN(2)/25)*DG179+(1-EXP(-LN(2)/25))/(LN(2)/25)*Calculateur!DB180*Calculateur!DD180*VLOOKUP('Données projet'!$B$13,Paramètres!$A$1:$I$89,3,0)*0.475*44/12</f>
        <v>2.4788402591268301</v>
      </c>
      <c r="DH180" s="21">
        <f>EXP(-LN(2)/2)*DH179+(1-EXP(-LN(2)/2))/(LN(2)/2)*DB180*DE180*VLOOKUP('Données projet'!$B$13,Paramètres!$A$1:$I$89,3,0)*0.475*44/12</f>
        <v>1.1416818447034001E-13</v>
      </c>
      <c r="DI180" s="22">
        <f t="shared" si="175"/>
        <v>7.3099752398301989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3.979039320256561E-13</v>
      </c>
      <c r="O181" s="13">
        <f>N181*VLOOKUP('Données projet'!$B$9,Paramètres!$A$1:$I$89,3,0)*VLOOKUP('Données projet'!$B$9,Paramètres!$A$1:$I$89,5,0)</f>
        <v>3.6002347769681362E-13</v>
      </c>
      <c r="P181" s="13">
        <f t="shared" si="141"/>
        <v>4.6593569189922594E-12</v>
      </c>
      <c r="Q181" s="20">
        <f t="shared" si="162"/>
        <v>8.7420875242334695E-12</v>
      </c>
      <c r="R181" s="59">
        <f t="shared" si="109"/>
        <v>293.33333333334207</v>
      </c>
      <c r="S181" s="59">
        <f ca="1">AVERAGE(OFFSET($R$3,0,0,'Données projet'!$E$9+1,1))-AVERAGE(OFFSET($H$3,0,0,'Données projet'!$E$9+1,1))</f>
        <v>695.0879239758051</v>
      </c>
      <c r="T181" s="59">
        <f t="shared" si="142"/>
        <v>226.22150997227476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119.62235963341782</v>
      </c>
      <c r="AA181" s="21">
        <f>EXP(-LN(2)/25)*AA180+(1-EXP(-LN(2)/25))/(LN(2)/25)*Calculateur!V181*Calculateur!X181*VLOOKUP('Données projet'!$B$9,Paramètres!$A$1:$I$89,3,0)*0.475*44/12</f>
        <v>17.959915367927131</v>
      </c>
      <c r="AB181" s="21">
        <f>EXP(-LN(2)/2)*AB180+(1-EXP(-LN(2)/2))/(LN(2)/2)*V181*Y181*VLOOKUP('Données projet'!$B$9,Paramètres!$A$1:$I$89,3,0)*0.475*44/12</f>
        <v>1.5719692102432029E-2</v>
      </c>
      <c r="AC181" s="22">
        <f t="shared" si="163"/>
        <v>137.59799469344739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4.7884896048344674E-14</v>
      </c>
      <c r="AK181" s="13">
        <f t="shared" si="164"/>
        <v>7.8374629847779921E-13</v>
      </c>
      <c r="AL181" s="20">
        <f t="shared" si="165"/>
        <v>1.4484243304663672E-12</v>
      </c>
      <c r="AM181" s="59">
        <f t="shared" si="113"/>
        <v>293.33333333333474</v>
      </c>
      <c r="AN181" s="59">
        <f ca="1">AVERAGE(OFFSET($AM$3,0,0,'Données projet'!$E$10+1,1))-AVERAGE(OFFSET($H$3,0,0,'Données projet'!$E$10+1,1))</f>
        <v>424.81155998881928</v>
      </c>
      <c r="AO181" s="59">
        <f t="shared" si="144"/>
        <v>277.34430416544575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29.397629041041082</v>
      </c>
      <c r="AV181" s="21">
        <f>EXP(-LN(2)/25)*AV180+(1-EXP(-LN(2)/25))/(LN(2)/25)*Calculateur!AQ181*Calculateur!AS181*VLOOKUP('Données projet'!$B$10,Paramètres!$A$1:$I$89,3,0)*0.475*44/12</f>
        <v>3.8008306304871882</v>
      </c>
      <c r="AW181" s="21">
        <f>EXP(-LN(2)/2)*AW180+(1-EXP(-LN(2)/2))/(LN(2)/2)*AQ181*AT181*VLOOKUP('Données projet'!$B$10,Paramètres!$A$1:$I$89,3,0)*0.475*44/12</f>
        <v>1.0801920907340952E-10</v>
      </c>
      <c r="AX181" s="21">
        <f t="shared" si="166"/>
        <v>33.198459671636286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267.73656000000085</v>
      </c>
      <c r="BF181" s="13">
        <f t="shared" si="167"/>
        <v>64.368675094258279</v>
      </c>
      <c r="BG181" s="20">
        <f t="shared" si="168"/>
        <v>578.41661778916796</v>
      </c>
      <c r="BH181" s="59">
        <f t="shared" si="116"/>
        <v>871.74995112250122</v>
      </c>
      <c r="BI181" s="59">
        <f ca="1">AVERAGE(OFFSET($BH$3,0,0,'Données projet'!$E$11+1,1))-AVERAGE(OFFSET($H$3,0,0,'Données projet'!$E$11+1,1))</f>
        <v>706.69239849991595</v>
      </c>
      <c r="BJ181" s="59">
        <f t="shared" si="146"/>
        <v>310.59887275116529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125.23310397964948</v>
      </c>
      <c r="BQ181" s="21">
        <f>EXP(-LN(2)/25)*BQ180+(1-EXP(-LN(2)/25))/(LN(2)/25)*Calculateur!BL181*Calculateur!BN181*VLOOKUP('Données projet'!$B$11,Paramètres!$A$1:$I$89,3,0)*0.475*44/12</f>
        <v>25.650565940352308</v>
      </c>
      <c r="BR181" s="21">
        <f>EXP(-LN(2)/2)*BR180+(1-EXP(-LN(2)/2))/(LN(2)/2)*BL181*BO181*VLOOKUP('Données projet'!$B$11,Paramètres!$A$1:$I$89,3,0)*0.475*44/12</f>
        <v>7.2222281071701104</v>
      </c>
      <c r="BS181" s="22">
        <f t="shared" si="169"/>
        <v>158.10589802717192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2.5579538487363607E-13</v>
      </c>
      <c r="BZ181" s="13">
        <f>BY181*VLOOKUP('Données projet'!$B$12,Paramètres!$A$1:$I$89,3,0)*VLOOKUP('Données projet'!$B$12,Paramètres!$A$1:$I$89,5,0)</f>
        <v>2.4341488824575211E-13</v>
      </c>
      <c r="CA181" s="13">
        <f t="shared" si="170"/>
        <v>3.2970717324875541E-12</v>
      </c>
      <c r="CB181" s="20">
        <f t="shared" si="171"/>
        <v>6.1663475311105072E-12</v>
      </c>
      <c r="CC181" s="59">
        <f t="shared" si="119"/>
        <v>293.33333333333945</v>
      </c>
      <c r="CD181" s="59">
        <f ca="1">AVERAGE(OFFSET($CC$3,0,0,'Données projet'!$E$12+1,1))-AVERAGE(OFFSET($H$3,0,0,'Données projet'!$E$12+1,1))</f>
        <v>449.28947235329758</v>
      </c>
      <c r="CE181" s="59">
        <f t="shared" si="148"/>
        <v>289.36994109443964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45.920941778759925</v>
      </c>
      <c r="CL181" s="21">
        <f>EXP(-LN(2)/25)*CL180+(1-EXP(-LN(2)/25))/(LN(2)/25)*Calculateur!CG181*Calculateur!CI181*VLOOKUP('Données projet'!$B$12,Paramètres!$A$1:$I$89,3,0)*0.475*44/12</f>
        <v>6.5425902706699102</v>
      </c>
      <c r="CM181" s="21">
        <f>EXP(-LN(2)/2)*CM180+(1-EXP(-LN(2)/2))/(LN(2)/2)*CG181*CJ181*VLOOKUP('Données projet'!$B$12,Paramètres!$A$1:$I$89,3,0)*0.475*44/12</f>
        <v>4.2685532414004279E-7</v>
      </c>
      <c r="CN181" s="22">
        <f t="shared" si="172"/>
        <v>52.46353247628516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2.4829205358400945E-14</v>
      </c>
      <c r="CV181" s="13">
        <f t="shared" si="173"/>
        <v>4.3867331143352915E-13</v>
      </c>
      <c r="CW181" s="20">
        <f t="shared" si="174"/>
        <v>8.0726688341261168E-13</v>
      </c>
      <c r="CX181" s="59">
        <f t="shared" si="122"/>
        <v>293.33333333333411</v>
      </c>
      <c r="CY181" s="59">
        <f ca="1">AVERAGE(OFFSET($CX$3,0,0,'Données projet'!$E$13+1,1))-AVERAGE(OFFSET($H$3,0,0,'Données projet'!$E$13+1,1))</f>
        <v>261.93797831021766</v>
      </c>
      <c r="CZ181" s="59">
        <f t="shared" si="150"/>
        <v>256.90876395053073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4.7363993704330394</v>
      </c>
      <c r="DG181" s="21">
        <f>EXP(-LN(2)/25)*DG180+(1-EXP(-LN(2)/25))/(LN(2)/25)*Calculateur!DB181*Calculateur!DD181*VLOOKUP('Données projet'!$B$13,Paramètres!$A$1:$I$89,3,0)*0.475*44/12</f>
        <v>2.4110562418844634</v>
      </c>
      <c r="DH181" s="21">
        <f>EXP(-LN(2)/2)*DH180+(1-EXP(-LN(2)/2))/(LN(2)/2)*DB181*DE181*VLOOKUP('Données projet'!$B$13,Paramètres!$A$1:$I$89,3,0)*0.475*44/12</f>
        <v>8.0729097434734106E-14</v>
      </c>
      <c r="DI181" s="22">
        <f t="shared" si="175"/>
        <v>7.1474556123175832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3.979039320256561E-13</v>
      </c>
      <c r="O182" s="13">
        <f>N182*VLOOKUP('Données projet'!$B$9,Paramètres!$A$1:$I$89,3,0)*VLOOKUP('Données projet'!$B$9,Paramètres!$A$1:$I$89,5,0)</f>
        <v>3.6002347769681362E-13</v>
      </c>
      <c r="P182" s="13">
        <f t="shared" si="141"/>
        <v>4.6593569189922594E-12</v>
      </c>
      <c r="Q182" s="20">
        <f t="shared" si="162"/>
        <v>8.7420875242334695E-12</v>
      </c>
      <c r="R182" s="59">
        <f t="shared" si="109"/>
        <v>293.33333333334207</v>
      </c>
      <c r="S182" s="59">
        <f ca="1">AVERAGE(OFFSET($R$3,0,0,'Données projet'!$E$9+1,1))-AVERAGE(OFFSET($H$3,0,0,'Données projet'!$E$9+1,1))</f>
        <v>695.0879239758051</v>
      </c>
      <c r="T182" s="59">
        <f t="shared" si="142"/>
        <v>226.22150997227476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117.27663812344143</v>
      </c>
      <c r="AA182" s="21">
        <f>EXP(-LN(2)/25)*AA181+(1-EXP(-LN(2)/25))/(LN(2)/25)*Calculateur!V182*Calculateur!X182*VLOOKUP('Données projet'!$B$9,Paramètres!$A$1:$I$89,3,0)*0.475*44/12</f>
        <v>17.468800537720263</v>
      </c>
      <c r="AB182" s="21">
        <f>EXP(-LN(2)/2)*AB181+(1-EXP(-LN(2)/2))/(LN(2)/2)*V182*Y182*VLOOKUP('Données projet'!$B$9,Paramètres!$A$1:$I$89,3,0)*0.475*44/12</f>
        <v>1.1115500883794304E-2</v>
      </c>
      <c r="AC182" s="22">
        <f t="shared" si="163"/>
        <v>134.75655416204549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4.7884896048344674E-14</v>
      </c>
      <c r="AK182" s="13">
        <f t="shared" si="164"/>
        <v>7.8374629847779921E-13</v>
      </c>
      <c r="AL182" s="20">
        <f t="shared" si="165"/>
        <v>1.4484243304663672E-12</v>
      </c>
      <c r="AM182" s="59">
        <f t="shared" si="113"/>
        <v>293.33333333333474</v>
      </c>
      <c r="AN182" s="59">
        <f ca="1">AVERAGE(OFFSET($AM$3,0,0,'Données projet'!$E$10+1,1))-AVERAGE(OFFSET($H$3,0,0,'Données projet'!$E$10+1,1))</f>
        <v>424.81155998881928</v>
      </c>
      <c r="AO182" s="59">
        <f t="shared" si="144"/>
        <v>277.34430416544575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28.821159466329462</v>
      </c>
      <c r="AV182" s="21">
        <f>EXP(-LN(2)/25)*AV181+(1-EXP(-LN(2)/25))/(LN(2)/25)*Calculateur!AQ182*Calculateur!AS182*VLOOKUP('Données projet'!$B$10,Paramètres!$A$1:$I$89,3,0)*0.475*44/12</f>
        <v>3.6968967170195199</v>
      </c>
      <c r="AW182" s="21">
        <f>EXP(-LN(2)/2)*AW181+(1-EXP(-LN(2)/2))/(LN(2)/2)*AQ182*AT182*VLOOKUP('Données projet'!$B$10,Paramètres!$A$1:$I$89,3,0)*0.475*44/12</f>
        <v>7.6381115234215314E-11</v>
      </c>
      <c r="AX182" s="21">
        <f t="shared" si="166"/>
        <v>32.518056183425365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271.54920000000084</v>
      </c>
      <c r="BF182" s="13">
        <f t="shared" si="167"/>
        <v>65.177939068610073</v>
      </c>
      <c r="BG182" s="20">
        <f t="shared" si="168"/>
        <v>586.46643387783058</v>
      </c>
      <c r="BH182" s="59">
        <f t="shared" si="116"/>
        <v>879.79976721116395</v>
      </c>
      <c r="BI182" s="59">
        <f ca="1">AVERAGE(OFFSET($BH$3,0,0,'Données projet'!$E$11+1,1))-AVERAGE(OFFSET($H$3,0,0,'Données projet'!$E$11+1,1))</f>
        <v>706.69239849991595</v>
      </c>
      <c r="BJ182" s="59">
        <f t="shared" si="146"/>
        <v>310.59887275116529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122.77735919525963</v>
      </c>
      <c r="BQ182" s="21">
        <f>EXP(-LN(2)/25)*BQ181+(1-EXP(-LN(2)/25))/(LN(2)/25)*Calculateur!BL182*Calculateur!BN182*VLOOKUP('Données projet'!$B$11,Paramètres!$A$1:$I$89,3,0)*0.475*44/12</f>
        <v>24.949149865808735</v>
      </c>
      <c r="BR182" s="21">
        <f>EXP(-LN(2)/2)*BR181+(1-EXP(-LN(2)/2))/(LN(2)/2)*BL182*BO182*VLOOKUP('Données projet'!$B$11,Paramètres!$A$1:$I$89,3,0)*0.475*44/12</f>
        <v>5.106886469856069</v>
      </c>
      <c r="BS182" s="22">
        <f t="shared" si="169"/>
        <v>152.83339553092446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2.5579538487363607E-13</v>
      </c>
      <c r="BZ182" s="13">
        <f>BY182*VLOOKUP('Données projet'!$B$12,Paramètres!$A$1:$I$89,3,0)*VLOOKUP('Données projet'!$B$12,Paramètres!$A$1:$I$89,5,0)</f>
        <v>2.4341488824575211E-13</v>
      </c>
      <c r="CA182" s="13">
        <f t="shared" si="170"/>
        <v>3.2970717324875541E-12</v>
      </c>
      <c r="CB182" s="20">
        <f t="shared" si="171"/>
        <v>6.1663475311105072E-12</v>
      </c>
      <c r="CC182" s="59">
        <f t="shared" si="119"/>
        <v>293.33333333333945</v>
      </c>
      <c r="CD182" s="59">
        <f ca="1">AVERAGE(OFFSET($CC$3,0,0,'Données projet'!$E$12+1,1))-AVERAGE(OFFSET($H$3,0,0,'Données projet'!$E$12+1,1))</f>
        <v>449.28947235329758</v>
      </c>
      <c r="CE182" s="59">
        <f t="shared" si="148"/>
        <v>289.36994109443964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45.020460119487268</v>
      </c>
      <c r="CL182" s="21">
        <f>EXP(-LN(2)/25)*CL181+(1-EXP(-LN(2)/25))/(LN(2)/25)*Calculateur!CG182*Calculateur!CI182*VLOOKUP('Données projet'!$B$12,Paramètres!$A$1:$I$89,3,0)*0.475*44/12</f>
        <v>6.3636827956585726</v>
      </c>
      <c r="CM182" s="21">
        <f>EXP(-LN(2)/2)*CM181+(1-EXP(-LN(2)/2))/(LN(2)/2)*CG182*CJ182*VLOOKUP('Données projet'!$B$12,Paramètres!$A$1:$I$89,3,0)*0.475*44/12</f>
        <v>3.0183229428500605E-7</v>
      </c>
      <c r="CN182" s="22">
        <f t="shared" si="172"/>
        <v>51.384143216978138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2.4829205358400945E-14</v>
      </c>
      <c r="CV182" s="13">
        <f t="shared" si="173"/>
        <v>4.3867331143352915E-13</v>
      </c>
      <c r="CW182" s="20">
        <f t="shared" si="174"/>
        <v>8.0726688341261168E-13</v>
      </c>
      <c r="CX182" s="59">
        <f t="shared" si="122"/>
        <v>293.33333333333411</v>
      </c>
      <c r="CY182" s="59">
        <f ca="1">AVERAGE(OFFSET($CX$3,0,0,'Données projet'!$E$13+1,1))-AVERAGE(OFFSET($H$3,0,0,'Données projet'!$E$13+1,1))</f>
        <v>261.93797831021766</v>
      </c>
      <c r="CZ182" s="59">
        <f t="shared" si="150"/>
        <v>256.90876395053073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4.6435214676972061</v>
      </c>
      <c r="DG182" s="21">
        <f>EXP(-LN(2)/25)*DG181+(1-EXP(-LN(2)/25))/(LN(2)/25)*Calculateur!DB182*Calculateur!DD182*VLOOKUP('Données projet'!$B$13,Paramètres!$A$1:$I$89,3,0)*0.475*44/12</f>
        <v>2.3451257821581954</v>
      </c>
      <c r="DH182" s="21">
        <f>EXP(-LN(2)/2)*DH181+(1-EXP(-LN(2)/2))/(LN(2)/2)*DB182*DE182*VLOOKUP('Données projet'!$B$13,Paramètres!$A$1:$I$89,3,0)*0.475*44/12</f>
        <v>5.7084092235170003E-14</v>
      </c>
      <c r="DI182" s="22">
        <f t="shared" si="175"/>
        <v>6.9886472498554584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3.979039320256561E-13</v>
      </c>
      <c r="O183" s="13">
        <f>N183*VLOOKUP('Données projet'!$B$9,Paramètres!$A$1:$I$89,3,0)*VLOOKUP('Données projet'!$B$9,Paramètres!$A$1:$I$89,5,0)</f>
        <v>3.6002347769681362E-13</v>
      </c>
      <c r="P183" s="13">
        <f t="shared" si="141"/>
        <v>4.6593569189922594E-12</v>
      </c>
      <c r="Q183" s="20">
        <f t="shared" si="162"/>
        <v>8.7420875242334695E-12</v>
      </c>
      <c r="R183" s="59">
        <f t="shared" si="109"/>
        <v>293.33333333334207</v>
      </c>
      <c r="S183" s="59">
        <f ca="1">AVERAGE(OFFSET($R$3,0,0,'Données projet'!$E$9+1,1))-AVERAGE(OFFSET($H$3,0,0,'Données projet'!$E$9+1,1))</f>
        <v>695.0879239758051</v>
      </c>
      <c r="T183" s="59">
        <f t="shared" si="142"/>
        <v>226.22150997227476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114.97691478152683</v>
      </c>
      <c r="AA183" s="21">
        <f>EXP(-LN(2)/25)*AA182+(1-EXP(-LN(2)/25))/(LN(2)/25)*Calculateur!V183*Calculateur!X183*VLOOKUP('Données projet'!$B$9,Paramètres!$A$1:$I$89,3,0)*0.475*44/12</f>
        <v>16.991115268372006</v>
      </c>
      <c r="AB183" s="21">
        <f>EXP(-LN(2)/2)*AB182+(1-EXP(-LN(2)/2))/(LN(2)/2)*V183*Y183*VLOOKUP('Données projet'!$B$9,Paramètres!$A$1:$I$89,3,0)*0.475*44/12</f>
        <v>7.8598460512160143E-3</v>
      </c>
      <c r="AC183" s="22">
        <f t="shared" si="163"/>
        <v>131.97588989595005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4.7884896048344674E-14</v>
      </c>
      <c r="AK183" s="13">
        <f t="shared" si="164"/>
        <v>7.8374629847779921E-13</v>
      </c>
      <c r="AL183" s="20">
        <f t="shared" si="165"/>
        <v>1.4484243304663672E-12</v>
      </c>
      <c r="AM183" s="59">
        <f t="shared" si="113"/>
        <v>293.33333333333474</v>
      </c>
      <c r="AN183" s="59">
        <f ca="1">AVERAGE(OFFSET($AM$3,0,0,'Données projet'!$E$10+1,1))-AVERAGE(OFFSET($H$3,0,0,'Données projet'!$E$10+1,1))</f>
        <v>424.81155998881928</v>
      </c>
      <c r="AO183" s="59">
        <f t="shared" si="144"/>
        <v>277.34430416544575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28.255994108366217</v>
      </c>
      <c r="AV183" s="21">
        <f>EXP(-LN(2)/25)*AV182+(1-EXP(-LN(2)/25))/(LN(2)/25)*Calculateur!AQ183*Calculateur!AS183*VLOOKUP('Données projet'!$B$10,Paramètres!$A$1:$I$89,3,0)*0.475*44/12</f>
        <v>3.5958048818812722</v>
      </c>
      <c r="AW183" s="21">
        <f>EXP(-LN(2)/2)*AW182+(1-EXP(-LN(2)/2))/(LN(2)/2)*AQ183*AT183*VLOOKUP('Données projet'!$B$10,Paramètres!$A$1:$I$89,3,0)*0.475*44/12</f>
        <v>5.4009604536704761E-11</v>
      </c>
      <c r="AX183" s="21">
        <f t="shared" si="166"/>
        <v>31.851798990301496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275.36184000000083</v>
      </c>
      <c r="BF183" s="13">
        <f t="shared" si="167"/>
        <v>65.985881501741488</v>
      </c>
      <c r="BG183" s="20">
        <f t="shared" si="168"/>
        <v>594.51394828220111</v>
      </c>
      <c r="BH183" s="59">
        <f t="shared" si="116"/>
        <v>887.84728161553448</v>
      </c>
      <c r="BI183" s="59">
        <f ca="1">AVERAGE(OFFSET($BH$3,0,0,'Données projet'!$E$11+1,1))-AVERAGE(OFFSET($H$3,0,0,'Données projet'!$E$11+1,1))</f>
        <v>706.69239849991595</v>
      </c>
      <c r="BJ183" s="59">
        <f t="shared" si="146"/>
        <v>310.59887275116529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139.23384465081122</v>
      </c>
      <c r="BQ183" s="21">
        <f>EXP(-LN(2)/25)*BQ182+(1-EXP(-LN(2)/25))/(LN(2)/25)*Calculateur!BL183*Calculateur!BN183*VLOOKUP('Données projet'!$B$11,Paramètres!$A$1:$I$89,3,0)*0.475*44/12</f>
        <v>26.35466955439481</v>
      </c>
      <c r="BR183" s="21">
        <f>EXP(-LN(2)/2)*BR182+(1-EXP(-LN(2)/2))/(LN(2)/2)*BL183*BO183*VLOOKUP('Données projet'!$B$11,Paramètres!$A$1:$I$89,3,0)*0.475*44/12</f>
        <v>7.771481816780847</v>
      </c>
      <c r="BS183" s="22">
        <f t="shared" si="169"/>
        <v>173.35999602198686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2.5579538487363607E-13</v>
      </c>
      <c r="BZ183" s="13">
        <f>BY183*VLOOKUP('Données projet'!$B$12,Paramètres!$A$1:$I$89,3,0)*VLOOKUP('Données projet'!$B$12,Paramètres!$A$1:$I$89,5,0)</f>
        <v>2.4341488824575211E-13</v>
      </c>
      <c r="CA183" s="13">
        <f t="shared" si="170"/>
        <v>3.2970717324875541E-12</v>
      </c>
      <c r="CB183" s="20">
        <f t="shared" si="171"/>
        <v>6.1663475311105072E-12</v>
      </c>
      <c r="CC183" s="59">
        <f t="shared" si="119"/>
        <v>293.33333333333945</v>
      </c>
      <c r="CD183" s="59">
        <f ca="1">AVERAGE(OFFSET($CC$3,0,0,'Données projet'!$E$12+1,1))-AVERAGE(OFFSET($H$3,0,0,'Données projet'!$E$12+1,1))</f>
        <v>449.28947235329758</v>
      </c>
      <c r="CE183" s="59">
        <f t="shared" si="148"/>
        <v>289.36994109443964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44.137636356313365</v>
      </c>
      <c r="CL183" s="21">
        <f>EXP(-LN(2)/25)*CL182+(1-EXP(-LN(2)/25))/(LN(2)/25)*Calculateur!CG183*Calculateur!CI183*VLOOKUP('Données projet'!$B$12,Paramètres!$A$1:$I$89,3,0)*0.475*44/12</f>
        <v>6.1896675549597555</v>
      </c>
      <c r="CM183" s="21">
        <f>EXP(-LN(2)/2)*CM182+(1-EXP(-LN(2)/2))/(LN(2)/2)*CG183*CJ183*VLOOKUP('Données projet'!$B$12,Paramètres!$A$1:$I$89,3,0)*0.475*44/12</f>
        <v>2.134276620700214E-7</v>
      </c>
      <c r="CN183" s="22">
        <f t="shared" si="172"/>
        <v>50.327304124700781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2.4829205358400945E-14</v>
      </c>
      <c r="CV183" s="13">
        <f t="shared" si="173"/>
        <v>4.3867331143352915E-13</v>
      </c>
      <c r="CW183" s="20">
        <f t="shared" si="174"/>
        <v>8.0726688341261168E-13</v>
      </c>
      <c r="CX183" s="59">
        <f t="shared" si="122"/>
        <v>293.33333333333411</v>
      </c>
      <c r="CY183" s="59">
        <f ca="1">AVERAGE(OFFSET($CX$3,0,0,'Données projet'!$E$13+1,1))-AVERAGE(OFFSET($H$3,0,0,'Données projet'!$E$13+1,1))</f>
        <v>261.93797831021766</v>
      </c>
      <c r="CZ183" s="59">
        <f t="shared" si="150"/>
        <v>256.90876395053073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4.5524648439840956</v>
      </c>
      <c r="DG183" s="21">
        <f>EXP(-LN(2)/25)*DG182+(1-EXP(-LN(2)/25))/(LN(2)/25)*Calculateur!DB183*Calculateur!DD183*VLOOKUP('Données projet'!$B$13,Paramètres!$A$1:$I$89,3,0)*0.475*44/12</f>
        <v>2.2809981943202744</v>
      </c>
      <c r="DH183" s="21">
        <f>EXP(-LN(2)/2)*DH182+(1-EXP(-LN(2)/2))/(LN(2)/2)*DB183*DE183*VLOOKUP('Données projet'!$B$13,Paramètres!$A$1:$I$89,3,0)*0.475*44/12</f>
        <v>4.0364548717367053E-14</v>
      </c>
      <c r="DI183" s="22">
        <f t="shared" si="175"/>
        <v>6.8334630383044095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3.979039320256561E-13</v>
      </c>
      <c r="O184" s="13">
        <f>N184*VLOOKUP('Données projet'!$B$9,Paramètres!$A$1:$I$89,3,0)*VLOOKUP('Données projet'!$B$9,Paramètres!$A$1:$I$89,5,0)</f>
        <v>3.6002347769681362E-13</v>
      </c>
      <c r="P184" s="13">
        <f t="shared" si="141"/>
        <v>4.6593569189922594E-12</v>
      </c>
      <c r="Q184" s="20">
        <f t="shared" si="162"/>
        <v>8.7420875242334695E-12</v>
      </c>
      <c r="R184" s="59">
        <f t="shared" si="109"/>
        <v>293.33333333334207</v>
      </c>
      <c r="S184" s="59">
        <f ca="1">AVERAGE(OFFSET($R$3,0,0,'Données projet'!$E$9+1,1))-AVERAGE(OFFSET($H$3,0,0,'Données projet'!$E$9+1,1))</f>
        <v>695.0879239758051</v>
      </c>
      <c r="T184" s="59">
        <f t="shared" si="142"/>
        <v>226.22150997227476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112.72228761165444</v>
      </c>
      <c r="AA184" s="21">
        <f>EXP(-LN(2)/25)*AA183+(1-EXP(-LN(2)/25))/(LN(2)/25)*Calculateur!V184*Calculateur!X184*VLOOKUP('Données projet'!$B$9,Paramètres!$A$1:$I$89,3,0)*0.475*44/12</f>
        <v>16.526492327834454</v>
      </c>
      <c r="AB184" s="21">
        <f>EXP(-LN(2)/2)*AB183+(1-EXP(-LN(2)/2))/(LN(2)/2)*V184*Y184*VLOOKUP('Données projet'!$B$9,Paramètres!$A$1:$I$89,3,0)*0.475*44/12</f>
        <v>5.5577504418971519E-3</v>
      </c>
      <c r="AC184" s="22">
        <f t="shared" si="163"/>
        <v>129.25433768993079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4.7884896048344674E-14</v>
      </c>
      <c r="AK184" s="13">
        <f t="shared" si="164"/>
        <v>7.8374629847779921E-13</v>
      </c>
      <c r="AL184" s="20">
        <f t="shared" si="165"/>
        <v>1.4484243304663672E-12</v>
      </c>
      <c r="AM184" s="59">
        <f t="shared" si="113"/>
        <v>293.33333333333474</v>
      </c>
      <c r="AN184" s="59">
        <f ca="1">AVERAGE(OFFSET($AM$3,0,0,'Données projet'!$E$10+1,1))-AVERAGE(OFFSET($H$3,0,0,'Données projet'!$E$10+1,1))</f>
        <v>424.81155998881928</v>
      </c>
      <c r="AO184" s="59">
        <f t="shared" si="144"/>
        <v>277.34430416544575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27.7019112983558</v>
      </c>
      <c r="AV184" s="21">
        <f>EXP(-LN(2)/25)*AV183+(1-EXP(-LN(2)/25))/(LN(2)/25)*Calculateur!AQ184*Calculateur!AS184*VLOOKUP('Données projet'!$B$10,Paramètres!$A$1:$I$89,3,0)*0.475*44/12</f>
        <v>3.4974774082910685</v>
      </c>
      <c r="AW184" s="21">
        <f>EXP(-LN(2)/2)*AW183+(1-EXP(-LN(2)/2))/(LN(2)/2)*AQ184*AT184*VLOOKUP('Données projet'!$B$10,Paramètres!$A$1:$I$89,3,0)*0.475*44/12</f>
        <v>3.8190557617107657E-11</v>
      </c>
      <c r="AX184" s="21">
        <f t="shared" si="166"/>
        <v>31.19938870668506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189.49970000000084</v>
      </c>
      <c r="BF184" s="13">
        <f t="shared" si="167"/>
        <v>47.42932665712091</v>
      </c>
      <c r="BG184" s="20">
        <f t="shared" si="168"/>
        <v>412.651388094487</v>
      </c>
      <c r="BH184" s="59">
        <f t="shared" si="116"/>
        <v>705.98472142782032</v>
      </c>
      <c r="BI184" s="59">
        <f ca="1">AVERAGE(OFFSET($BH$3,0,0,'Données projet'!$E$11+1,1))-AVERAGE(OFFSET($H$3,0,0,'Données projet'!$E$11+1,1))</f>
        <v>706.69239849991595</v>
      </c>
      <c r="BJ184" s="59">
        <f t="shared" si="146"/>
        <v>310.59887275116529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136.50355388146846</v>
      </c>
      <c r="BQ184" s="21">
        <f>EXP(-LN(2)/25)*BQ183+(1-EXP(-LN(2)/25))/(LN(2)/25)*Calculateur!BL184*Calculateur!BN184*VLOOKUP('Données projet'!$B$11,Paramètres!$A$1:$I$89,3,0)*0.475*44/12</f>
        <v>25.633999729498047</v>
      </c>
      <c r="BR184" s="21">
        <f>EXP(-LN(2)/2)*BR183+(1-EXP(-LN(2)/2))/(LN(2)/2)*BL184*BO184*VLOOKUP('Données projet'!$B$11,Paramètres!$A$1:$I$89,3,0)*0.475*44/12</f>
        <v>5.4952674925136877</v>
      </c>
      <c r="BS184" s="22">
        <f t="shared" si="169"/>
        <v>167.63282110348018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2.5579538487363607E-13</v>
      </c>
      <c r="BZ184" s="13">
        <f>BY184*VLOOKUP('Données projet'!$B$12,Paramètres!$A$1:$I$89,3,0)*VLOOKUP('Données projet'!$B$12,Paramètres!$A$1:$I$89,5,0)</f>
        <v>2.4341488824575211E-13</v>
      </c>
      <c r="CA184" s="13">
        <f t="shared" si="170"/>
        <v>3.2970717324875541E-12</v>
      </c>
      <c r="CB184" s="20">
        <f t="shared" si="171"/>
        <v>6.1663475311105072E-12</v>
      </c>
      <c r="CC184" s="59">
        <f t="shared" si="119"/>
        <v>293.33333333333945</v>
      </c>
      <c r="CD184" s="59">
        <f ca="1">AVERAGE(OFFSET($CC$3,0,0,'Données projet'!$E$12+1,1))-AVERAGE(OFFSET($H$3,0,0,'Données projet'!$E$12+1,1))</f>
        <v>449.28947235329758</v>
      </c>
      <c r="CE184" s="59">
        <f t="shared" si="148"/>
        <v>289.36994109443964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43.27212422866598</v>
      </c>
      <c r="CL184" s="21">
        <f>EXP(-LN(2)/25)*CL183+(1-EXP(-LN(2)/25))/(LN(2)/25)*Calculateur!CG184*Calculateur!CI184*VLOOKUP('Données projet'!$B$12,Paramètres!$A$1:$I$89,3,0)*0.475*44/12</f>
        <v>6.0204107701689109</v>
      </c>
      <c r="CM184" s="21">
        <f>EXP(-LN(2)/2)*CM183+(1-EXP(-LN(2)/2))/(LN(2)/2)*CG184*CJ184*VLOOKUP('Données projet'!$B$12,Paramètres!$A$1:$I$89,3,0)*0.475*44/12</f>
        <v>1.5091614714250303E-7</v>
      </c>
      <c r="CN184" s="22">
        <f t="shared" si="172"/>
        <v>49.292535149751039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2.4829205358400945E-14</v>
      </c>
      <c r="CV184" s="13">
        <f t="shared" si="173"/>
        <v>4.3867331143352915E-13</v>
      </c>
      <c r="CW184" s="20">
        <f t="shared" si="174"/>
        <v>8.0726688341261168E-13</v>
      </c>
      <c r="CX184" s="59">
        <f t="shared" si="122"/>
        <v>293.33333333333411</v>
      </c>
      <c r="CY184" s="59">
        <f ca="1">AVERAGE(OFFSET($CX$3,0,0,'Données projet'!$E$13+1,1))-AVERAGE(OFFSET($H$3,0,0,'Données projet'!$E$13+1,1))</f>
        <v>261.93797831021766</v>
      </c>
      <c r="CZ184" s="59">
        <f t="shared" si="150"/>
        <v>256.90876395053073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4.4631937851229431</v>
      </c>
      <c r="DG184" s="21">
        <f>EXP(-LN(2)/25)*DG183+(1-EXP(-LN(2)/25))/(LN(2)/25)*Calculateur!DB184*Calculateur!DD184*VLOOKUP('Données projet'!$B$13,Paramètres!$A$1:$I$89,3,0)*0.475*44/12</f>
        <v>2.2186241787441046</v>
      </c>
      <c r="DH184" s="21">
        <f>EXP(-LN(2)/2)*DH183+(1-EXP(-LN(2)/2))/(LN(2)/2)*DB184*DE184*VLOOKUP('Données projet'!$B$13,Paramètres!$A$1:$I$89,3,0)*0.475*44/12</f>
        <v>2.8542046117585002E-14</v>
      </c>
      <c r="DI184" s="22">
        <f t="shared" si="175"/>
        <v>6.6818179638670756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3.979039320256561E-13</v>
      </c>
      <c r="O185" s="13">
        <f>N185*VLOOKUP('Données projet'!$B$9,Paramètres!$A$1:$I$89,3,0)*VLOOKUP('Données projet'!$B$9,Paramètres!$A$1:$I$89,5,0)</f>
        <v>3.6002347769681362E-13</v>
      </c>
      <c r="P185" s="13">
        <f t="shared" si="141"/>
        <v>4.6593569189922594E-12</v>
      </c>
      <c r="Q185" s="20">
        <f t="shared" si="162"/>
        <v>8.7420875242334695E-12</v>
      </c>
      <c r="R185" s="59">
        <f t="shared" si="109"/>
        <v>293.33333333334207</v>
      </c>
      <c r="S185" s="59">
        <f ca="1">AVERAGE(OFFSET($R$3,0,0,'Données projet'!$E$9+1,1))-AVERAGE(OFFSET($H$3,0,0,'Données projet'!$E$9+1,1))</f>
        <v>695.0879239758051</v>
      </c>
      <c r="T185" s="59">
        <f t="shared" si="142"/>
        <v>226.22150997227476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110.51187230539647</v>
      </c>
      <c r="AA185" s="21">
        <f>EXP(-LN(2)/25)*AA184+(1-EXP(-LN(2)/25))/(LN(2)/25)*Calculateur!V185*Calculateur!X185*VLOOKUP('Données projet'!$B$9,Paramètres!$A$1:$I$89,3,0)*0.475*44/12</f>
        <v>16.07457452603936</v>
      </c>
      <c r="AB185" s="21">
        <f>EXP(-LN(2)/2)*AB184+(1-EXP(-LN(2)/2))/(LN(2)/2)*V185*Y185*VLOOKUP('Données projet'!$B$9,Paramètres!$A$1:$I$89,3,0)*0.475*44/12</f>
        <v>3.9299230256080071E-3</v>
      </c>
      <c r="AC185" s="22">
        <f t="shared" si="163"/>
        <v>126.59037675446143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4.7884896048344674E-14</v>
      </c>
      <c r="AK185" s="13">
        <f t="shared" si="164"/>
        <v>7.8374629847779921E-13</v>
      </c>
      <c r="AL185" s="20">
        <f t="shared" si="165"/>
        <v>1.4484243304663672E-12</v>
      </c>
      <c r="AM185" s="59">
        <f t="shared" si="113"/>
        <v>293.33333333333474</v>
      </c>
      <c r="AN185" s="59">
        <f ca="1">AVERAGE(OFFSET($AM$3,0,0,'Données projet'!$E$10+1,1))-AVERAGE(OFFSET($H$3,0,0,'Données projet'!$E$10+1,1))</f>
        <v>424.81155998881928</v>
      </c>
      <c r="AO185" s="59">
        <f t="shared" si="144"/>
        <v>277.34430416544575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27.158693714292543</v>
      </c>
      <c r="AV185" s="21">
        <f>EXP(-LN(2)/25)*AV184+(1-EXP(-LN(2)/25))/(LN(2)/25)*Calculateur!AQ185*Calculateur!AS185*VLOOKUP('Données projet'!$B$10,Paramètres!$A$1:$I$89,3,0)*0.475*44/12</f>
        <v>3.4018387046370058</v>
      </c>
      <c r="AW185" s="21">
        <f>EXP(-LN(2)/2)*AW184+(1-EXP(-LN(2)/2))/(LN(2)/2)*AQ185*AT185*VLOOKUP('Données projet'!$B$10,Paramètres!$A$1:$I$89,3,0)*0.475*44/12</f>
        <v>2.700480226835238E-11</v>
      </c>
      <c r="AX185" s="21">
        <f t="shared" si="166"/>
        <v>30.560532418956551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191.82514000000083</v>
      </c>
      <c r="BF185" s="13">
        <f t="shared" si="167"/>
        <v>47.943240602417134</v>
      </c>
      <c r="BG185" s="20">
        <f t="shared" si="168"/>
        <v>417.59659621587792</v>
      </c>
      <c r="BH185" s="59">
        <f t="shared" si="116"/>
        <v>710.92992954921124</v>
      </c>
      <c r="BI185" s="59">
        <f ca="1">AVERAGE(OFFSET($BH$3,0,0,'Données projet'!$E$11+1,1))-AVERAGE(OFFSET($H$3,0,0,'Données projet'!$E$11+1,1))</f>
        <v>706.69239849991595</v>
      </c>
      <c r="BJ185" s="59">
        <f t="shared" si="146"/>
        <v>310.59887275116529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133.82680244879958</v>
      </c>
      <c r="BQ185" s="21">
        <f>EXP(-LN(2)/25)*BQ184+(1-EXP(-LN(2)/25))/(LN(2)/25)*Calculateur!BL185*Calculateur!BN185*VLOOKUP('Données projet'!$B$11,Paramètres!$A$1:$I$89,3,0)*0.475*44/12</f>
        <v>24.933036658861464</v>
      </c>
      <c r="BR185" s="21">
        <f>EXP(-LN(2)/2)*BR184+(1-EXP(-LN(2)/2))/(LN(2)/2)*BL185*BO185*VLOOKUP('Données projet'!$B$11,Paramètres!$A$1:$I$89,3,0)*0.475*44/12</f>
        <v>3.885740908390424</v>
      </c>
      <c r="BS185" s="22">
        <f t="shared" si="169"/>
        <v>162.64558001605147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2.5579538487363607E-13</v>
      </c>
      <c r="BZ185" s="13">
        <f>BY185*VLOOKUP('Données projet'!$B$12,Paramètres!$A$1:$I$89,3,0)*VLOOKUP('Données projet'!$B$12,Paramètres!$A$1:$I$89,5,0)</f>
        <v>2.4341488824575211E-13</v>
      </c>
      <c r="CA185" s="13">
        <f t="shared" si="170"/>
        <v>3.2970717324875541E-12</v>
      </c>
      <c r="CB185" s="20">
        <f t="shared" si="171"/>
        <v>6.1663475311105072E-12</v>
      </c>
      <c r="CC185" s="59">
        <f t="shared" si="119"/>
        <v>293.33333333333945</v>
      </c>
      <c r="CD185" s="59">
        <f ca="1">AVERAGE(OFFSET($CC$3,0,0,'Données projet'!$E$12+1,1))-AVERAGE(OFFSET($H$3,0,0,'Données projet'!$E$12+1,1))</f>
        <v>449.28947235329758</v>
      </c>
      <c r="CE185" s="59">
        <f t="shared" si="148"/>
        <v>289.36994109443964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42.423584265931488</v>
      </c>
      <c r="CL185" s="21">
        <f>EXP(-LN(2)/25)*CL184+(1-EXP(-LN(2)/25))/(LN(2)/25)*Calculateur!CG185*Calculateur!CI185*VLOOKUP('Données projet'!$B$12,Paramètres!$A$1:$I$89,3,0)*0.475*44/12</f>
        <v>5.8557823210589994</v>
      </c>
      <c r="CM185" s="21">
        <f>EXP(-LN(2)/2)*CM184+(1-EXP(-LN(2)/2))/(LN(2)/2)*CG185*CJ185*VLOOKUP('Données projet'!$B$12,Paramètres!$A$1:$I$89,3,0)*0.475*44/12</f>
        <v>1.067138310350107E-7</v>
      </c>
      <c r="CN185" s="22">
        <f t="shared" si="172"/>
        <v>48.279366693704326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2.4829205358400945E-14</v>
      </c>
      <c r="CV185" s="13">
        <f t="shared" si="173"/>
        <v>4.3867331143352915E-13</v>
      </c>
      <c r="CW185" s="20">
        <f t="shared" si="174"/>
        <v>8.0726688341261168E-13</v>
      </c>
      <c r="CX185" s="59">
        <f t="shared" si="122"/>
        <v>293.33333333333411</v>
      </c>
      <c r="CY185" s="59">
        <f ca="1">AVERAGE(OFFSET($CX$3,0,0,'Données projet'!$E$13+1,1))-AVERAGE(OFFSET($H$3,0,0,'Données projet'!$E$13+1,1))</f>
        <v>261.93797831021766</v>
      </c>
      <c r="CZ185" s="59">
        <f t="shared" si="150"/>
        <v>256.90876395053073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4.3756732772760882</v>
      </c>
      <c r="DG185" s="21">
        <f>EXP(-LN(2)/25)*DG184+(1-EXP(-LN(2)/25))/(LN(2)/25)*Calculateur!DB185*Calculateur!DD185*VLOOKUP('Données projet'!$B$13,Paramètres!$A$1:$I$89,3,0)*0.475*44/12</f>
        <v>2.1579557839039722</v>
      </c>
      <c r="DH185" s="21">
        <f>EXP(-LN(2)/2)*DH184+(1-EXP(-LN(2)/2))/(LN(2)/2)*DB185*DE185*VLOOKUP('Données projet'!$B$13,Paramètres!$A$1:$I$89,3,0)*0.475*44/12</f>
        <v>2.0182274358683527E-14</v>
      </c>
      <c r="DI185" s="22">
        <f t="shared" si="175"/>
        <v>6.5336290611800809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3.979039320256561E-13</v>
      </c>
      <c r="O186" s="13">
        <f>N186*VLOOKUP('Données projet'!$B$9,Paramètres!$A$1:$I$89,3,0)*VLOOKUP('Données projet'!$B$9,Paramètres!$A$1:$I$89,5,0)</f>
        <v>3.6002347769681362E-13</v>
      </c>
      <c r="P186" s="13">
        <f t="shared" si="141"/>
        <v>4.6593569189922594E-12</v>
      </c>
      <c r="Q186" s="20">
        <f t="shared" si="162"/>
        <v>8.7420875242334695E-12</v>
      </c>
      <c r="R186" s="59">
        <f t="shared" si="109"/>
        <v>293.33333333334207</v>
      </c>
      <c r="S186" s="59">
        <f ca="1">AVERAGE(OFFSET($R$3,0,0,'Données projet'!$E$9+1,1))-AVERAGE(OFFSET($H$3,0,0,'Données projet'!$E$9+1,1))</f>
        <v>695.0879239758051</v>
      </c>
      <c r="T186" s="59">
        <f t="shared" si="142"/>
        <v>226.22150997227476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108.344801895074</v>
      </c>
      <c r="AA186" s="21">
        <f>EXP(-LN(2)/25)*AA185+(1-EXP(-LN(2)/25))/(LN(2)/25)*Calculateur!V186*Calculateur!X186*VLOOKUP('Données projet'!$B$9,Paramètres!$A$1:$I$89,3,0)*0.475*44/12</f>
        <v>15.635014440299678</v>
      </c>
      <c r="AB186" s="21">
        <f>EXP(-LN(2)/2)*AB185+(1-EXP(-LN(2)/2))/(LN(2)/2)*V186*Y186*VLOOKUP('Données projet'!$B$9,Paramètres!$A$1:$I$89,3,0)*0.475*44/12</f>
        <v>2.7788752209485759E-3</v>
      </c>
      <c r="AC186" s="22">
        <f t="shared" si="163"/>
        <v>123.98259521059462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4.7884896048344674E-14</v>
      </c>
      <c r="AK186" s="13">
        <f t="shared" si="164"/>
        <v>7.8374629847779921E-13</v>
      </c>
      <c r="AL186" s="20">
        <f t="shared" si="165"/>
        <v>1.4484243304663672E-12</v>
      </c>
      <c r="AM186" s="59">
        <f t="shared" si="113"/>
        <v>293.33333333333474</v>
      </c>
      <c r="AN186" s="59">
        <f ca="1">AVERAGE(OFFSET($AM$3,0,0,'Données projet'!$E$10+1,1))-AVERAGE(OFFSET($H$3,0,0,'Données projet'!$E$10+1,1))</f>
        <v>424.81155998881928</v>
      </c>
      <c r="AO186" s="59">
        <f t="shared" si="144"/>
        <v>277.34430416544575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26.626128295722758</v>
      </c>
      <c r="AV186" s="21">
        <f>EXP(-LN(2)/25)*AV185+(1-EXP(-LN(2)/25))/(LN(2)/25)*Calculateur!AQ186*Calculateur!AS186*VLOOKUP('Données projet'!$B$10,Paramètres!$A$1:$I$89,3,0)*0.475*44/12</f>
        <v>3.3088152463637845</v>
      </c>
      <c r="AW186" s="21">
        <f>EXP(-LN(2)/2)*AW185+(1-EXP(-LN(2)/2))/(LN(2)/2)*AQ186*AT186*VLOOKUP('Données projet'!$B$10,Paramètres!$A$1:$I$89,3,0)*0.475*44/12</f>
        <v>1.9095278808553829E-11</v>
      </c>
      <c r="AX186" s="21">
        <f t="shared" si="166"/>
        <v>29.934943542105639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194.15058000000082</v>
      </c>
      <c r="BF186" s="13">
        <f t="shared" si="167"/>
        <v>48.456429865053252</v>
      </c>
      <c r="BG186" s="20">
        <f t="shared" si="168"/>
        <v>422.54054218163583</v>
      </c>
      <c r="BH186" s="59">
        <f t="shared" si="116"/>
        <v>715.87387551496909</v>
      </c>
      <c r="BI186" s="59">
        <f ca="1">AVERAGE(OFFSET($BH$3,0,0,'Données projet'!$E$11+1,1))-AVERAGE(OFFSET($H$3,0,0,'Données projet'!$E$11+1,1))</f>
        <v>706.69239849991595</v>
      </c>
      <c r="BJ186" s="59">
        <f t="shared" si="146"/>
        <v>310.59887275116529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172.73300340106223</v>
      </c>
      <c r="BQ186" s="21">
        <f>EXP(-LN(2)/25)*BQ185+(1-EXP(-LN(2)/25))/(LN(2)/25)*Calculateur!BL186*Calculateur!BN186*VLOOKUP('Données projet'!$B$11,Paramètres!$A$1:$I$89,3,0)*0.475*44/12</f>
        <v>28.847568311933841</v>
      </c>
      <c r="BR186" s="21">
        <f>EXP(-LN(2)/2)*BR185+(1-EXP(-LN(2)/2))/(LN(2)/2)*BL186*BO186*VLOOKUP('Données projet'!$B$11,Paramètres!$A$1:$I$89,3,0)*0.475*44/12</f>
        <v>11.906948632069174</v>
      </c>
      <c r="BS186" s="22">
        <f t="shared" si="169"/>
        <v>213.48752034506524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2.5579538487363607E-13</v>
      </c>
      <c r="BZ186" s="13">
        <f>BY186*VLOOKUP('Données projet'!$B$12,Paramètres!$A$1:$I$89,3,0)*VLOOKUP('Données projet'!$B$12,Paramètres!$A$1:$I$89,5,0)</f>
        <v>2.4341488824575211E-13</v>
      </c>
      <c r="CA186" s="13">
        <f t="shared" si="170"/>
        <v>3.2970717324875541E-12</v>
      </c>
      <c r="CB186" s="20">
        <f t="shared" si="171"/>
        <v>6.1663475311105072E-12</v>
      </c>
      <c r="CC186" s="59">
        <f t="shared" si="119"/>
        <v>293.33333333333945</v>
      </c>
      <c r="CD186" s="59">
        <f ca="1">AVERAGE(OFFSET($CC$3,0,0,'Données projet'!$E$12+1,1))-AVERAGE(OFFSET($H$3,0,0,'Données projet'!$E$12+1,1))</f>
        <v>449.28947235329758</v>
      </c>
      <c r="CE186" s="59">
        <f t="shared" si="148"/>
        <v>289.36994109443964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41.59168365430795</v>
      </c>
      <c r="CL186" s="21">
        <f>EXP(-LN(2)/25)*CL185+(1-EXP(-LN(2)/25))/(LN(2)/25)*Calculateur!CG186*Calculateur!CI186*VLOOKUP('Données projet'!$B$12,Paramètres!$A$1:$I$89,3,0)*0.475*44/12</f>
        <v>5.6956556455474328</v>
      </c>
      <c r="CM186" s="21">
        <f>EXP(-LN(2)/2)*CM185+(1-EXP(-LN(2)/2))/(LN(2)/2)*CG186*CJ186*VLOOKUP('Données projet'!$B$12,Paramètres!$A$1:$I$89,3,0)*0.475*44/12</f>
        <v>7.5458073571251513E-8</v>
      </c>
      <c r="CN186" s="22">
        <f t="shared" si="172"/>
        <v>47.287339375313458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2.4829205358400945E-14</v>
      </c>
      <c r="CV186" s="13">
        <f t="shared" si="173"/>
        <v>4.3867331143352915E-13</v>
      </c>
      <c r="CW186" s="20">
        <f t="shared" si="174"/>
        <v>8.0726688341261168E-13</v>
      </c>
      <c r="CX186" s="59">
        <f t="shared" si="122"/>
        <v>293.33333333333411</v>
      </c>
      <c r="CY186" s="59">
        <f ca="1">AVERAGE(OFFSET($CX$3,0,0,'Données projet'!$E$13+1,1))-AVERAGE(OFFSET($H$3,0,0,'Données projet'!$E$13+1,1))</f>
        <v>261.93797831021766</v>
      </c>
      <c r="CZ186" s="59">
        <f t="shared" si="150"/>
        <v>256.90876395053073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4.2898689932058716</v>
      </c>
      <c r="DG186" s="21">
        <f>EXP(-LN(2)/25)*DG185+(1-EXP(-LN(2)/25))/(LN(2)/25)*Calculateur!DB186*Calculateur!DD186*VLOOKUP('Données projet'!$B$13,Paramètres!$A$1:$I$89,3,0)*0.475*44/12</f>
        <v>2.0989463695111557</v>
      </c>
      <c r="DH186" s="21">
        <f>EXP(-LN(2)/2)*DH185+(1-EXP(-LN(2)/2))/(LN(2)/2)*DB186*DE186*VLOOKUP('Données projet'!$B$13,Paramètres!$A$1:$I$89,3,0)*0.475*44/12</f>
        <v>1.4271023058792501E-14</v>
      </c>
      <c r="DI186" s="22">
        <f t="shared" si="175"/>
        <v>6.3888153627170414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3.979039320256561E-13</v>
      </c>
      <c r="O187" s="13">
        <f>N187*VLOOKUP('Données projet'!$B$9,Paramètres!$A$1:$I$89,3,0)*VLOOKUP('Données projet'!$B$9,Paramètres!$A$1:$I$89,5,0)</f>
        <v>3.6002347769681362E-13</v>
      </c>
      <c r="P187" s="13">
        <f t="shared" si="141"/>
        <v>4.6593569189922594E-12</v>
      </c>
      <c r="Q187" s="20">
        <f t="shared" si="162"/>
        <v>8.7420875242334695E-12</v>
      </c>
      <c r="R187" s="59">
        <f t="shared" si="109"/>
        <v>293.33333333334207</v>
      </c>
      <c r="S187" s="59">
        <f ca="1">AVERAGE(OFFSET($R$3,0,0,'Données projet'!$E$9+1,1))-AVERAGE(OFFSET($H$3,0,0,'Données projet'!$E$9+1,1))</f>
        <v>695.0879239758051</v>
      </c>
      <c r="T187" s="59">
        <f t="shared" si="142"/>
        <v>226.22150997227476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106.22022641371552</v>
      </c>
      <c r="AA187" s="21">
        <f>EXP(-LN(2)/25)*AA186+(1-EXP(-LN(2)/25))/(LN(2)/25)*Calculateur!V187*Calculateur!X187*VLOOKUP('Données projet'!$B$9,Paramètres!$A$1:$I$89,3,0)*0.475*44/12</f>
        <v>15.207474148220008</v>
      </c>
      <c r="AB187" s="21">
        <f>EXP(-LN(2)/2)*AB186+(1-EXP(-LN(2)/2))/(LN(2)/2)*V187*Y187*VLOOKUP('Données projet'!$B$9,Paramètres!$A$1:$I$89,3,0)*0.475*44/12</f>
        <v>1.9649615128040036E-3</v>
      </c>
      <c r="AC187" s="22">
        <f t="shared" si="163"/>
        <v>121.42966552344832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4.7884896048344674E-14</v>
      </c>
      <c r="AK187" s="13">
        <f t="shared" si="164"/>
        <v>7.8374629847779921E-13</v>
      </c>
      <c r="AL187" s="20">
        <f t="shared" si="165"/>
        <v>1.4484243304663672E-12</v>
      </c>
      <c r="AM187" s="59">
        <f t="shared" si="113"/>
        <v>293.33333333333474</v>
      </c>
      <c r="AN187" s="59">
        <f ca="1">AVERAGE(OFFSET($AM$3,0,0,'Données projet'!$E$10+1,1))-AVERAGE(OFFSET($H$3,0,0,'Données projet'!$E$10+1,1))</f>
        <v>424.81155998881928</v>
      </c>
      <c r="AO187" s="59">
        <f t="shared" si="144"/>
        <v>277.34430416544575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26.104006160178294</v>
      </c>
      <c r="AV187" s="21">
        <f>EXP(-LN(2)/25)*AV186+(1-EXP(-LN(2)/25))/(LN(2)/25)*Calculateur!AQ187*Calculateur!AS187*VLOOKUP('Données projet'!$B$10,Paramètres!$A$1:$I$89,3,0)*0.475*44/12</f>
        <v>3.2183355194489356</v>
      </c>
      <c r="AW187" s="21">
        <f>EXP(-LN(2)/2)*AW186+(1-EXP(-LN(2)/2))/(LN(2)/2)*AQ187*AT187*VLOOKUP('Données projet'!$B$10,Paramètres!$A$1:$I$89,3,0)*0.475*44/12</f>
        <v>1.350240113417619E-11</v>
      </c>
      <c r="AX187" s="21">
        <f t="shared" si="166"/>
        <v>29.322341679640733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8.0694917414803056E-13</v>
      </c>
      <c r="BF187" s="13">
        <f t="shared" si="167"/>
        <v>9.5069530861628001E-12</v>
      </c>
      <c r="BG187" s="20">
        <f t="shared" si="168"/>
        <v>1.7963379770041364E-11</v>
      </c>
      <c r="BH187" s="59">
        <f t="shared" si="116"/>
        <v>293.33333333335128</v>
      </c>
      <c r="BI187" s="59">
        <f ca="1">AVERAGE(OFFSET($BH$3,0,0,'Données projet'!$E$11+1,1))-AVERAGE(OFFSET($H$3,0,0,'Données projet'!$E$11+1,1))</f>
        <v>706.69239849991595</v>
      </c>
      <c r="BJ187" s="59">
        <f t="shared" si="146"/>
        <v>310.59887275116529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169.34581456109638</v>
      </c>
      <c r="BQ187" s="21">
        <f>EXP(-LN(2)/25)*BQ186+(1-EXP(-LN(2)/25))/(LN(2)/25)*Calculateur!BL187*Calculateur!BN187*VLOOKUP('Données projet'!$B$11,Paramètres!$A$1:$I$89,3,0)*0.475*44/12</f>
        <v>28.058730039416325</v>
      </c>
      <c r="BR187" s="21">
        <f>EXP(-LN(2)/2)*BR186+(1-EXP(-LN(2)/2))/(LN(2)/2)*BL187*BO187*VLOOKUP('Données projet'!$B$11,Paramètres!$A$1:$I$89,3,0)*0.475*44/12</f>
        <v>8.4194841209759996</v>
      </c>
      <c r="BS187" s="22">
        <f t="shared" si="169"/>
        <v>205.8240287214887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2.5579538487363607E-13</v>
      </c>
      <c r="BZ187" s="13">
        <f>BY187*VLOOKUP('Données projet'!$B$12,Paramètres!$A$1:$I$89,3,0)*VLOOKUP('Données projet'!$B$12,Paramètres!$A$1:$I$89,5,0)</f>
        <v>2.4341488824575211E-13</v>
      </c>
      <c r="CA187" s="13">
        <f t="shared" si="170"/>
        <v>3.2970717324875541E-12</v>
      </c>
      <c r="CB187" s="20">
        <f t="shared" si="171"/>
        <v>6.1663475311105072E-12</v>
      </c>
      <c r="CC187" s="59">
        <f t="shared" si="119"/>
        <v>293.33333333333945</v>
      </c>
      <c r="CD187" s="59">
        <f ca="1">AVERAGE(OFFSET($CC$3,0,0,'Données projet'!$E$12+1,1))-AVERAGE(OFFSET($H$3,0,0,'Données projet'!$E$12+1,1))</f>
        <v>449.28947235329758</v>
      </c>
      <c r="CE187" s="59">
        <f t="shared" si="148"/>
        <v>289.36994109443964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40.77609610626908</v>
      </c>
      <c r="CL187" s="21">
        <f>EXP(-LN(2)/25)*CL186+(1-EXP(-LN(2)/25))/(LN(2)/25)*Calculateur!CG187*Calculateur!CI187*VLOOKUP('Données projet'!$B$12,Paramètres!$A$1:$I$89,3,0)*0.475*44/12</f>
        <v>5.5399076423984255</v>
      </c>
      <c r="CM187" s="21">
        <f>EXP(-LN(2)/2)*CM186+(1-EXP(-LN(2)/2))/(LN(2)/2)*CG187*CJ187*VLOOKUP('Données projet'!$B$12,Paramètres!$A$1:$I$89,3,0)*0.475*44/12</f>
        <v>5.3356915517505349E-8</v>
      </c>
      <c r="CN187" s="22">
        <f t="shared" si="172"/>
        <v>46.316003802024419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2.4829205358400945E-14</v>
      </c>
      <c r="CV187" s="13">
        <f t="shared" si="173"/>
        <v>4.3867331143352915E-13</v>
      </c>
      <c r="CW187" s="20">
        <f t="shared" si="174"/>
        <v>8.0726688341261168E-13</v>
      </c>
      <c r="CX187" s="59">
        <f t="shared" si="122"/>
        <v>293.33333333333411</v>
      </c>
      <c r="CY187" s="59">
        <f ca="1">AVERAGE(OFFSET($CX$3,0,0,'Données projet'!$E$13+1,1))-AVERAGE(OFFSET($H$3,0,0,'Données projet'!$E$13+1,1))</f>
        <v>261.93797831021766</v>
      </c>
      <c r="CZ187" s="59">
        <f t="shared" si="150"/>
        <v>256.90876395053073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4.2057472788108266</v>
      </c>
      <c r="DG187" s="21">
        <f>EXP(-LN(2)/25)*DG186+(1-EXP(-LN(2)/25))/(LN(2)/25)*Calculateur!DB187*Calculateur!DD187*VLOOKUP('Données projet'!$B$13,Paramètres!$A$1:$I$89,3,0)*0.475*44/12</f>
        <v>2.0415505706580808</v>
      </c>
      <c r="DH187" s="21">
        <f>EXP(-LN(2)/2)*DH186+(1-EXP(-LN(2)/2))/(LN(2)/2)*DB187*DE187*VLOOKUP('Données projet'!$B$13,Paramètres!$A$1:$I$89,3,0)*0.475*44/12</f>
        <v>1.0091137179341763E-14</v>
      </c>
      <c r="DI187" s="22">
        <f t="shared" si="175"/>
        <v>6.2472978494689171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3.979039320256561E-13</v>
      </c>
      <c r="O188" s="13">
        <f>N188*VLOOKUP('Données projet'!$B$9,Paramètres!$A$1:$I$89,3,0)*VLOOKUP('Données projet'!$B$9,Paramètres!$A$1:$I$89,5,0)</f>
        <v>3.6002347769681362E-13</v>
      </c>
      <c r="P188" s="13">
        <f t="shared" si="141"/>
        <v>4.6593569189922594E-12</v>
      </c>
      <c r="Q188" s="20">
        <f t="shared" si="162"/>
        <v>8.7420875242334695E-12</v>
      </c>
      <c r="R188" s="59">
        <f t="shared" si="109"/>
        <v>293.33333333334207</v>
      </c>
      <c r="S188" s="59">
        <f ca="1">AVERAGE(OFFSET($R$3,0,0,'Données projet'!$E$9+1,1))-AVERAGE(OFFSET($H$3,0,0,'Données projet'!$E$9+1,1))</f>
        <v>695.0879239758051</v>
      </c>
      <c r="T188" s="59">
        <f t="shared" si="142"/>
        <v>226.22150997227476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104.1373125616834</v>
      </c>
      <c r="AA188" s="21">
        <f>EXP(-LN(2)/25)*AA187+(1-EXP(-LN(2)/25))/(LN(2)/25)*Calculateur!V188*Calculateur!X188*VLOOKUP('Données projet'!$B$9,Paramètres!$A$1:$I$89,3,0)*0.475*44/12</f>
        <v>14.791624967910623</v>
      </c>
      <c r="AB188" s="21">
        <f>EXP(-LN(2)/2)*AB187+(1-EXP(-LN(2)/2))/(LN(2)/2)*V188*Y188*VLOOKUP('Données projet'!$B$9,Paramètres!$A$1:$I$89,3,0)*0.475*44/12</f>
        <v>1.389437610474288E-3</v>
      </c>
      <c r="AC188" s="22">
        <f t="shared" si="163"/>
        <v>118.93032696720449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4.7884896048344674E-14</v>
      </c>
      <c r="AK188" s="13">
        <f t="shared" si="164"/>
        <v>7.8374629847779921E-13</v>
      </c>
      <c r="AL188" s="20">
        <f t="shared" si="165"/>
        <v>1.4484243304663672E-12</v>
      </c>
      <c r="AM188" s="59">
        <f t="shared" si="113"/>
        <v>293.33333333333474</v>
      </c>
      <c r="AN188" s="59">
        <f ca="1">AVERAGE(OFFSET($AM$3,0,0,'Données projet'!$E$10+1,1))-AVERAGE(OFFSET($H$3,0,0,'Données projet'!$E$10+1,1))</f>
        <v>424.81155998881928</v>
      </c>
      <c r="AO188" s="59">
        <f t="shared" si="144"/>
        <v>277.34430416544575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25.5921225212488</v>
      </c>
      <c r="AV188" s="21">
        <f>EXP(-LN(2)/25)*AV187+(1-EXP(-LN(2)/25))/(LN(2)/25)*Calculateur!AQ188*Calculateur!AS188*VLOOKUP('Données projet'!$B$10,Paramètres!$A$1:$I$89,3,0)*0.475*44/12</f>
        <v>3.130329965424695</v>
      </c>
      <c r="AW188" s="21">
        <f>EXP(-LN(2)/2)*AW187+(1-EXP(-LN(2)/2))/(LN(2)/2)*AQ188*AT188*VLOOKUP('Données projet'!$B$10,Paramètres!$A$1:$I$89,3,0)*0.475*44/12</f>
        <v>9.5476394042769143E-12</v>
      </c>
      <c r="AX188" s="21">
        <f t="shared" si="166"/>
        <v>28.722452486683043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8.0694917414803056E-13</v>
      </c>
      <c r="BF188" s="13">
        <f t="shared" si="167"/>
        <v>9.5069530861628001E-12</v>
      </c>
      <c r="BG188" s="20">
        <f t="shared" si="168"/>
        <v>1.7963379770041364E-11</v>
      </c>
      <c r="BH188" s="59">
        <f t="shared" si="116"/>
        <v>293.33333333335128</v>
      </c>
      <c r="BI188" s="59">
        <f ca="1">AVERAGE(OFFSET($BH$3,0,0,'Données projet'!$E$11+1,1))-AVERAGE(OFFSET($H$3,0,0,'Données projet'!$E$11+1,1))</f>
        <v>706.69239849991595</v>
      </c>
      <c r="BJ188" s="59">
        <f t="shared" si="146"/>
        <v>310.59887275116529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166.02504642830104</v>
      </c>
      <c r="BQ188" s="21">
        <f>EXP(-LN(2)/25)*BQ187+(1-EXP(-LN(2)/25))/(LN(2)/25)*Calculateur!BL188*Calculateur!BN188*VLOOKUP('Données projet'!$B$11,Paramètres!$A$1:$I$89,3,0)*0.475*44/12</f>
        <v>27.291462590944001</v>
      </c>
      <c r="BR188" s="21">
        <f>EXP(-LN(2)/2)*BR187+(1-EXP(-LN(2)/2))/(LN(2)/2)*BL188*BO188*VLOOKUP('Données projet'!$B$11,Paramètres!$A$1:$I$89,3,0)*0.475*44/12</f>
        <v>5.9534743160345878</v>
      </c>
      <c r="BS188" s="22">
        <f t="shared" si="169"/>
        <v>199.26998333527965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2.5579538487363607E-13</v>
      </c>
      <c r="BZ188" s="13">
        <f>BY188*VLOOKUP('Données projet'!$B$12,Paramètres!$A$1:$I$89,3,0)*VLOOKUP('Données projet'!$B$12,Paramètres!$A$1:$I$89,5,0)</f>
        <v>2.4341488824575211E-13</v>
      </c>
      <c r="CA188" s="13">
        <f t="shared" si="170"/>
        <v>3.2970717324875541E-12</v>
      </c>
      <c r="CB188" s="20">
        <f t="shared" si="171"/>
        <v>6.1663475311105072E-12</v>
      </c>
      <c r="CC188" s="59">
        <f t="shared" si="119"/>
        <v>293.33333333333945</v>
      </c>
      <c r="CD188" s="59">
        <f ca="1">AVERAGE(OFFSET($CC$3,0,0,'Données projet'!$E$12+1,1))-AVERAGE(OFFSET($H$3,0,0,'Données projet'!$E$12+1,1))</f>
        <v>449.28947235329758</v>
      </c>
      <c r="CE188" s="59">
        <f t="shared" si="148"/>
        <v>289.36994109443964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39.976501732587963</v>
      </c>
      <c r="CL188" s="21">
        <f>EXP(-LN(2)/25)*CL187+(1-EXP(-LN(2)/25))/(LN(2)/25)*Calculateur!CG188*Calculateur!CI188*VLOOKUP('Données projet'!$B$12,Paramètres!$A$1:$I$89,3,0)*0.475*44/12</f>
        <v>5.3884185765859591</v>
      </c>
      <c r="CM188" s="21">
        <f>EXP(-LN(2)/2)*CM187+(1-EXP(-LN(2)/2))/(LN(2)/2)*CG188*CJ188*VLOOKUP('Données projet'!$B$12,Paramètres!$A$1:$I$89,3,0)*0.475*44/12</f>
        <v>3.7729036785625757E-8</v>
      </c>
      <c r="CN188" s="22">
        <f t="shared" si="172"/>
        <v>45.364920346902963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2.4829205358400945E-14</v>
      </c>
      <c r="CV188" s="13">
        <f t="shared" si="173"/>
        <v>4.3867331143352915E-13</v>
      </c>
      <c r="CW188" s="20">
        <f t="shared" si="174"/>
        <v>8.0726688341261168E-13</v>
      </c>
      <c r="CX188" s="59">
        <f t="shared" si="122"/>
        <v>293.33333333333411</v>
      </c>
      <c r="CY188" s="59">
        <f ca="1">AVERAGE(OFFSET($CX$3,0,0,'Données projet'!$E$13+1,1))-AVERAGE(OFFSET($H$3,0,0,'Données projet'!$E$13+1,1))</f>
        <v>261.93797831021766</v>
      </c>
      <c r="CZ188" s="59">
        <f t="shared" si="150"/>
        <v>256.90876395053073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4.1232751399258882</v>
      </c>
      <c r="DG188" s="21">
        <f>EXP(-LN(2)/25)*DG187+(1-EXP(-LN(2)/25))/(LN(2)/25)*Calculateur!DB188*Calculateur!DD188*VLOOKUP('Données projet'!$B$13,Paramètres!$A$1:$I$89,3,0)*0.475*44/12</f>
        <v>1.985724262942957</v>
      </c>
      <c r="DH188" s="21">
        <f>EXP(-LN(2)/2)*DH187+(1-EXP(-LN(2)/2))/(LN(2)/2)*DB188*DE188*VLOOKUP('Données projet'!$B$13,Paramètres!$A$1:$I$89,3,0)*0.475*44/12</f>
        <v>7.1355115293962504E-15</v>
      </c>
      <c r="DI188" s="22">
        <f t="shared" si="175"/>
        <v>6.1089994028688519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3.979039320256561E-13</v>
      </c>
      <c r="O189" s="13">
        <f>N189*VLOOKUP('Données projet'!$B$9,Paramètres!$A$1:$I$89,3,0)*VLOOKUP('Données projet'!$B$9,Paramètres!$A$1:$I$89,5,0)</f>
        <v>3.6002347769681362E-13</v>
      </c>
      <c r="P189" s="13">
        <f t="shared" si="141"/>
        <v>4.6593569189922594E-12</v>
      </c>
      <c r="Q189" s="20">
        <f t="shared" si="162"/>
        <v>8.7420875242334695E-12</v>
      </c>
      <c r="R189" s="59">
        <f t="shared" si="109"/>
        <v>293.33333333334207</v>
      </c>
      <c r="S189" s="59">
        <f ca="1">AVERAGE(OFFSET($R$3,0,0,'Données projet'!$E$9+1,1))-AVERAGE(OFFSET($H$3,0,0,'Données projet'!$E$9+1,1))</f>
        <v>695.0879239758051</v>
      </c>
      <c r="T189" s="59">
        <f t="shared" si="142"/>
        <v>226.22150997227476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102.09524337983763</v>
      </c>
      <c r="AA189" s="21">
        <f>EXP(-LN(2)/25)*AA188+(1-EXP(-LN(2)/25))/(LN(2)/25)*Calculateur!V189*Calculateur!X189*VLOOKUP('Données projet'!$B$9,Paramètres!$A$1:$I$89,3,0)*0.475*44/12</f>
        <v>14.387147205305357</v>
      </c>
      <c r="AB189" s="21">
        <f>EXP(-LN(2)/2)*AB188+(1-EXP(-LN(2)/2))/(LN(2)/2)*V189*Y189*VLOOKUP('Données projet'!$B$9,Paramètres!$A$1:$I$89,3,0)*0.475*44/12</f>
        <v>9.8248075640200178E-4</v>
      </c>
      <c r="AC189" s="22">
        <f t="shared" si="163"/>
        <v>116.48337306589939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4.7884896048344674E-14</v>
      </c>
      <c r="AK189" s="13">
        <f t="shared" si="164"/>
        <v>7.8374629847779921E-13</v>
      </c>
      <c r="AL189" s="20">
        <f t="shared" si="165"/>
        <v>1.4484243304663672E-12</v>
      </c>
      <c r="AM189" s="59">
        <f t="shared" si="113"/>
        <v>293.33333333333474</v>
      </c>
      <c r="AN189" s="59">
        <f ca="1">AVERAGE(OFFSET($AM$3,0,0,'Données projet'!$E$10+1,1))-AVERAGE(OFFSET($H$3,0,0,'Données projet'!$E$10+1,1))</f>
        <v>424.81155998881928</v>
      </c>
      <c r="AO189" s="59">
        <f t="shared" si="144"/>
        <v>277.34430416544575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25.090276608260524</v>
      </c>
      <c r="AV189" s="21">
        <f>EXP(-LN(2)/25)*AV188+(1-EXP(-LN(2)/25))/(LN(2)/25)*Calculateur!AQ189*Calculateur!AS189*VLOOKUP('Données projet'!$B$10,Paramètres!$A$1:$I$89,3,0)*0.475*44/12</f>
        <v>3.0447309279032582</v>
      </c>
      <c r="AW189" s="21">
        <f>EXP(-LN(2)/2)*AW188+(1-EXP(-LN(2)/2))/(LN(2)/2)*AQ189*AT189*VLOOKUP('Données projet'!$B$10,Paramètres!$A$1:$I$89,3,0)*0.475*44/12</f>
        <v>6.7512005670880951E-12</v>
      </c>
      <c r="AX189" s="21">
        <f t="shared" si="166"/>
        <v>28.135007536170534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8.0694917414803056E-13</v>
      </c>
      <c r="BF189" s="13">
        <f t="shared" si="167"/>
        <v>9.5069530861628001E-12</v>
      </c>
      <c r="BG189" s="20">
        <f t="shared" si="168"/>
        <v>1.7963379770041364E-11</v>
      </c>
      <c r="BH189" s="59">
        <f t="shared" si="116"/>
        <v>293.33333333335128</v>
      </c>
      <c r="BI189" s="59">
        <f ca="1">AVERAGE(OFFSET($BH$3,0,0,'Données projet'!$E$11+1,1))-AVERAGE(OFFSET($H$3,0,0,'Données projet'!$E$11+1,1))</f>
        <v>706.69239849991595</v>
      </c>
      <c r="BJ189" s="59">
        <f t="shared" si="146"/>
        <v>310.59887275116529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162.76939653312127</v>
      </c>
      <c r="BQ189" s="21">
        <f>EXP(-LN(2)/25)*BQ188+(1-EXP(-LN(2)/25))/(LN(2)/25)*Calculateur!BL189*Calculateur!BN189*VLOOKUP('Données projet'!$B$11,Paramètres!$A$1:$I$89,3,0)*0.475*44/12</f>
        <v>26.545176111198995</v>
      </c>
      <c r="BR189" s="21">
        <f>EXP(-LN(2)/2)*BR188+(1-EXP(-LN(2)/2))/(LN(2)/2)*BL189*BO189*VLOOKUP('Données projet'!$B$11,Paramètres!$A$1:$I$89,3,0)*0.475*44/12</f>
        <v>4.2097420604879998</v>
      </c>
      <c r="BS189" s="22">
        <f t="shared" si="169"/>
        <v>193.52431470480826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2.5579538487363607E-13</v>
      </c>
      <c r="BZ189" s="13">
        <f>BY189*VLOOKUP('Données projet'!$B$12,Paramètres!$A$1:$I$89,3,0)*VLOOKUP('Données projet'!$B$12,Paramètres!$A$1:$I$89,5,0)</f>
        <v>2.4341488824575211E-13</v>
      </c>
      <c r="CA189" s="13">
        <f t="shared" si="170"/>
        <v>3.2970717324875541E-12</v>
      </c>
      <c r="CB189" s="20">
        <f t="shared" si="171"/>
        <v>6.1663475311105072E-12</v>
      </c>
      <c r="CC189" s="59">
        <f t="shared" si="119"/>
        <v>293.33333333333945</v>
      </c>
      <c r="CD189" s="59">
        <f ca="1">AVERAGE(OFFSET($CC$3,0,0,'Données projet'!$E$12+1,1))-AVERAGE(OFFSET($H$3,0,0,'Données projet'!$E$12+1,1))</f>
        <v>449.28947235329758</v>
      </c>
      <c r="CE189" s="59">
        <f t="shared" si="148"/>
        <v>289.36994109443964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39.192586916870326</v>
      </c>
      <c r="CL189" s="21">
        <f>EXP(-LN(2)/25)*CL188+(1-EXP(-LN(2)/25))/(LN(2)/25)*Calculateur!CG189*Calculateur!CI189*VLOOKUP('Données projet'!$B$12,Paramètres!$A$1:$I$89,3,0)*0.475*44/12</f>
        <v>5.2410719872445988</v>
      </c>
      <c r="CM189" s="21">
        <f>EXP(-LN(2)/2)*CM188+(1-EXP(-LN(2)/2))/(LN(2)/2)*CG189*CJ189*VLOOKUP('Données projet'!$B$12,Paramètres!$A$1:$I$89,3,0)*0.475*44/12</f>
        <v>2.6678457758752675E-8</v>
      </c>
      <c r="CN189" s="22">
        <f t="shared" si="172"/>
        <v>44.433658930793378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2.4829205358400945E-14</v>
      </c>
      <c r="CV189" s="13">
        <f t="shared" si="173"/>
        <v>4.3867331143352915E-13</v>
      </c>
      <c r="CW189" s="20">
        <f t="shared" si="174"/>
        <v>8.0726688341261168E-13</v>
      </c>
      <c r="CX189" s="59">
        <f t="shared" si="122"/>
        <v>293.33333333333411</v>
      </c>
      <c r="CY189" s="59">
        <f ca="1">AVERAGE(OFFSET($CX$3,0,0,'Données projet'!$E$13+1,1))-AVERAGE(OFFSET($H$3,0,0,'Données projet'!$E$13+1,1))</f>
        <v>261.93797831021766</v>
      </c>
      <c r="CZ189" s="59">
        <f t="shared" si="150"/>
        <v>256.90876395053073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4.0424202293814462</v>
      </c>
      <c r="DG189" s="21">
        <f>EXP(-LN(2)/25)*DG188+(1-EXP(-LN(2)/25))/(LN(2)/25)*Calculateur!DB189*Calculateur!DD189*VLOOKUP('Données projet'!$B$13,Paramètres!$A$1:$I$89,3,0)*0.475*44/12</f>
        <v>1.9314245285480813</v>
      </c>
      <c r="DH189" s="21">
        <f>EXP(-LN(2)/2)*DH188+(1-EXP(-LN(2)/2))/(LN(2)/2)*DB189*DE189*VLOOKUP('Données projet'!$B$13,Paramètres!$A$1:$I$89,3,0)*0.475*44/12</f>
        <v>5.0455685896708816E-15</v>
      </c>
      <c r="DI189" s="22">
        <f t="shared" si="175"/>
        <v>5.9738447579295331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3.979039320256561E-13</v>
      </c>
      <c r="O190" s="13">
        <f>N190*VLOOKUP('Données projet'!$B$9,Paramètres!$A$1:$I$89,3,0)*VLOOKUP('Données projet'!$B$9,Paramètres!$A$1:$I$89,5,0)</f>
        <v>3.6002347769681362E-13</v>
      </c>
      <c r="P190" s="13">
        <f t="shared" si="141"/>
        <v>4.6593569189922594E-12</v>
      </c>
      <c r="Q190" s="20">
        <f t="shared" si="162"/>
        <v>8.7420875242334695E-12</v>
      </c>
      <c r="R190" s="59">
        <f t="shared" si="109"/>
        <v>293.33333333334207</v>
      </c>
      <c r="S190" s="59">
        <f ca="1">AVERAGE(OFFSET($R$3,0,0,'Données projet'!$E$9+1,1))-AVERAGE(OFFSET($H$3,0,0,'Données projet'!$E$9+1,1))</f>
        <v>695.0879239758051</v>
      </c>
      <c r="T190" s="59">
        <f t="shared" si="142"/>
        <v>226.22150997227476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100.09321792910863</v>
      </c>
      <c r="AA190" s="21">
        <f>EXP(-LN(2)/25)*AA189+(1-EXP(-LN(2)/25))/(LN(2)/25)*Calculateur!V190*Calculateur!X190*VLOOKUP('Données projet'!$B$9,Paramètres!$A$1:$I$89,3,0)*0.475*44/12</f>
        <v>13.993729908389094</v>
      </c>
      <c r="AB190" s="21">
        <f>EXP(-LN(2)/2)*AB189+(1-EXP(-LN(2)/2))/(LN(2)/2)*V190*Y190*VLOOKUP('Données projet'!$B$9,Paramètres!$A$1:$I$89,3,0)*0.475*44/12</f>
        <v>6.9471880523714398E-4</v>
      </c>
      <c r="AC190" s="22">
        <f t="shared" si="163"/>
        <v>114.08764255630297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4.7884896048344674E-14</v>
      </c>
      <c r="AK190" s="13">
        <f t="shared" si="164"/>
        <v>7.8374629847779921E-13</v>
      </c>
      <c r="AL190" s="20">
        <f t="shared" si="165"/>
        <v>1.4484243304663672E-12</v>
      </c>
      <c r="AM190" s="59">
        <f t="shared" si="113"/>
        <v>293.33333333333474</v>
      </c>
      <c r="AN190" s="59">
        <f ca="1">AVERAGE(OFFSET($AM$3,0,0,'Données projet'!$E$10+1,1))-AVERAGE(OFFSET($H$3,0,0,'Données projet'!$E$10+1,1))</f>
        <v>424.81155998881928</v>
      </c>
      <c r="AO190" s="59">
        <f t="shared" si="144"/>
        <v>277.34430416544575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24.598271587530164</v>
      </c>
      <c r="AV190" s="21">
        <f>EXP(-LN(2)/25)*AV189+(1-EXP(-LN(2)/25))/(LN(2)/25)*Calculateur!AQ190*Calculateur!AS190*VLOOKUP('Données projet'!$B$10,Paramètres!$A$1:$I$89,3,0)*0.475*44/12</f>
        <v>2.9614726005643028</v>
      </c>
      <c r="AW190" s="21">
        <f>EXP(-LN(2)/2)*AW189+(1-EXP(-LN(2)/2))/(LN(2)/2)*AQ190*AT190*VLOOKUP('Données projet'!$B$10,Paramètres!$A$1:$I$89,3,0)*0.475*44/12</f>
        <v>4.7738197021384571E-12</v>
      </c>
      <c r="AX190" s="21">
        <f t="shared" si="166"/>
        <v>27.559744188099241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8.0694917414803056E-13</v>
      </c>
      <c r="BF190" s="13">
        <f t="shared" si="167"/>
        <v>9.5069530861628001E-12</v>
      </c>
      <c r="BG190" s="20">
        <f t="shared" si="168"/>
        <v>1.7963379770041364E-11</v>
      </c>
      <c r="BH190" s="59">
        <f t="shared" si="116"/>
        <v>293.33333333335128</v>
      </c>
      <c r="BI190" s="59">
        <f ca="1">AVERAGE(OFFSET($BH$3,0,0,'Données projet'!$E$11+1,1))-AVERAGE(OFFSET($H$3,0,0,'Données projet'!$E$11+1,1))</f>
        <v>706.69239849991595</v>
      </c>
      <c r="BJ190" s="59">
        <f t="shared" si="146"/>
        <v>310.59887275116529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159.57758794663562</v>
      </c>
      <c r="BQ190" s="21">
        <f>EXP(-LN(2)/25)*BQ189+(1-EXP(-LN(2)/25))/(LN(2)/25)*Calculateur!BL190*Calculateur!BN190*VLOOKUP('Données projet'!$B$11,Paramètres!$A$1:$I$89,3,0)*0.475*44/12</f>
        <v>25.819296874488117</v>
      </c>
      <c r="BR190" s="21">
        <f>EXP(-LN(2)/2)*BR189+(1-EXP(-LN(2)/2))/(LN(2)/2)*BL190*BO190*VLOOKUP('Données projet'!$B$11,Paramètres!$A$1:$I$89,3,0)*0.475*44/12</f>
        <v>2.9767371580172939</v>
      </c>
      <c r="BS190" s="22">
        <f t="shared" si="169"/>
        <v>188.37362197914103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2.5579538487363607E-13</v>
      </c>
      <c r="BZ190" s="13">
        <f>BY190*VLOOKUP('Données projet'!$B$12,Paramètres!$A$1:$I$89,3,0)*VLOOKUP('Données projet'!$B$12,Paramètres!$A$1:$I$89,5,0)</f>
        <v>2.4341488824575211E-13</v>
      </c>
      <c r="CA190" s="13">
        <f t="shared" si="170"/>
        <v>3.2970717324875541E-12</v>
      </c>
      <c r="CB190" s="20">
        <f t="shared" si="171"/>
        <v>6.1663475311105072E-12</v>
      </c>
      <c r="CC190" s="59">
        <f t="shared" si="119"/>
        <v>293.33333333333945</v>
      </c>
      <c r="CD190" s="59">
        <f ca="1">AVERAGE(OFFSET($CC$3,0,0,'Données projet'!$E$12+1,1))-AVERAGE(OFFSET($H$3,0,0,'Données projet'!$E$12+1,1))</f>
        <v>449.28947235329758</v>
      </c>
      <c r="CE190" s="59">
        <f t="shared" si="148"/>
        <v>289.36994109443964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38.424044192548081</v>
      </c>
      <c r="CL190" s="21">
        <f>EXP(-LN(2)/25)*CL189+(1-EXP(-LN(2)/25))/(LN(2)/25)*Calculateur!CG190*Calculateur!CI190*VLOOKUP('Données projet'!$B$12,Paramètres!$A$1:$I$89,3,0)*0.475*44/12</f>
        <v>5.0977545981373984</v>
      </c>
      <c r="CM190" s="21">
        <f>EXP(-LN(2)/2)*CM189+(1-EXP(-LN(2)/2))/(LN(2)/2)*CG190*CJ190*VLOOKUP('Données projet'!$B$12,Paramètres!$A$1:$I$89,3,0)*0.475*44/12</f>
        <v>1.8864518392812878E-8</v>
      </c>
      <c r="CN190" s="22">
        <f t="shared" si="172"/>
        <v>43.521798809549999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2.4829205358400945E-14</v>
      </c>
      <c r="CV190" s="13">
        <f t="shared" si="173"/>
        <v>4.3867331143352915E-13</v>
      </c>
      <c r="CW190" s="20">
        <f t="shared" si="174"/>
        <v>8.0726688341261168E-13</v>
      </c>
      <c r="CX190" s="59">
        <f t="shared" si="122"/>
        <v>293.33333333333411</v>
      </c>
      <c r="CY190" s="59">
        <f ca="1">AVERAGE(OFFSET($CX$3,0,0,'Données projet'!$E$13+1,1))-AVERAGE(OFFSET($H$3,0,0,'Données projet'!$E$13+1,1))</f>
        <v>261.93797831021766</v>
      </c>
      <c r="CZ190" s="59">
        <f t="shared" si="150"/>
        <v>256.90876395053073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3.963150834316155</v>
      </c>
      <c r="DG190" s="21">
        <f>EXP(-LN(2)/25)*DG189+(1-EXP(-LN(2)/25))/(LN(2)/25)*Calculateur!DB190*Calculateur!DD190*VLOOKUP('Données projet'!$B$13,Paramètres!$A$1:$I$89,3,0)*0.475*44/12</f>
        <v>1.8786096232457323</v>
      </c>
      <c r="DH190" s="21">
        <f>EXP(-LN(2)/2)*DH189+(1-EXP(-LN(2)/2))/(LN(2)/2)*DB190*DE190*VLOOKUP('Données projet'!$B$13,Paramètres!$A$1:$I$89,3,0)*0.475*44/12</f>
        <v>3.5677557646981252E-15</v>
      </c>
      <c r="DI190" s="22">
        <f t="shared" si="175"/>
        <v>5.8417604575618913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3.979039320256561E-13</v>
      </c>
      <c r="O191" s="13">
        <f>N191*VLOOKUP('Données projet'!$B$9,Paramètres!$A$1:$I$89,3,0)*VLOOKUP('Données projet'!$B$9,Paramètres!$A$1:$I$89,5,0)</f>
        <v>3.6002347769681362E-13</v>
      </c>
      <c r="P191" s="13">
        <f t="shared" si="141"/>
        <v>4.6593569189922594E-12</v>
      </c>
      <c r="Q191" s="20">
        <f t="shared" si="162"/>
        <v>8.7420875242334695E-12</v>
      </c>
      <c r="R191" s="59">
        <f t="shared" si="109"/>
        <v>293.33333333334207</v>
      </c>
      <c r="S191" s="59">
        <f ca="1">AVERAGE(OFFSET($R$3,0,0,'Données projet'!$E$9+1,1))-AVERAGE(OFFSET($H$3,0,0,'Données projet'!$E$9+1,1))</f>
        <v>695.0879239758051</v>
      </c>
      <c r="T191" s="59">
        <f t="shared" si="142"/>
        <v>226.22150997227476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98.130450976353487</v>
      </c>
      <c r="AA191" s="21">
        <f>EXP(-LN(2)/25)*AA190+(1-EXP(-LN(2)/25))/(LN(2)/25)*Calculateur!V191*Calculateur!X191*VLOOKUP('Données projet'!$B$9,Paramètres!$A$1:$I$89,3,0)*0.475*44/12</f>
        <v>13.611070628145921</v>
      </c>
      <c r="AB191" s="21">
        <f>EXP(-LN(2)/2)*AB190+(1-EXP(-LN(2)/2))/(LN(2)/2)*V191*Y191*VLOOKUP('Données projet'!$B$9,Paramètres!$A$1:$I$89,3,0)*0.475*44/12</f>
        <v>4.9124037820100089E-4</v>
      </c>
      <c r="AC191" s="22">
        <f t="shared" si="163"/>
        <v>111.74201284487761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4.7884896048344674E-14</v>
      </c>
      <c r="AK191" s="13">
        <f t="shared" si="164"/>
        <v>7.8374629847779921E-13</v>
      </c>
      <c r="AL191" s="20">
        <f t="shared" si="165"/>
        <v>1.4484243304663672E-12</v>
      </c>
      <c r="AM191" s="59">
        <f t="shared" si="113"/>
        <v>293.33333333333474</v>
      </c>
      <c r="AN191" s="59">
        <f ca="1">AVERAGE(OFFSET($AM$3,0,0,'Données projet'!$E$10+1,1))-AVERAGE(OFFSET($H$3,0,0,'Données projet'!$E$10+1,1))</f>
        <v>424.81155998881928</v>
      </c>
      <c r="AO191" s="59">
        <f t="shared" si="144"/>
        <v>277.34430416544575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24.115914485162897</v>
      </c>
      <c r="AV191" s="21">
        <f>EXP(-LN(2)/25)*AV190+(1-EXP(-LN(2)/25))/(LN(2)/25)*Calculateur!AQ191*Calculateur!AS191*VLOOKUP('Données projet'!$B$10,Paramètres!$A$1:$I$89,3,0)*0.475*44/12</f>
        <v>2.8804909765647966</v>
      </c>
      <c r="AW191" s="21">
        <f>EXP(-LN(2)/2)*AW190+(1-EXP(-LN(2)/2))/(LN(2)/2)*AQ191*AT191*VLOOKUP('Données projet'!$B$10,Paramètres!$A$1:$I$89,3,0)*0.475*44/12</f>
        <v>3.3756002835440475E-12</v>
      </c>
      <c r="AX191" s="21">
        <f t="shared" si="166"/>
        <v>26.996405461731069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8.0694917414803056E-13</v>
      </c>
      <c r="BF191" s="13">
        <f t="shared" si="167"/>
        <v>9.5069530861628001E-12</v>
      </c>
      <c r="BG191" s="20">
        <f t="shared" si="168"/>
        <v>1.7963379770041364E-11</v>
      </c>
      <c r="BH191" s="59">
        <f t="shared" si="116"/>
        <v>293.33333333335128</v>
      </c>
      <c r="BI191" s="59">
        <f ca="1">AVERAGE(OFFSET($BH$3,0,0,'Données projet'!$E$11+1,1))-AVERAGE(OFFSET($H$3,0,0,'Données projet'!$E$11+1,1))</f>
        <v>706.69239849991595</v>
      </c>
      <c r="BJ191" s="59">
        <f t="shared" si="146"/>
        <v>310.59887275116529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156.44836877971994</v>
      </c>
      <c r="BQ191" s="21">
        <f>EXP(-LN(2)/25)*BQ190+(1-EXP(-LN(2)/25))/(LN(2)/25)*Calculateur!BL191*Calculateur!BN191*VLOOKUP('Données projet'!$B$11,Paramètres!$A$1:$I$89,3,0)*0.475*44/12</f>
        <v>25.113266843677426</v>
      </c>
      <c r="BR191" s="21">
        <f>EXP(-LN(2)/2)*BR190+(1-EXP(-LN(2)/2))/(LN(2)/2)*BL191*BO191*VLOOKUP('Données projet'!$B$11,Paramètres!$A$1:$I$89,3,0)*0.475*44/12</f>
        <v>2.1048710302439999</v>
      </c>
      <c r="BS191" s="22">
        <f t="shared" si="169"/>
        <v>183.66650665364136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2.5579538487363607E-13</v>
      </c>
      <c r="BZ191" s="13">
        <f>BY191*VLOOKUP('Données projet'!$B$12,Paramètres!$A$1:$I$89,3,0)*VLOOKUP('Données projet'!$B$12,Paramètres!$A$1:$I$89,5,0)</f>
        <v>2.4341488824575211E-13</v>
      </c>
      <c r="CA191" s="13">
        <f t="shared" si="170"/>
        <v>3.2970717324875541E-12</v>
      </c>
      <c r="CB191" s="20">
        <f t="shared" si="171"/>
        <v>6.1663475311105072E-12</v>
      </c>
      <c r="CC191" s="59">
        <f t="shared" si="119"/>
        <v>293.33333333333945</v>
      </c>
      <c r="CD191" s="59">
        <f ca="1">AVERAGE(OFFSET($CC$3,0,0,'Données projet'!$E$12+1,1))-AVERAGE(OFFSET($H$3,0,0,'Données projet'!$E$12+1,1))</f>
        <v>449.28947235329758</v>
      </c>
      <c r="CE191" s="59">
        <f t="shared" si="148"/>
        <v>289.36994109443964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37.670572122285023</v>
      </c>
      <c r="CL191" s="21">
        <f>EXP(-LN(2)/25)*CL190+(1-EXP(-LN(2)/25))/(LN(2)/25)*Calculateur!CG191*Calculateur!CI191*VLOOKUP('Données projet'!$B$12,Paramètres!$A$1:$I$89,3,0)*0.475*44/12</f>
        <v>4.9583562305720683</v>
      </c>
      <c r="CM191" s="21">
        <f>EXP(-LN(2)/2)*CM190+(1-EXP(-LN(2)/2))/(LN(2)/2)*CG191*CJ191*VLOOKUP('Données projet'!$B$12,Paramètres!$A$1:$I$89,3,0)*0.475*44/12</f>
        <v>1.3339228879376337E-8</v>
      </c>
      <c r="CN191" s="22">
        <f t="shared" si="172"/>
        <v>42.62892836619632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2.4829205358400945E-14</v>
      </c>
      <c r="CV191" s="13">
        <f t="shared" si="173"/>
        <v>4.3867331143352915E-13</v>
      </c>
      <c r="CW191" s="20">
        <f t="shared" si="174"/>
        <v>8.0726688341261168E-13</v>
      </c>
      <c r="CX191" s="59">
        <f t="shared" si="122"/>
        <v>293.33333333333411</v>
      </c>
      <c r="CY191" s="59">
        <f ca="1">AVERAGE(OFFSET($CX$3,0,0,'Données projet'!$E$13+1,1))-AVERAGE(OFFSET($H$3,0,0,'Données projet'!$E$13+1,1))</f>
        <v>261.93797831021766</v>
      </c>
      <c r="CZ191" s="59">
        <f t="shared" si="150"/>
        <v>256.90876395053073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3.8854358637385373</v>
      </c>
      <c r="DG191" s="21">
        <f>EXP(-LN(2)/25)*DG190+(1-EXP(-LN(2)/25))/(LN(2)/25)*Calculateur!DB191*Calculateur!DD191*VLOOKUP('Données projet'!$B$13,Paramètres!$A$1:$I$89,3,0)*0.475*44/12</f>
        <v>1.8272389443062913</v>
      </c>
      <c r="DH191" s="21">
        <f>EXP(-LN(2)/2)*DH190+(1-EXP(-LN(2)/2))/(LN(2)/2)*DB191*DE191*VLOOKUP('Données projet'!$B$13,Paramètres!$A$1:$I$89,3,0)*0.475*44/12</f>
        <v>2.5227842948354408E-15</v>
      </c>
      <c r="DI191" s="22">
        <f t="shared" si="175"/>
        <v>5.7126748080448317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3.979039320256561E-13</v>
      </c>
      <c r="O192" s="13">
        <f>N192*VLOOKUP('Données projet'!$B$9,Paramètres!$A$1:$I$89,3,0)*VLOOKUP('Données projet'!$B$9,Paramètres!$A$1:$I$89,5,0)</f>
        <v>3.6002347769681362E-13</v>
      </c>
      <c r="P192" s="13">
        <f t="shared" si="141"/>
        <v>4.6593569189922594E-12</v>
      </c>
      <c r="Q192" s="20">
        <f t="shared" si="162"/>
        <v>8.7420875242334695E-12</v>
      </c>
      <c r="R192" s="59">
        <f t="shared" si="109"/>
        <v>293.33333333334207</v>
      </c>
      <c r="S192" s="59">
        <f ca="1">AVERAGE(OFFSET($R$3,0,0,'Données projet'!$E$9+1,1))-AVERAGE(OFFSET($H$3,0,0,'Données projet'!$E$9+1,1))</f>
        <v>695.0879239758051</v>
      </c>
      <c r="T192" s="59">
        <f t="shared" si="142"/>
        <v>226.22150997227476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96.206172686372227</v>
      </c>
      <c r="AA192" s="21">
        <f>EXP(-LN(2)/25)*AA191+(1-EXP(-LN(2)/25))/(LN(2)/25)*Calculateur!V192*Calculateur!X192*VLOOKUP('Données projet'!$B$9,Paramètres!$A$1:$I$89,3,0)*0.475*44/12</f>
        <v>13.238875186044174</v>
      </c>
      <c r="AB192" s="21">
        <f>EXP(-LN(2)/2)*AB191+(1-EXP(-LN(2)/2))/(LN(2)/2)*V192*Y192*VLOOKUP('Données projet'!$B$9,Paramètres!$A$1:$I$89,3,0)*0.475*44/12</f>
        <v>3.4735940261857199E-4</v>
      </c>
      <c r="AC192" s="22">
        <f t="shared" si="163"/>
        <v>109.44539523181902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4.7884896048344674E-14</v>
      </c>
      <c r="AK192" s="13">
        <f t="shared" si="164"/>
        <v>7.8374629847779921E-13</v>
      </c>
      <c r="AL192" s="20">
        <f t="shared" si="165"/>
        <v>1.4484243304663672E-12</v>
      </c>
      <c r="AM192" s="59">
        <f t="shared" si="113"/>
        <v>293.33333333333474</v>
      </c>
      <c r="AN192" s="59">
        <f ca="1">AVERAGE(OFFSET($AM$3,0,0,'Données projet'!$E$10+1,1))-AVERAGE(OFFSET($H$3,0,0,'Données projet'!$E$10+1,1))</f>
        <v>424.81155998881928</v>
      </c>
      <c r="AO192" s="59">
        <f t="shared" si="144"/>
        <v>277.34430416544575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23.643016111364268</v>
      </c>
      <c r="AV192" s="21">
        <f>EXP(-LN(2)/25)*AV191+(1-EXP(-LN(2)/25))/(LN(2)/25)*Calculateur!AQ192*Calculateur!AS192*VLOOKUP('Données projet'!$B$10,Paramètres!$A$1:$I$89,3,0)*0.475*44/12</f>
        <v>2.8017237993321951</v>
      </c>
      <c r="AW192" s="21">
        <f>EXP(-LN(2)/2)*AW191+(1-EXP(-LN(2)/2))/(LN(2)/2)*AQ192*AT192*VLOOKUP('Données projet'!$B$10,Paramètres!$A$1:$I$89,3,0)*0.475*44/12</f>
        <v>2.3869098510692286E-12</v>
      </c>
      <c r="AX192" s="21">
        <f t="shared" si="166"/>
        <v>26.44473991069885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8.0694917414803056E-13</v>
      </c>
      <c r="BF192" s="13">
        <f t="shared" si="167"/>
        <v>9.5069530861628001E-12</v>
      </c>
      <c r="BG192" s="20">
        <f t="shared" si="168"/>
        <v>1.7963379770041364E-11</v>
      </c>
      <c r="BH192" s="59">
        <f t="shared" si="116"/>
        <v>293.33333333335128</v>
      </c>
      <c r="BI192" s="59">
        <f ca="1">AVERAGE(OFFSET($BH$3,0,0,'Données projet'!$E$11+1,1))-AVERAGE(OFFSET($H$3,0,0,'Données projet'!$E$11+1,1))</f>
        <v>706.69239849991595</v>
      </c>
      <c r="BJ192" s="59">
        <f t="shared" si="146"/>
        <v>310.59887275116529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153.38051169203226</v>
      </c>
      <c r="BQ192" s="21">
        <f>EXP(-LN(2)/25)*BQ191+(1-EXP(-LN(2)/25))/(LN(2)/25)*Calculateur!BL192*Calculateur!BN192*VLOOKUP('Données projet'!$B$11,Paramètres!$A$1:$I$89,3,0)*0.475*44/12</f>
        <v>24.426543241187762</v>
      </c>
      <c r="BR192" s="21">
        <f>EXP(-LN(2)/2)*BR191+(1-EXP(-LN(2)/2))/(LN(2)/2)*BL192*BO192*VLOOKUP('Données projet'!$B$11,Paramètres!$A$1:$I$89,3,0)*0.475*44/12</f>
        <v>1.4883685790086469</v>
      </c>
      <c r="BS192" s="22">
        <f t="shared" si="169"/>
        <v>179.29542351222867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2.5579538487363607E-13</v>
      </c>
      <c r="BZ192" s="13">
        <f>BY192*VLOOKUP('Données projet'!$B$12,Paramètres!$A$1:$I$89,3,0)*VLOOKUP('Données projet'!$B$12,Paramètres!$A$1:$I$89,5,0)</f>
        <v>2.4341488824575211E-13</v>
      </c>
      <c r="CA192" s="13">
        <f t="shared" si="170"/>
        <v>3.2970717324875541E-12</v>
      </c>
      <c r="CB192" s="20">
        <f t="shared" si="171"/>
        <v>6.1663475311105072E-12</v>
      </c>
      <c r="CC192" s="59">
        <f t="shared" si="119"/>
        <v>293.33333333333945</v>
      </c>
      <c r="CD192" s="59">
        <f ca="1">AVERAGE(OFFSET($CC$3,0,0,'Données projet'!$E$12+1,1))-AVERAGE(OFFSET($H$3,0,0,'Données projet'!$E$12+1,1))</f>
        <v>449.28947235329758</v>
      </c>
      <c r="CE192" s="59">
        <f t="shared" si="148"/>
        <v>289.36994109443964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36.931875179747237</v>
      </c>
      <c r="CL192" s="21">
        <f>EXP(-LN(2)/25)*CL191+(1-EXP(-LN(2)/25))/(LN(2)/25)*Calculateur!CG192*Calculateur!CI192*VLOOKUP('Données projet'!$B$12,Paramètres!$A$1:$I$89,3,0)*0.475*44/12</f>
        <v>4.8227697186984537</v>
      </c>
      <c r="CM192" s="21">
        <f>EXP(-LN(2)/2)*CM191+(1-EXP(-LN(2)/2))/(LN(2)/2)*CG192*CJ192*VLOOKUP('Données projet'!$B$12,Paramètres!$A$1:$I$89,3,0)*0.475*44/12</f>
        <v>9.4322591964064392E-9</v>
      </c>
      <c r="CN192" s="22">
        <f t="shared" si="172"/>
        <v>41.754644907877946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2.4829205358400945E-14</v>
      </c>
      <c r="CV192" s="13">
        <f t="shared" si="173"/>
        <v>4.3867331143352915E-13</v>
      </c>
      <c r="CW192" s="20">
        <f t="shared" si="174"/>
        <v>8.0726688341261168E-13</v>
      </c>
      <c r="CX192" s="59">
        <f t="shared" si="122"/>
        <v>293.33333333333411</v>
      </c>
      <c r="CY192" s="59">
        <f ca="1">AVERAGE(OFFSET($CX$3,0,0,'Données projet'!$E$13+1,1))-AVERAGE(OFFSET($H$3,0,0,'Données projet'!$E$13+1,1))</f>
        <v>261.93797831021766</v>
      </c>
      <c r="CZ192" s="59">
        <f t="shared" si="150"/>
        <v>256.90876395053073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3.8092448363324949</v>
      </c>
      <c r="DG192" s="21">
        <f>EXP(-LN(2)/25)*DG191+(1-EXP(-LN(2)/25))/(LN(2)/25)*Calculateur!DB192*Calculateur!DD192*VLOOKUP('Données projet'!$B$13,Paramètres!$A$1:$I$89,3,0)*0.475*44/12</f>
        <v>1.7772729992839158</v>
      </c>
      <c r="DH192" s="21">
        <f>EXP(-LN(2)/2)*DH191+(1-EXP(-LN(2)/2))/(LN(2)/2)*DB192*DE192*VLOOKUP('Données projet'!$B$13,Paramètres!$A$1:$I$89,3,0)*0.475*44/12</f>
        <v>1.7838778823490626E-15</v>
      </c>
      <c r="DI192" s="22">
        <f t="shared" si="175"/>
        <v>5.5865178356164122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3.979039320256561E-13</v>
      </c>
      <c r="O193" s="13">
        <f>N193*VLOOKUP('Données projet'!$B$9,Paramètres!$A$1:$I$89,3,0)*VLOOKUP('Données projet'!$B$9,Paramètres!$A$1:$I$89,5,0)</f>
        <v>3.6002347769681362E-13</v>
      </c>
      <c r="P193" s="13">
        <f t="shared" si="141"/>
        <v>4.6593569189922594E-12</v>
      </c>
      <c r="Q193" s="20">
        <f t="shared" si="162"/>
        <v>8.7420875242334695E-12</v>
      </c>
      <c r="R193" s="59">
        <f t="shared" si="109"/>
        <v>293.33333333334207</v>
      </c>
      <c r="S193" s="59">
        <f ca="1">AVERAGE(OFFSET($R$3,0,0,'Données projet'!$E$9+1,1))-AVERAGE(OFFSET($H$3,0,0,'Données projet'!$E$9+1,1))</f>
        <v>695.0879239758051</v>
      </c>
      <c r="T193" s="59">
        <f t="shared" si="142"/>
        <v>226.22150997227476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94.319628319963641</v>
      </c>
      <c r="AA193" s="21">
        <f>EXP(-LN(2)/25)*AA192+(1-EXP(-LN(2)/25))/(LN(2)/25)*Calculateur!V193*Calculateur!X193*VLOOKUP('Données projet'!$B$9,Paramètres!$A$1:$I$89,3,0)*0.475*44/12</f>
        <v>12.876857447879608</v>
      </c>
      <c r="AB193" s="21">
        <f>EXP(-LN(2)/2)*AB192+(1-EXP(-LN(2)/2))/(LN(2)/2)*V193*Y193*VLOOKUP('Données projet'!$B$9,Paramètres!$A$1:$I$89,3,0)*0.475*44/12</f>
        <v>2.4562018910050045E-4</v>
      </c>
      <c r="AC193" s="22">
        <f t="shared" si="163"/>
        <v>107.19673138803236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4.7884896048344674E-14</v>
      </c>
      <c r="AK193" s="13">
        <f t="shared" si="164"/>
        <v>7.8374629847779921E-13</v>
      </c>
      <c r="AL193" s="20">
        <f t="shared" si="165"/>
        <v>1.4484243304663672E-12</v>
      </c>
      <c r="AM193" s="59">
        <f t="shared" si="113"/>
        <v>293.33333333333474</v>
      </c>
      <c r="AN193" s="59">
        <f ca="1">AVERAGE(OFFSET($AM$3,0,0,'Données projet'!$E$10+1,1))-AVERAGE(OFFSET($H$3,0,0,'Données projet'!$E$10+1,1))</f>
        <v>424.81155998881928</v>
      </c>
      <c r="AO193" s="59">
        <f t="shared" si="144"/>
        <v>277.34430416544575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23.179390986236307</v>
      </c>
      <c r="AV193" s="21">
        <f>EXP(-LN(2)/25)*AV192+(1-EXP(-LN(2)/25))/(LN(2)/25)*Calculateur!AQ193*Calculateur!AS193*VLOOKUP('Données projet'!$B$10,Paramètres!$A$1:$I$89,3,0)*0.475*44/12</f>
        <v>2.7251105147032049</v>
      </c>
      <c r="AW193" s="21">
        <f>EXP(-LN(2)/2)*AW192+(1-EXP(-LN(2)/2))/(LN(2)/2)*AQ193*AT193*VLOOKUP('Données projet'!$B$10,Paramètres!$A$1:$I$89,3,0)*0.475*44/12</f>
        <v>1.6878001417720238E-12</v>
      </c>
      <c r="AX193" s="21">
        <f t="shared" si="166"/>
        <v>25.904501500941198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8.0694917414803056E-13</v>
      </c>
      <c r="BF193" s="13">
        <f t="shared" si="167"/>
        <v>9.5069530861628001E-12</v>
      </c>
      <c r="BG193" s="20">
        <f t="shared" si="168"/>
        <v>1.7963379770041364E-11</v>
      </c>
      <c r="BH193" s="59">
        <f t="shared" si="116"/>
        <v>293.33333333335128</v>
      </c>
      <c r="BI193" s="59">
        <f ca="1">AVERAGE(OFFSET($BH$3,0,0,'Données projet'!$E$11+1,1))-AVERAGE(OFFSET($H$3,0,0,'Données projet'!$E$11+1,1))</f>
        <v>706.69239849991595</v>
      </c>
      <c r="BJ193" s="59">
        <f t="shared" si="146"/>
        <v>310.59887275116529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150.37281341062607</v>
      </c>
      <c r="BQ193" s="21">
        <f>EXP(-LN(2)/25)*BQ192+(1-EXP(-LN(2)/25))/(LN(2)/25)*Calculateur!BL193*Calculateur!BN193*VLOOKUP('Données projet'!$B$11,Paramètres!$A$1:$I$89,3,0)*0.475*44/12</f>
        <v>23.758598131721403</v>
      </c>
      <c r="BR193" s="21">
        <f>EXP(-LN(2)/2)*BR192+(1-EXP(-LN(2)/2))/(LN(2)/2)*BL193*BO193*VLOOKUP('Données projet'!$B$11,Paramètres!$A$1:$I$89,3,0)*0.475*44/12</f>
        <v>1.052435515122</v>
      </c>
      <c r="BS193" s="22">
        <f t="shared" si="169"/>
        <v>175.18384705746948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2.5579538487363607E-13</v>
      </c>
      <c r="BZ193" s="13">
        <f>BY193*VLOOKUP('Données projet'!$B$12,Paramètres!$A$1:$I$89,3,0)*VLOOKUP('Données projet'!$B$12,Paramètres!$A$1:$I$89,5,0)</f>
        <v>2.4341488824575211E-13</v>
      </c>
      <c r="CA193" s="13">
        <f t="shared" si="170"/>
        <v>3.2970717324875541E-12</v>
      </c>
      <c r="CB193" s="20">
        <f t="shared" si="171"/>
        <v>6.1663475311105072E-12</v>
      </c>
      <c r="CC193" s="59">
        <f t="shared" si="119"/>
        <v>293.33333333333945</v>
      </c>
      <c r="CD193" s="59">
        <f ca="1">AVERAGE(OFFSET($CC$3,0,0,'Données projet'!$E$12+1,1))-AVERAGE(OFFSET($H$3,0,0,'Données projet'!$E$12+1,1))</f>
        <v>449.28947235329758</v>
      </c>
      <c r="CE193" s="59">
        <f t="shared" si="148"/>
        <v>289.36994109443964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36.207663633691972</v>
      </c>
      <c r="CL193" s="21">
        <f>EXP(-LN(2)/25)*CL192+(1-EXP(-LN(2)/25))/(LN(2)/25)*Calculateur!CG193*Calculateur!CI193*VLOOKUP('Données projet'!$B$12,Paramètres!$A$1:$I$89,3,0)*0.475*44/12</f>
        <v>4.6908908271222076</v>
      </c>
      <c r="CM193" s="21">
        <f>EXP(-LN(2)/2)*CM192+(1-EXP(-LN(2)/2))/(LN(2)/2)*CG193*CJ193*VLOOKUP('Données projet'!$B$12,Paramètres!$A$1:$I$89,3,0)*0.475*44/12</f>
        <v>6.6696144396881686E-9</v>
      </c>
      <c r="CN193" s="22">
        <f t="shared" si="172"/>
        <v>40.898554467483798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2.4829205358400945E-14</v>
      </c>
      <c r="CV193" s="13">
        <f t="shared" si="173"/>
        <v>4.3867331143352915E-13</v>
      </c>
      <c r="CW193" s="20">
        <f t="shared" si="174"/>
        <v>8.0726688341261168E-13</v>
      </c>
      <c r="CX193" s="59">
        <f t="shared" si="122"/>
        <v>293.33333333333411</v>
      </c>
      <c r="CY193" s="59">
        <f ca="1">AVERAGE(OFFSET($CX$3,0,0,'Données projet'!$E$13+1,1))-AVERAGE(OFFSET($H$3,0,0,'Données projet'!$E$13+1,1))</f>
        <v>261.93797831021766</v>
      </c>
      <c r="CZ193" s="59">
        <f t="shared" si="150"/>
        <v>256.90876395053073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3.7345478685019473</v>
      </c>
      <c r="DG193" s="21">
        <f>EXP(-LN(2)/25)*DG192+(1-EXP(-LN(2)/25))/(LN(2)/25)*Calculateur!DB193*Calculateur!DD193*VLOOKUP('Données projet'!$B$13,Paramètres!$A$1:$I$89,3,0)*0.475*44/12</f>
        <v>1.7286733756557722</v>
      </c>
      <c r="DH193" s="21">
        <f>EXP(-LN(2)/2)*DH192+(1-EXP(-LN(2)/2))/(LN(2)/2)*DB193*DE193*VLOOKUP('Données projet'!$B$13,Paramètres!$A$1:$I$89,3,0)*0.475*44/12</f>
        <v>1.2613921474177204E-15</v>
      </c>
      <c r="DI193" s="22">
        <f t="shared" si="175"/>
        <v>5.4632212441577206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3.979039320256561E-13</v>
      </c>
      <c r="O194" s="13">
        <f>N194*VLOOKUP('Données projet'!$B$9,Paramètres!$A$1:$I$89,3,0)*VLOOKUP('Données projet'!$B$9,Paramètres!$A$1:$I$89,5,0)</f>
        <v>3.6002347769681362E-13</v>
      </c>
      <c r="P194" s="13">
        <f t="shared" si="141"/>
        <v>4.6593569189922594E-12</v>
      </c>
      <c r="Q194" s="20">
        <f t="shared" si="162"/>
        <v>8.7420875242334695E-12</v>
      </c>
      <c r="R194" s="59">
        <f t="shared" si="109"/>
        <v>293.33333333334207</v>
      </c>
      <c r="S194" s="59">
        <f ca="1">AVERAGE(OFFSET($R$3,0,0,'Données projet'!$E$9+1,1))-AVERAGE(OFFSET($H$3,0,0,'Données projet'!$E$9+1,1))</f>
        <v>695.0879239758051</v>
      </c>
      <c r="T194" s="59">
        <f t="shared" si="142"/>
        <v>226.22150997227476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92.470077937901877</v>
      </c>
      <c r="AA194" s="21">
        <f>EXP(-LN(2)/25)*AA193+(1-EXP(-LN(2)/25))/(LN(2)/25)*Calculateur!V194*Calculateur!X194*VLOOKUP('Données projet'!$B$9,Paramètres!$A$1:$I$89,3,0)*0.475*44/12</f>
        <v>12.524739103802837</v>
      </c>
      <c r="AB194" s="21">
        <f>EXP(-LN(2)/2)*AB193+(1-EXP(-LN(2)/2))/(LN(2)/2)*V194*Y194*VLOOKUP('Données projet'!$B$9,Paramètres!$A$1:$I$89,3,0)*0.475*44/12</f>
        <v>1.73679701309286E-4</v>
      </c>
      <c r="AC194" s="22">
        <f t="shared" si="163"/>
        <v>104.99499072140603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4.7884896048344674E-14</v>
      </c>
      <c r="AK194" s="13">
        <f t="shared" si="164"/>
        <v>7.8374629847779921E-13</v>
      </c>
      <c r="AL194" s="20">
        <f t="shared" si="165"/>
        <v>1.4484243304663672E-12</v>
      </c>
      <c r="AM194" s="59">
        <f t="shared" si="113"/>
        <v>293.33333333333474</v>
      </c>
      <c r="AN194" s="59">
        <f ca="1">AVERAGE(OFFSET($AM$3,0,0,'Données projet'!$E$10+1,1))-AVERAGE(OFFSET($H$3,0,0,'Données projet'!$E$10+1,1))</f>
        <v>424.81155998881928</v>
      </c>
      <c r="AO194" s="59">
        <f t="shared" si="144"/>
        <v>277.34430416544575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22.7248572670287</v>
      </c>
      <c r="AV194" s="21">
        <f>EXP(-LN(2)/25)*AV193+(1-EXP(-LN(2)/25))/(LN(2)/25)*Calculateur!AQ194*Calculateur!AS194*VLOOKUP('Données projet'!$B$10,Paramètres!$A$1:$I$89,3,0)*0.475*44/12</f>
        <v>2.6505922243713123</v>
      </c>
      <c r="AW194" s="21">
        <f>EXP(-LN(2)/2)*AW193+(1-EXP(-LN(2)/2))/(LN(2)/2)*AQ194*AT194*VLOOKUP('Données projet'!$B$10,Paramètres!$A$1:$I$89,3,0)*0.475*44/12</f>
        <v>1.1934549255346143E-12</v>
      </c>
      <c r="AX194" s="21">
        <f t="shared" si="166"/>
        <v>25.375449491401206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8.0694917414803056E-13</v>
      </c>
      <c r="BF194" s="13">
        <f t="shared" si="167"/>
        <v>9.5069530861628001E-12</v>
      </c>
      <c r="BG194" s="20">
        <f t="shared" si="168"/>
        <v>1.7963379770041364E-11</v>
      </c>
      <c r="BH194" s="59">
        <f t="shared" si="116"/>
        <v>293.33333333335128</v>
      </c>
      <c r="BI194" s="59">
        <f ca="1">AVERAGE(OFFSET($BH$3,0,0,'Données projet'!$E$11+1,1))-AVERAGE(OFFSET($H$3,0,0,'Données projet'!$E$11+1,1))</f>
        <v>706.69239849991595</v>
      </c>
      <c r="BJ194" s="59">
        <f t="shared" si="146"/>
        <v>310.59887275116529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147.42409425800344</v>
      </c>
      <c r="BQ194" s="21">
        <f>EXP(-LN(2)/25)*BQ193+(1-EXP(-LN(2)/25))/(LN(2)/25)*Calculateur!BL194*Calculateur!BN194*VLOOKUP('Données projet'!$B$11,Paramètres!$A$1:$I$89,3,0)*0.475*44/12</f>
        <v>23.108918016399105</v>
      </c>
      <c r="BR194" s="21">
        <f>EXP(-LN(2)/2)*BR193+(1-EXP(-LN(2)/2))/(LN(2)/2)*BL194*BO194*VLOOKUP('Données projet'!$B$11,Paramètres!$A$1:$I$89,3,0)*0.475*44/12</f>
        <v>0.74418428950432347</v>
      </c>
      <c r="BS194" s="22">
        <f t="shared" si="169"/>
        <v>171.27719656390687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2.5579538487363607E-13</v>
      </c>
      <c r="BZ194" s="13">
        <f>BY194*VLOOKUP('Données projet'!$B$12,Paramètres!$A$1:$I$89,3,0)*VLOOKUP('Données projet'!$B$12,Paramètres!$A$1:$I$89,5,0)</f>
        <v>2.4341488824575211E-13</v>
      </c>
      <c r="CA194" s="13">
        <f t="shared" si="170"/>
        <v>3.2970717324875541E-12</v>
      </c>
      <c r="CB194" s="20">
        <f t="shared" si="171"/>
        <v>6.1663475311105072E-12</v>
      </c>
      <c r="CC194" s="59">
        <f t="shared" si="119"/>
        <v>293.33333333333945</v>
      </c>
      <c r="CD194" s="59">
        <f ca="1">AVERAGE(OFFSET($CC$3,0,0,'Données projet'!$E$12+1,1))-AVERAGE(OFFSET($H$3,0,0,'Données projet'!$E$12+1,1))</f>
        <v>449.28947235329758</v>
      </c>
      <c r="CE194" s="59">
        <f t="shared" si="148"/>
        <v>289.36994109443964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35.497653434329429</v>
      </c>
      <c r="CL194" s="21">
        <f>EXP(-LN(2)/25)*CL193+(1-EXP(-LN(2)/25))/(LN(2)/25)*Calculateur!CG194*Calculateur!CI194*VLOOKUP('Données projet'!$B$12,Paramètres!$A$1:$I$89,3,0)*0.475*44/12</f>
        <v>4.5626181707713238</v>
      </c>
      <c r="CM194" s="21">
        <f>EXP(-LN(2)/2)*CM193+(1-EXP(-LN(2)/2))/(LN(2)/2)*CG194*CJ194*VLOOKUP('Données projet'!$B$12,Paramètres!$A$1:$I$89,3,0)*0.475*44/12</f>
        <v>4.7161295982032196E-9</v>
      </c>
      <c r="CN194" s="22">
        <f t="shared" si="172"/>
        <v>40.06027160981688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2.4829205358400945E-14</v>
      </c>
      <c r="CV194" s="13">
        <f t="shared" si="173"/>
        <v>4.3867331143352915E-13</v>
      </c>
      <c r="CW194" s="20">
        <f t="shared" si="174"/>
        <v>8.0726688341261168E-13</v>
      </c>
      <c r="CX194" s="59">
        <f t="shared" si="122"/>
        <v>293.33333333333411</v>
      </c>
      <c r="CY194" s="59">
        <f ca="1">AVERAGE(OFFSET($CX$3,0,0,'Données projet'!$E$13+1,1))-AVERAGE(OFFSET($H$3,0,0,'Données projet'!$E$13+1,1))</f>
        <v>261.93797831021766</v>
      </c>
      <c r="CZ194" s="59">
        <f t="shared" si="150"/>
        <v>256.90876395053073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3.6613156626499048</v>
      </c>
      <c r="DG194" s="21">
        <f>EXP(-LN(2)/25)*DG193+(1-EXP(-LN(2)/25))/(LN(2)/25)*Calculateur!DB194*Calculateur!DD194*VLOOKUP('Données projet'!$B$13,Paramètres!$A$1:$I$89,3,0)*0.475*44/12</f>
        <v>1.6814027112914831</v>
      </c>
      <c r="DH194" s="21">
        <f>EXP(-LN(2)/2)*DH193+(1-EXP(-LN(2)/2))/(LN(2)/2)*DB194*DE194*VLOOKUP('Données projet'!$B$13,Paramètres!$A$1:$I$89,3,0)*0.475*44/12</f>
        <v>8.919389411745313E-16</v>
      </c>
      <c r="DI194" s="22">
        <f t="shared" si="175"/>
        <v>5.3427183739413886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3.979039320256561E-13</v>
      </c>
      <c r="O195" s="13">
        <f>N195*VLOOKUP('Données projet'!$B$9,Paramètres!$A$1:$I$89,3,0)*VLOOKUP('Données projet'!$B$9,Paramètres!$A$1:$I$89,5,0)</f>
        <v>3.6002347769681362E-13</v>
      </c>
      <c r="P195" s="13">
        <f t="shared" si="141"/>
        <v>4.6593569189922594E-12</v>
      </c>
      <c r="Q195" s="20">
        <f t="shared" si="162"/>
        <v>8.7420875242334695E-12</v>
      </c>
      <c r="R195" s="59">
        <f t="shared" ref="R195:R203" si="191">Q195+(I195+J195)*44/12</f>
        <v>293.33333333334207</v>
      </c>
      <c r="S195" s="59">
        <f ca="1">AVERAGE(OFFSET($R$3,0,0,'Données projet'!$E$9+1,1))-AVERAGE(OFFSET($H$3,0,0,'Données projet'!$E$9+1,1))</f>
        <v>695.0879239758051</v>
      </c>
      <c r="T195" s="59">
        <f t="shared" si="142"/>
        <v>226.22150997227476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90.656796110718005</v>
      </c>
      <c r="AA195" s="21">
        <f>EXP(-LN(2)/25)*AA194+(1-EXP(-LN(2)/25))/(LN(2)/25)*Calculateur!V195*Calculateur!X195*VLOOKUP('Données projet'!$B$9,Paramètres!$A$1:$I$89,3,0)*0.475*44/12</f>
        <v>12.182249454361944</v>
      </c>
      <c r="AB195" s="21">
        <f>EXP(-LN(2)/2)*AB194+(1-EXP(-LN(2)/2))/(LN(2)/2)*V195*Y195*VLOOKUP('Données projet'!$B$9,Paramètres!$A$1:$I$89,3,0)*0.475*44/12</f>
        <v>1.2281009455025022E-4</v>
      </c>
      <c r="AC195" s="22">
        <f t="shared" si="163"/>
        <v>102.83916837517449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4.7884896048344674E-14</v>
      </c>
      <c r="AK195" s="13">
        <f t="shared" si="164"/>
        <v>7.8374629847779921E-13</v>
      </c>
      <c r="AL195" s="20">
        <f t="shared" si="165"/>
        <v>1.4484243304663672E-12</v>
      </c>
      <c r="AM195" s="59">
        <f t="shared" si="113"/>
        <v>293.33333333333474</v>
      </c>
      <c r="AN195" s="59">
        <f ca="1">AVERAGE(OFFSET($AM$3,0,0,'Données projet'!$E$10+1,1))-AVERAGE(OFFSET($H$3,0,0,'Données projet'!$E$10+1,1))</f>
        <v>424.81155998881928</v>
      </c>
      <c r="AO195" s="59">
        <f t="shared" si="144"/>
        <v>277.34430416544575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22.279236676816559</v>
      </c>
      <c r="AV195" s="21">
        <f>EXP(-LN(2)/25)*AV194+(1-EXP(-LN(2)/25))/(LN(2)/25)*Calculateur!AQ195*Calculateur!AS195*VLOOKUP('Données projet'!$B$10,Paramètres!$A$1:$I$89,3,0)*0.475*44/12</f>
        <v>2.5781116406072915</v>
      </c>
      <c r="AW195" s="21">
        <f>EXP(-LN(2)/2)*AW194+(1-EXP(-LN(2)/2))/(LN(2)/2)*AQ195*AT195*VLOOKUP('Données projet'!$B$10,Paramètres!$A$1:$I$89,3,0)*0.475*44/12</f>
        <v>8.4390007088601188E-13</v>
      </c>
      <c r="AX195" s="21">
        <f t="shared" si="166"/>
        <v>24.857348317424695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8.0694917414803056E-13</v>
      </c>
      <c r="BF195" s="13">
        <f t="shared" si="167"/>
        <v>9.5069530861628001E-12</v>
      </c>
      <c r="BG195" s="20">
        <f t="shared" si="168"/>
        <v>1.7963379770041364E-11</v>
      </c>
      <c r="BH195" s="59">
        <f t="shared" si="116"/>
        <v>293.33333333335128</v>
      </c>
      <c r="BI195" s="59">
        <f ca="1">AVERAGE(OFFSET($BH$3,0,0,'Données projet'!$E$11+1,1))-AVERAGE(OFFSET($H$3,0,0,'Données projet'!$E$11+1,1))</f>
        <v>706.69239849991595</v>
      </c>
      <c r="BJ195" s="59">
        <f t="shared" si="146"/>
        <v>310.59887275116529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144.53319768942265</v>
      </c>
      <c r="BQ195" s="21">
        <f>EXP(-LN(2)/25)*BQ194+(1-EXP(-LN(2)/25))/(LN(2)/25)*Calculateur!BL195*Calculateur!BN195*VLOOKUP('Données projet'!$B$11,Paramètres!$A$1:$I$89,3,0)*0.475*44/12</f>
        <v>22.477003437995489</v>
      </c>
      <c r="BR195" s="21">
        <f>EXP(-LN(2)/2)*BR194+(1-EXP(-LN(2)/2))/(LN(2)/2)*BL195*BO195*VLOOKUP('Données projet'!$B$11,Paramètres!$A$1:$I$89,3,0)*0.475*44/12</f>
        <v>0.52621775756099998</v>
      </c>
      <c r="BS195" s="22">
        <f t="shared" si="169"/>
        <v>167.53641888497913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2.5579538487363607E-13</v>
      </c>
      <c r="BZ195" s="13">
        <f>BY195*VLOOKUP('Données projet'!$B$12,Paramètres!$A$1:$I$89,3,0)*VLOOKUP('Données projet'!$B$12,Paramètres!$A$1:$I$89,5,0)</f>
        <v>2.4341488824575211E-13</v>
      </c>
      <c r="CA195" s="13">
        <f t="shared" si="170"/>
        <v>3.2970717324875541E-12</v>
      </c>
      <c r="CB195" s="20">
        <f t="shared" si="171"/>
        <v>6.1663475311105072E-12</v>
      </c>
      <c r="CC195" s="59">
        <f t="shared" si="119"/>
        <v>293.33333333333945</v>
      </c>
      <c r="CD195" s="59">
        <f ca="1">AVERAGE(OFFSET($CC$3,0,0,'Données projet'!$E$12+1,1))-AVERAGE(OFFSET($H$3,0,0,'Données projet'!$E$12+1,1))</f>
        <v>449.28947235329758</v>
      </c>
      <c r="CE195" s="59">
        <f t="shared" si="148"/>
        <v>289.36994109443964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34.801566101912925</v>
      </c>
      <c r="CL195" s="21">
        <f>EXP(-LN(2)/25)*CL194+(1-EXP(-LN(2)/25))/(LN(2)/25)*Calculateur!CG195*Calculateur!CI195*VLOOKUP('Données projet'!$B$12,Paramètres!$A$1:$I$89,3,0)*0.475*44/12</f>
        <v>4.4378531369539207</v>
      </c>
      <c r="CM195" s="21">
        <f>EXP(-LN(2)/2)*CM194+(1-EXP(-LN(2)/2))/(LN(2)/2)*CG195*CJ195*VLOOKUP('Données projet'!$B$12,Paramètres!$A$1:$I$89,3,0)*0.475*44/12</f>
        <v>3.3348072198440843E-9</v>
      </c>
      <c r="CN195" s="22">
        <f t="shared" si="172"/>
        <v>39.239419242201649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2.4829205358400945E-14</v>
      </c>
      <c r="CV195" s="13">
        <f t="shared" si="173"/>
        <v>4.3867331143352915E-13</v>
      </c>
      <c r="CW195" s="20">
        <f t="shared" si="174"/>
        <v>8.0726688341261168E-13</v>
      </c>
      <c r="CX195" s="59">
        <f t="shared" si="122"/>
        <v>293.33333333333411</v>
      </c>
      <c r="CY195" s="59">
        <f ca="1">AVERAGE(OFFSET($CX$3,0,0,'Données projet'!$E$13+1,1))-AVERAGE(OFFSET($H$3,0,0,'Données projet'!$E$13+1,1))</f>
        <v>261.93797831021766</v>
      </c>
      <c r="CZ195" s="59">
        <f t="shared" si="150"/>
        <v>256.90876395053073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3.5895194956873859</v>
      </c>
      <c r="DG195" s="21">
        <f>EXP(-LN(2)/25)*DG194+(1-EXP(-LN(2)/25))/(LN(2)/25)*Calculateur!DB195*Calculateur!DD195*VLOOKUP('Données projet'!$B$13,Paramètres!$A$1:$I$89,3,0)*0.475*44/12</f>
        <v>1.6354246657300917</v>
      </c>
      <c r="DH195" s="21">
        <f>EXP(-LN(2)/2)*DH194+(1-EXP(-LN(2)/2))/(LN(2)/2)*DB195*DE195*VLOOKUP('Données projet'!$B$13,Paramètres!$A$1:$I$89,3,0)*0.475*44/12</f>
        <v>6.306960737088602E-16</v>
      </c>
      <c r="DI195" s="22">
        <f t="shared" si="175"/>
        <v>5.2249441614174783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3.979039320256561E-13</v>
      </c>
      <c r="O196" s="13">
        <f>N196*VLOOKUP('Données projet'!$B$9,Paramètres!$A$1:$I$89,3,0)*VLOOKUP('Données projet'!$B$9,Paramètres!$A$1:$I$89,5,0)</f>
        <v>3.6002347769681362E-13</v>
      </c>
      <c r="P196" s="13">
        <f t="shared" si="141"/>
        <v>4.6593569189922594E-12</v>
      </c>
      <c r="Q196" s="20">
        <f t="shared" si="162"/>
        <v>8.7420875242334695E-12</v>
      </c>
      <c r="R196" s="59">
        <f t="shared" si="191"/>
        <v>293.33333333334207</v>
      </c>
      <c r="S196" s="59">
        <f ca="1">AVERAGE(OFFSET($R$3,0,0,'Données projet'!$E$9+1,1))-AVERAGE(OFFSET($H$3,0,0,'Données projet'!$E$9+1,1))</f>
        <v>695.0879239758051</v>
      </c>
      <c r="T196" s="59">
        <f t="shared" si="142"/>
        <v>226.22150997227476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88.879071634172504</v>
      </c>
      <c r="AA196" s="21">
        <f>EXP(-LN(2)/25)*AA195+(1-EXP(-LN(2)/25))/(LN(2)/25)*Calculateur!V196*Calculateur!X196*VLOOKUP('Données projet'!$B$9,Paramètres!$A$1:$I$89,3,0)*0.475*44/12</f>
        <v>11.849125202395761</v>
      </c>
      <c r="AB196" s="21">
        <f>EXP(-LN(2)/2)*AB195+(1-EXP(-LN(2)/2))/(LN(2)/2)*V196*Y196*VLOOKUP('Données projet'!$B$9,Paramètres!$A$1:$I$89,3,0)*0.475*44/12</f>
        <v>8.6839850654642998E-5</v>
      </c>
      <c r="AC196" s="22">
        <f t="shared" si="163"/>
        <v>100.72828367641891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4.7884896048344674E-14</v>
      </c>
      <c r="AK196" s="13">
        <f t="shared" si="164"/>
        <v>7.8374629847779921E-13</v>
      </c>
      <c r="AL196" s="20">
        <f t="shared" si="165"/>
        <v>1.4484243304663672E-12</v>
      </c>
      <c r="AM196" s="59">
        <f t="shared" ref="AM196:AM203" si="193">AL196+(AD196+AE196)*44/12</f>
        <v>293.33333333333474</v>
      </c>
      <c r="AN196" s="59">
        <f ca="1">AVERAGE(OFFSET($AM$3,0,0,'Données projet'!$E$10+1,1))-AVERAGE(OFFSET($H$3,0,0,'Données projet'!$E$10+1,1))</f>
        <v>424.81155998881928</v>
      </c>
      <c r="AO196" s="59">
        <f t="shared" si="144"/>
        <v>277.34430416544575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21.842354434576759</v>
      </c>
      <c r="AV196" s="21">
        <f>EXP(-LN(2)/25)*AV195+(1-EXP(-LN(2)/25))/(LN(2)/25)*Calculateur!AQ196*Calculateur!AS196*VLOOKUP('Données projet'!$B$10,Paramètres!$A$1:$I$89,3,0)*0.475*44/12</f>
        <v>2.5076130422178862</v>
      </c>
      <c r="AW196" s="21">
        <f>EXP(-LN(2)/2)*AW195+(1-EXP(-LN(2)/2))/(LN(2)/2)*AQ196*AT196*VLOOKUP('Données projet'!$B$10,Paramètres!$A$1:$I$89,3,0)*0.475*44/12</f>
        <v>5.9672746276730714E-13</v>
      </c>
      <c r="AX196" s="21">
        <f t="shared" si="166"/>
        <v>24.349967476795243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8.0694917414803056E-13</v>
      </c>
      <c r="BF196" s="13">
        <f t="shared" si="167"/>
        <v>9.5069530861628001E-12</v>
      </c>
      <c r="BG196" s="20">
        <f t="shared" si="168"/>
        <v>1.7963379770041364E-11</v>
      </c>
      <c r="BH196" s="59">
        <f t="shared" ref="BH196:BH203" si="194">BG196+(AY196+AZ196)*44/12</f>
        <v>293.33333333335128</v>
      </c>
      <c r="BI196" s="59">
        <f ca="1">AVERAGE(OFFSET($BH$3,0,0,'Données projet'!$E$11+1,1))-AVERAGE(OFFSET($H$3,0,0,'Données projet'!$E$11+1,1))</f>
        <v>706.69239849991595</v>
      </c>
      <c r="BJ196" s="59">
        <f t="shared" si="146"/>
        <v>310.59887275116529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141.69898983927894</v>
      </c>
      <c r="BQ196" s="21">
        <f>EXP(-LN(2)/25)*BQ195+(1-EXP(-LN(2)/25))/(LN(2)/25)*Calculateur!BL196*Calculateur!BN196*VLOOKUP('Données projet'!$B$11,Paramètres!$A$1:$I$89,3,0)*0.475*44/12</f>
        <v>21.862368596969262</v>
      </c>
      <c r="BR196" s="21">
        <f>EXP(-LN(2)/2)*BR195+(1-EXP(-LN(2)/2))/(LN(2)/2)*BL196*BO196*VLOOKUP('Données projet'!$B$11,Paramètres!$A$1:$I$89,3,0)*0.475*44/12</f>
        <v>0.37209214475216174</v>
      </c>
      <c r="BS196" s="22">
        <f t="shared" si="169"/>
        <v>163.93345058100039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2.5579538487363607E-13</v>
      </c>
      <c r="BZ196" s="13">
        <f>BY196*VLOOKUP('Données projet'!$B$12,Paramètres!$A$1:$I$89,3,0)*VLOOKUP('Données projet'!$B$12,Paramètres!$A$1:$I$89,5,0)</f>
        <v>2.4341488824575211E-13</v>
      </c>
      <c r="CA196" s="13">
        <f t="shared" si="170"/>
        <v>3.2970717324875541E-12</v>
      </c>
      <c r="CB196" s="20">
        <f t="shared" si="171"/>
        <v>6.1663475311105072E-12</v>
      </c>
      <c r="CC196" s="59">
        <f t="shared" ref="CC196:CC203" si="195">CB196+(BT196+BU196)*44/12</f>
        <v>293.33333333333945</v>
      </c>
      <c r="CD196" s="59">
        <f ca="1">AVERAGE(OFFSET($CC$3,0,0,'Données projet'!$E$12+1,1))-AVERAGE(OFFSET($H$3,0,0,'Données projet'!$E$12+1,1))</f>
        <v>449.28947235329758</v>
      </c>
      <c r="CE196" s="59">
        <f t="shared" si="148"/>
        <v>289.36994109443964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34.119128617513759</v>
      </c>
      <c r="CL196" s="21">
        <f>EXP(-LN(2)/25)*CL195+(1-EXP(-LN(2)/25))/(LN(2)/25)*Calculateur!CG196*Calculateur!CI196*VLOOKUP('Données projet'!$B$12,Paramètres!$A$1:$I$89,3,0)*0.475*44/12</f>
        <v>4.3164998095473619</v>
      </c>
      <c r="CM196" s="21">
        <f>EXP(-LN(2)/2)*CM195+(1-EXP(-LN(2)/2))/(LN(2)/2)*CG196*CJ196*VLOOKUP('Données projet'!$B$12,Paramètres!$A$1:$I$89,3,0)*0.475*44/12</f>
        <v>2.3580647991016098E-9</v>
      </c>
      <c r="CN196" s="22">
        <f t="shared" si="172"/>
        <v>38.435628429419182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2.4829205358400945E-14</v>
      </c>
      <c r="CV196" s="13">
        <f t="shared" si="173"/>
        <v>4.3867331143352915E-13</v>
      </c>
      <c r="CW196" s="20">
        <f t="shared" si="174"/>
        <v>8.0726688341261168E-13</v>
      </c>
      <c r="CX196" s="59">
        <f t="shared" ref="CX196:CX203" si="196">CW196+(CO196+CP196)*44/12</f>
        <v>293.33333333333411</v>
      </c>
      <c r="CY196" s="59">
        <f ca="1">AVERAGE(OFFSET($CX$3,0,0,'Données projet'!$E$13+1,1))-AVERAGE(OFFSET($H$3,0,0,'Données projet'!$E$13+1,1))</f>
        <v>261.93797831021766</v>
      </c>
      <c r="CZ196" s="59">
        <f t="shared" si="150"/>
        <v>256.90876395053073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3.5191312077676642</v>
      </c>
      <c r="DG196" s="21">
        <f>EXP(-LN(2)/25)*DG195+(1-EXP(-LN(2)/25))/(LN(2)/25)*Calculateur!DB196*Calculateur!DD196*VLOOKUP('Données projet'!$B$13,Paramètres!$A$1:$I$89,3,0)*0.475*44/12</f>
        <v>1.590703892242457</v>
      </c>
      <c r="DH196" s="21">
        <f>EXP(-LN(2)/2)*DH195+(1-EXP(-LN(2)/2))/(LN(2)/2)*DB196*DE196*VLOOKUP('Données projet'!$B$13,Paramètres!$A$1:$I$89,3,0)*0.475*44/12</f>
        <v>4.4596947058726565E-16</v>
      </c>
      <c r="DI196" s="22">
        <f t="shared" si="175"/>
        <v>5.1098351000101223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3.979039320256561E-13</v>
      </c>
      <c r="O197" s="13">
        <f>N197*VLOOKUP('Données projet'!$B$9,Paramètres!$A$1:$I$89,3,0)*VLOOKUP('Données projet'!$B$9,Paramètres!$A$1:$I$89,5,0)</f>
        <v>3.6002347769681362E-13</v>
      </c>
      <c r="P197" s="13">
        <f t="shared" ref="P197:P203" si="203">EXP(-1.0587+0.8836*LN(O197)+0.284)</f>
        <v>4.6593569189922594E-12</v>
      </c>
      <c r="Q197" s="20">
        <f t="shared" si="162"/>
        <v>8.7420875242334695E-12</v>
      </c>
      <c r="R197" s="59">
        <f t="shared" si="191"/>
        <v>293.33333333334207</v>
      </c>
      <c r="S197" s="59">
        <f ca="1">AVERAGE(OFFSET($R$3,0,0,'Données projet'!$E$9+1,1))-AVERAGE(OFFSET($H$3,0,0,'Données projet'!$E$9+1,1))</f>
        <v>695.0879239758051</v>
      </c>
      <c r="T197" s="59">
        <f t="shared" ref="T197:T203" si="204">$T$3</f>
        <v>226.22150997227476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87.136207250307194</v>
      </c>
      <c r="AA197" s="21">
        <f>EXP(-LN(2)/25)*AA196+(1-EXP(-LN(2)/25))/(LN(2)/25)*Calculateur!V197*Calculateur!X197*VLOOKUP('Données projet'!$B$9,Paramètres!$A$1:$I$89,3,0)*0.475*44/12</f>
        <v>11.525110250617836</v>
      </c>
      <c r="AB197" s="21">
        <f>EXP(-LN(2)/2)*AB196+(1-EXP(-LN(2)/2))/(LN(2)/2)*V197*Y197*VLOOKUP('Données projet'!$B$9,Paramètres!$A$1:$I$89,3,0)*0.475*44/12</f>
        <v>6.1405047275125111E-5</v>
      </c>
      <c r="AC197" s="22">
        <f t="shared" si="163"/>
        <v>98.661378905972313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4.7884896048344674E-14</v>
      </c>
      <c r="AK197" s="13">
        <f t="shared" si="164"/>
        <v>7.8374629847779921E-13</v>
      </c>
      <c r="AL197" s="20">
        <f t="shared" si="165"/>
        <v>1.4484243304663672E-12</v>
      </c>
      <c r="AM197" s="59">
        <f t="shared" si="193"/>
        <v>293.33333333333474</v>
      </c>
      <c r="AN197" s="59">
        <f ca="1">AVERAGE(OFFSET($AM$3,0,0,'Données projet'!$E$10+1,1))-AVERAGE(OFFSET($H$3,0,0,'Données projet'!$E$10+1,1))</f>
        <v>424.81155998881928</v>
      </c>
      <c r="AO197" s="59">
        <f t="shared" ref="AO197:AO203" si="205">$AO$3</f>
        <v>277.34430416544575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21.414039186635424</v>
      </c>
      <c r="AV197" s="21">
        <f>EXP(-LN(2)/25)*AV196+(1-EXP(-LN(2)/25))/(LN(2)/25)*Calculateur!AQ197*Calculateur!AS197*VLOOKUP('Données projet'!$B$10,Paramètres!$A$1:$I$89,3,0)*0.475*44/12</f>
        <v>2.4390422317087994</v>
      </c>
      <c r="AW197" s="21">
        <f>EXP(-LN(2)/2)*AW196+(1-EXP(-LN(2)/2))/(LN(2)/2)*AQ197*AT197*VLOOKUP('Données projet'!$B$10,Paramètres!$A$1:$I$89,3,0)*0.475*44/12</f>
        <v>4.2195003544300594E-13</v>
      </c>
      <c r="AX197" s="21">
        <f t="shared" si="166"/>
        <v>23.853081418344647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8.0694917414803056E-13</v>
      </c>
      <c r="BF197" s="13">
        <f t="shared" si="167"/>
        <v>9.5069530861628001E-12</v>
      </c>
      <c r="BG197" s="20">
        <f t="shared" si="168"/>
        <v>1.7963379770041364E-11</v>
      </c>
      <c r="BH197" s="59">
        <f t="shared" si="194"/>
        <v>293.33333333335128</v>
      </c>
      <c r="BI197" s="59">
        <f ca="1">AVERAGE(OFFSET($BH$3,0,0,'Données projet'!$E$11+1,1))-AVERAGE(OFFSET($H$3,0,0,'Données projet'!$E$11+1,1))</f>
        <v>706.69239849991595</v>
      </c>
      <c r="BJ197" s="59">
        <f t="shared" ref="BJ197:BJ203" si="206">$BJ$3</f>
        <v>310.59887275116529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138.92035907638044</v>
      </c>
      <c r="BQ197" s="21">
        <f>EXP(-LN(2)/25)*BQ196+(1-EXP(-LN(2)/25))/(LN(2)/25)*Calculateur!BL197*Calculateur!BN197*VLOOKUP('Données projet'!$B$11,Paramètres!$A$1:$I$89,3,0)*0.475*44/12</f>
        <v>21.264540977993139</v>
      </c>
      <c r="BR197" s="21">
        <f>EXP(-LN(2)/2)*BR196+(1-EXP(-LN(2)/2))/(LN(2)/2)*BL197*BO197*VLOOKUP('Données projet'!$B$11,Paramètres!$A$1:$I$89,3,0)*0.475*44/12</f>
        <v>0.26310887878049999</v>
      </c>
      <c r="BS197" s="22">
        <f t="shared" si="169"/>
        <v>160.44800893315409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2.5579538487363607E-13</v>
      </c>
      <c r="BZ197" s="13">
        <f>BY197*VLOOKUP('Données projet'!$B$12,Paramètres!$A$1:$I$89,3,0)*VLOOKUP('Données projet'!$B$12,Paramètres!$A$1:$I$89,5,0)</f>
        <v>2.4341488824575211E-13</v>
      </c>
      <c r="CA197" s="13">
        <f t="shared" si="170"/>
        <v>3.2970717324875541E-12</v>
      </c>
      <c r="CB197" s="20">
        <f t="shared" si="171"/>
        <v>6.1663475311105072E-12</v>
      </c>
      <c r="CC197" s="59">
        <f t="shared" si="195"/>
        <v>293.33333333333945</v>
      </c>
      <c r="CD197" s="59">
        <f ca="1">AVERAGE(OFFSET($CC$3,0,0,'Données projet'!$E$12+1,1))-AVERAGE(OFFSET($H$3,0,0,'Données projet'!$E$12+1,1))</f>
        <v>449.28947235329758</v>
      </c>
      <c r="CE197" s="59">
        <f t="shared" ref="CE197:CE203" si="207">$CE$3</f>
        <v>289.36994109443964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33.450073315937892</v>
      </c>
      <c r="CL197" s="21">
        <f>EXP(-LN(2)/25)*CL196+(1-EXP(-LN(2)/25))/(LN(2)/25)*Calculateur!CG197*Calculateur!CI197*VLOOKUP('Données projet'!$B$12,Paramètres!$A$1:$I$89,3,0)*0.475*44/12</f>
        <v>4.1984648952604298</v>
      </c>
      <c r="CM197" s="21">
        <f>EXP(-LN(2)/2)*CM196+(1-EXP(-LN(2)/2))/(LN(2)/2)*CG197*CJ197*VLOOKUP('Données projet'!$B$12,Paramètres!$A$1:$I$89,3,0)*0.475*44/12</f>
        <v>1.6674036099220422E-9</v>
      </c>
      <c r="CN197" s="22">
        <f t="shared" si="172"/>
        <v>37.648538212865724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2.4829205358400945E-14</v>
      </c>
      <c r="CV197" s="13">
        <f t="shared" si="173"/>
        <v>4.3867331143352915E-13</v>
      </c>
      <c r="CW197" s="20">
        <f t="shared" si="174"/>
        <v>8.0726688341261168E-13</v>
      </c>
      <c r="CX197" s="59">
        <f t="shared" si="196"/>
        <v>293.33333333333411</v>
      </c>
      <c r="CY197" s="59">
        <f ca="1">AVERAGE(OFFSET($CX$3,0,0,'Données projet'!$E$13+1,1))-AVERAGE(OFFSET($H$3,0,0,'Données projet'!$E$13+1,1))</f>
        <v>261.93797831021766</v>
      </c>
      <c r="CZ197" s="59">
        <f t="shared" ref="CZ197:CZ203" si="208">$CZ$3</f>
        <v>256.90876395053073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3.4501231912414321</v>
      </c>
      <c r="DG197" s="21">
        <f>EXP(-LN(2)/25)*DG196+(1-EXP(-LN(2)/25))/(LN(2)/25)*Calculateur!DB197*Calculateur!DD197*VLOOKUP('Données projet'!$B$13,Paramètres!$A$1:$I$89,3,0)*0.475*44/12</f>
        <v>1.5472060106576049</v>
      </c>
      <c r="DH197" s="21">
        <f>EXP(-LN(2)/2)*DH196+(1-EXP(-LN(2)/2))/(LN(2)/2)*DB197*DE197*VLOOKUP('Données projet'!$B$13,Paramètres!$A$1:$I$89,3,0)*0.475*44/12</f>
        <v>3.153480368544301E-16</v>
      </c>
      <c r="DI197" s="22">
        <f t="shared" si="175"/>
        <v>4.9973292018990367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3.979039320256561E-13</v>
      </c>
      <c r="O198" s="13">
        <f>N198*VLOOKUP('Données projet'!$B$9,Paramètres!$A$1:$I$89,3,0)*VLOOKUP('Données projet'!$B$9,Paramètres!$A$1:$I$89,5,0)</f>
        <v>3.6002347769681362E-13</v>
      </c>
      <c r="P198" s="13">
        <f t="shared" si="203"/>
        <v>4.6593569189922594E-12</v>
      </c>
      <c r="Q198" s="20">
        <f t="shared" si="162"/>
        <v>8.7420875242334695E-12</v>
      </c>
      <c r="R198" s="59">
        <f t="shared" si="191"/>
        <v>293.33333333334207</v>
      </c>
      <c r="S198" s="59">
        <f ca="1">AVERAGE(OFFSET($R$3,0,0,'Données projet'!$E$9+1,1))-AVERAGE(OFFSET($H$3,0,0,'Données projet'!$E$9+1,1))</f>
        <v>695.0879239758051</v>
      </c>
      <c r="T198" s="59">
        <f t="shared" si="204"/>
        <v>226.22150997227476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85.427519373967186</v>
      </c>
      <c r="AA198" s="21">
        <f>EXP(-LN(2)/25)*AA197+(1-EXP(-LN(2)/25))/(LN(2)/25)*Calculateur!V198*Calculateur!X198*VLOOKUP('Données projet'!$B$9,Paramètres!$A$1:$I$89,3,0)*0.475*44/12</f>
        <v>11.209955504735484</v>
      </c>
      <c r="AB198" s="21">
        <f>EXP(-LN(2)/2)*AB197+(1-EXP(-LN(2)/2))/(LN(2)/2)*V198*Y198*VLOOKUP('Données projet'!$B$9,Paramètres!$A$1:$I$89,3,0)*0.475*44/12</f>
        <v>4.3419925327321499E-5</v>
      </c>
      <c r="AC198" s="22">
        <f t="shared" si="163"/>
        <v>96.637518298628009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4.7884896048344674E-14</v>
      </c>
      <c r="AK198" s="13">
        <f t="shared" si="164"/>
        <v>7.8374629847779921E-13</v>
      </c>
      <c r="AL198" s="20">
        <f t="shared" si="165"/>
        <v>1.4484243304663672E-12</v>
      </c>
      <c r="AM198" s="59">
        <f t="shared" si="193"/>
        <v>293.33333333333474</v>
      </c>
      <c r="AN198" s="59">
        <f ca="1">AVERAGE(OFFSET($AM$3,0,0,'Données projet'!$E$10+1,1))-AVERAGE(OFFSET($H$3,0,0,'Données projet'!$E$10+1,1))</f>
        <v>424.81155998881928</v>
      </c>
      <c r="AO198" s="59">
        <f t="shared" si="205"/>
        <v>277.34430416544575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20.994122939459714</v>
      </c>
      <c r="AV198" s="21">
        <f>EXP(-LN(2)/25)*AV197+(1-EXP(-LN(2)/25))/(LN(2)/25)*Calculateur!AQ198*Calculateur!AS198*VLOOKUP('Données projet'!$B$10,Paramètres!$A$1:$I$89,3,0)*0.475*44/12</f>
        <v>2.3723464936190659</v>
      </c>
      <c r="AW198" s="21">
        <f>EXP(-LN(2)/2)*AW197+(1-EXP(-LN(2)/2))/(LN(2)/2)*AQ198*AT198*VLOOKUP('Données projet'!$B$10,Paramètres!$A$1:$I$89,3,0)*0.475*44/12</f>
        <v>2.9836373138365357E-13</v>
      </c>
      <c r="AX198" s="21">
        <f t="shared" si="166"/>
        <v>23.366469433079079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8.0694917414803056E-13</v>
      </c>
      <c r="BF198" s="13">
        <f t="shared" si="167"/>
        <v>9.5069530861628001E-12</v>
      </c>
      <c r="BG198" s="20">
        <f t="shared" si="168"/>
        <v>1.7963379770041364E-11</v>
      </c>
      <c r="BH198" s="59">
        <f t="shared" si="194"/>
        <v>293.33333333335128</v>
      </c>
      <c r="BI198" s="59">
        <f ca="1">AVERAGE(OFFSET($BH$3,0,0,'Données projet'!$E$11+1,1))-AVERAGE(OFFSET($H$3,0,0,'Données projet'!$E$11+1,1))</f>
        <v>706.69239849991595</v>
      </c>
      <c r="BJ198" s="59">
        <f t="shared" si="206"/>
        <v>310.59887275116529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136.19621556794496</v>
      </c>
      <c r="BQ198" s="21">
        <f>EXP(-LN(2)/25)*BQ197+(1-EXP(-LN(2)/25))/(LN(2)/25)*Calculateur!BL198*Calculateur!BN198*VLOOKUP('Données projet'!$B$11,Paramètres!$A$1:$I$89,3,0)*0.475*44/12</f>
        <v>20.683060986696308</v>
      </c>
      <c r="BR198" s="21">
        <f>EXP(-LN(2)/2)*BR197+(1-EXP(-LN(2)/2))/(LN(2)/2)*BL198*BO198*VLOOKUP('Données projet'!$B$11,Paramètres!$A$1:$I$89,3,0)*0.475*44/12</f>
        <v>0.18604607237608087</v>
      </c>
      <c r="BS198" s="22">
        <f t="shared" si="169"/>
        <v>157.06532262701737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2.5579538487363607E-13</v>
      </c>
      <c r="BZ198" s="13">
        <f>BY198*VLOOKUP('Données projet'!$B$12,Paramètres!$A$1:$I$89,3,0)*VLOOKUP('Données projet'!$B$12,Paramètres!$A$1:$I$89,5,0)</f>
        <v>2.4341488824575211E-13</v>
      </c>
      <c r="CA198" s="13">
        <f t="shared" si="170"/>
        <v>3.2970717324875541E-12</v>
      </c>
      <c r="CB198" s="20">
        <f t="shared" si="171"/>
        <v>6.1663475311105072E-12</v>
      </c>
      <c r="CC198" s="59">
        <f t="shared" si="195"/>
        <v>293.33333333333945</v>
      </c>
      <c r="CD198" s="59">
        <f ca="1">AVERAGE(OFFSET($CC$3,0,0,'Données projet'!$E$12+1,1))-AVERAGE(OFFSET($H$3,0,0,'Données projet'!$E$12+1,1))</f>
        <v>449.28947235329758</v>
      </c>
      <c r="CE198" s="59">
        <f t="shared" si="207"/>
        <v>289.36994109443964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32.794137780742489</v>
      </c>
      <c r="CL198" s="21">
        <f>EXP(-LN(2)/25)*CL197+(1-EXP(-LN(2)/25))/(LN(2)/25)*Calculateur!CG198*Calculateur!CI198*VLOOKUP('Données projet'!$B$12,Paramètres!$A$1:$I$89,3,0)*0.475*44/12</f>
        <v>4.0836576519118601</v>
      </c>
      <c r="CM198" s="21">
        <f>EXP(-LN(2)/2)*CM197+(1-EXP(-LN(2)/2))/(LN(2)/2)*CG198*CJ198*VLOOKUP('Données projet'!$B$12,Paramètres!$A$1:$I$89,3,0)*0.475*44/12</f>
        <v>1.1790323995508049E-9</v>
      </c>
      <c r="CN198" s="22">
        <f t="shared" si="172"/>
        <v>36.877795433833384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2.4829205358400945E-14</v>
      </c>
      <c r="CV198" s="13">
        <f t="shared" si="173"/>
        <v>4.3867331143352915E-13</v>
      </c>
      <c r="CW198" s="20">
        <f t="shared" si="174"/>
        <v>8.0726688341261168E-13</v>
      </c>
      <c r="CX198" s="59">
        <f t="shared" si="196"/>
        <v>293.33333333333411</v>
      </c>
      <c r="CY198" s="59">
        <f ca="1">AVERAGE(OFFSET($CX$3,0,0,'Données projet'!$E$13+1,1))-AVERAGE(OFFSET($H$3,0,0,'Données projet'!$E$13+1,1))</f>
        <v>261.93797831021766</v>
      </c>
      <c r="CZ198" s="59">
        <f t="shared" si="208"/>
        <v>256.90876395053073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3.3824683798285453</v>
      </c>
      <c r="DG198" s="21">
        <f>EXP(-LN(2)/25)*DG197+(1-EXP(-LN(2)/25))/(LN(2)/25)*Calculateur!DB198*Calculateur!DD198*VLOOKUP('Données projet'!$B$13,Paramètres!$A$1:$I$89,3,0)*0.475*44/12</f>
        <v>1.5048975809321448</v>
      </c>
      <c r="DH198" s="21">
        <f>EXP(-LN(2)/2)*DH197+(1-EXP(-LN(2)/2))/(LN(2)/2)*DB198*DE198*VLOOKUP('Données projet'!$B$13,Paramètres!$A$1:$I$89,3,0)*0.475*44/12</f>
        <v>2.2298473529363283E-16</v>
      </c>
      <c r="DI198" s="22">
        <f t="shared" si="175"/>
        <v>4.8873659607606896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3.979039320256561E-13</v>
      </c>
      <c r="O199" s="13">
        <f>N199*VLOOKUP('Données projet'!$B$9,Paramètres!$A$1:$I$89,3,0)*VLOOKUP('Données projet'!$B$9,Paramètres!$A$1:$I$89,5,0)</f>
        <v>3.6002347769681362E-13</v>
      </c>
      <c r="P199" s="13">
        <f t="shared" si="203"/>
        <v>4.6593569189922594E-12</v>
      </c>
      <c r="Q199" s="20">
        <f t="shared" si="162"/>
        <v>8.7420875242334695E-12</v>
      </c>
      <c r="R199" s="59">
        <f t="shared" si="191"/>
        <v>293.33333333334207</v>
      </c>
      <c r="S199" s="59">
        <f ca="1">AVERAGE(OFFSET($R$3,0,0,'Données projet'!$E$9+1,1))-AVERAGE(OFFSET($H$3,0,0,'Données projet'!$E$9+1,1))</f>
        <v>695.0879239758051</v>
      </c>
      <c r="T199" s="59">
        <f t="shared" si="204"/>
        <v>226.22150997227476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83.752337824685497</v>
      </c>
      <c r="AA199" s="21">
        <f>EXP(-LN(2)/25)*AA198+(1-EXP(-LN(2)/25))/(LN(2)/25)*Calculateur!V199*Calculateur!X199*VLOOKUP('Données projet'!$B$9,Paramètres!$A$1:$I$89,3,0)*0.475*44/12</f>
        <v>10.903418681952553</v>
      </c>
      <c r="AB199" s="21">
        <f>EXP(-LN(2)/2)*AB198+(1-EXP(-LN(2)/2))/(LN(2)/2)*V199*Y199*VLOOKUP('Données projet'!$B$9,Paramètres!$A$1:$I$89,3,0)*0.475*44/12</f>
        <v>3.0702523637562556E-5</v>
      </c>
      <c r="AC199" s="22">
        <f t="shared" si="163"/>
        <v>94.655787209161687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4.7884896048344674E-14</v>
      </c>
      <c r="AK199" s="13">
        <f t="shared" si="164"/>
        <v>7.8374629847779921E-13</v>
      </c>
      <c r="AL199" s="20">
        <f t="shared" si="165"/>
        <v>1.4484243304663672E-12</v>
      </c>
      <c r="AM199" s="59">
        <f t="shared" si="193"/>
        <v>293.33333333333474</v>
      </c>
      <c r="AN199" s="59">
        <f ca="1">AVERAGE(OFFSET($AM$3,0,0,'Données projet'!$E$10+1,1))-AVERAGE(OFFSET($H$3,0,0,'Données projet'!$E$10+1,1))</f>
        <v>424.81155998881928</v>
      </c>
      <c r="AO199" s="59">
        <f t="shared" si="205"/>
        <v>277.34430416544575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20.582440993767499</v>
      </c>
      <c r="AV199" s="21">
        <f>EXP(-LN(2)/25)*AV198+(1-EXP(-LN(2)/25))/(LN(2)/25)*Calculateur!AQ199*Calculateur!AS199*VLOOKUP('Données projet'!$B$10,Paramètres!$A$1:$I$89,3,0)*0.475*44/12</f>
        <v>2.3074745539947723</v>
      </c>
      <c r="AW199" s="21">
        <f>EXP(-LN(2)/2)*AW198+(1-EXP(-LN(2)/2))/(LN(2)/2)*AQ199*AT199*VLOOKUP('Données projet'!$B$10,Paramètres!$A$1:$I$89,3,0)*0.475*44/12</f>
        <v>2.1097501772150297E-13</v>
      </c>
      <c r="AX199" s="21">
        <f t="shared" si="166"/>
        <v>22.889915547762481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8.0694917414803056E-13</v>
      </c>
      <c r="BF199" s="13">
        <f t="shared" si="167"/>
        <v>9.5069530861628001E-12</v>
      </c>
      <c r="BG199" s="20">
        <f t="shared" si="168"/>
        <v>1.7963379770041364E-11</v>
      </c>
      <c r="BH199" s="59">
        <f t="shared" si="194"/>
        <v>293.33333333335128</v>
      </c>
      <c r="BI199" s="59">
        <f ca="1">AVERAGE(OFFSET($BH$3,0,0,'Données projet'!$E$11+1,1))-AVERAGE(OFFSET($H$3,0,0,'Données projet'!$E$11+1,1))</f>
        <v>706.69239849991595</v>
      </c>
      <c r="BJ199" s="59">
        <f t="shared" si="206"/>
        <v>310.59887275116529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133.52549085214642</v>
      </c>
      <c r="BQ199" s="21">
        <f>EXP(-LN(2)/25)*BQ198+(1-EXP(-LN(2)/25))/(LN(2)/25)*Calculateur!BL199*Calculateur!BN199*VLOOKUP('Données projet'!$B$11,Paramètres!$A$1:$I$89,3,0)*0.475*44/12</f>
        <v>20.117481596340191</v>
      </c>
      <c r="BR199" s="21">
        <f>EXP(-LN(2)/2)*BR198+(1-EXP(-LN(2)/2))/(LN(2)/2)*BL199*BO199*VLOOKUP('Données projet'!$B$11,Paramètres!$A$1:$I$89,3,0)*0.475*44/12</f>
        <v>0.13155443939024999</v>
      </c>
      <c r="BS199" s="22">
        <f t="shared" si="169"/>
        <v>153.77452688787685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2.5579538487363607E-13</v>
      </c>
      <c r="BZ199" s="13">
        <f>BY199*VLOOKUP('Données projet'!$B$12,Paramètres!$A$1:$I$89,3,0)*VLOOKUP('Données projet'!$B$12,Paramètres!$A$1:$I$89,5,0)</f>
        <v>2.4341488824575211E-13</v>
      </c>
      <c r="CA199" s="13">
        <f t="shared" si="170"/>
        <v>3.2970717324875541E-12</v>
      </c>
      <c r="CB199" s="20">
        <f t="shared" si="171"/>
        <v>6.1663475311105072E-12</v>
      </c>
      <c r="CC199" s="59">
        <f t="shared" si="195"/>
        <v>293.33333333333945</v>
      </c>
      <c r="CD199" s="59">
        <f ca="1">AVERAGE(OFFSET($CC$3,0,0,'Données projet'!$E$12+1,1))-AVERAGE(OFFSET($H$3,0,0,'Données projet'!$E$12+1,1))</f>
        <v>449.28947235329758</v>
      </c>
      <c r="CE199" s="59">
        <f t="shared" si="207"/>
        <v>289.36994109443964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32.151064741311096</v>
      </c>
      <c r="CL199" s="21">
        <f>EXP(-LN(2)/25)*CL198+(1-EXP(-LN(2)/25))/(LN(2)/25)*Calculateur!CG199*Calculateur!CI199*VLOOKUP('Données projet'!$B$12,Paramètres!$A$1:$I$89,3,0)*0.475*44/12</f>
        <v>3.9719898186701079</v>
      </c>
      <c r="CM199" s="21">
        <f>EXP(-LN(2)/2)*CM198+(1-EXP(-LN(2)/2))/(LN(2)/2)*CG199*CJ199*VLOOKUP('Données projet'!$B$12,Paramètres!$A$1:$I$89,3,0)*0.475*44/12</f>
        <v>8.3370180496102108E-10</v>
      </c>
      <c r="CN199" s="22">
        <f t="shared" si="172"/>
        <v>36.123054560814907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2.4829205358400945E-14</v>
      </c>
      <c r="CV199" s="13">
        <f t="shared" si="173"/>
        <v>4.3867331143352915E-13</v>
      </c>
      <c r="CW199" s="20">
        <f t="shared" si="174"/>
        <v>8.0726688341261168E-13</v>
      </c>
      <c r="CX199" s="59">
        <f t="shared" si="196"/>
        <v>293.33333333333411</v>
      </c>
      <c r="CY199" s="59">
        <f ca="1">AVERAGE(OFFSET($CX$3,0,0,'Données projet'!$E$13+1,1))-AVERAGE(OFFSET($H$3,0,0,'Données projet'!$E$13+1,1))</f>
        <v>261.93797831021766</v>
      </c>
      <c r="CZ199" s="59">
        <f t="shared" si="208"/>
        <v>256.90876395053073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3.316140238002105</v>
      </c>
      <c r="DG199" s="21">
        <f>EXP(-LN(2)/25)*DG198+(1-EXP(-LN(2)/25))/(LN(2)/25)*Calculateur!DB199*Calculateur!DD199*VLOOKUP('Données projet'!$B$13,Paramètres!$A$1:$I$89,3,0)*0.475*44/12</f>
        <v>1.4637460774424309</v>
      </c>
      <c r="DH199" s="21">
        <f>EXP(-LN(2)/2)*DH198+(1-EXP(-LN(2)/2))/(LN(2)/2)*DB199*DE199*VLOOKUP('Données projet'!$B$13,Paramètres!$A$1:$I$89,3,0)*0.475*44/12</f>
        <v>1.5767401842721505E-16</v>
      </c>
      <c r="DI199" s="22">
        <f t="shared" si="175"/>
        <v>4.7798863154445357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3.979039320256561E-13</v>
      </c>
      <c r="O200" s="13">
        <f>N200*VLOOKUP('Données projet'!$B$9,Paramètres!$A$1:$I$89,3,0)*VLOOKUP('Données projet'!$B$9,Paramètres!$A$1:$I$89,5,0)</f>
        <v>3.6002347769681362E-13</v>
      </c>
      <c r="P200" s="13">
        <f t="shared" si="203"/>
        <v>4.6593569189922594E-12</v>
      </c>
      <c r="Q200" s="20">
        <f t="shared" si="162"/>
        <v>8.7420875242334695E-12</v>
      </c>
      <c r="R200" s="59">
        <f t="shared" si="191"/>
        <v>293.33333333334207</v>
      </c>
      <c r="S200" s="59">
        <f ca="1">AVERAGE(OFFSET($R$3,0,0,'Données projet'!$E$9+1,1))-AVERAGE(OFFSET($H$3,0,0,'Données projet'!$E$9+1,1))</f>
        <v>695.0879239758051</v>
      </c>
      <c r="T200" s="59">
        <f t="shared" si="204"/>
        <v>226.22150997227476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82.110005563825368</v>
      </c>
      <c r="AA200" s="21">
        <f>EXP(-LN(2)/25)*AA199+(1-EXP(-LN(2)/25))/(LN(2)/25)*Calculateur!V200*Calculateur!X200*VLOOKUP('Données projet'!$B$9,Paramètres!$A$1:$I$89,3,0)*0.475*44/12</f>
        <v>10.605264124708693</v>
      </c>
      <c r="AB200" s="21">
        <f>EXP(-LN(2)/2)*AB199+(1-EXP(-LN(2)/2))/(LN(2)/2)*V200*Y200*VLOOKUP('Données projet'!$B$9,Paramètres!$A$1:$I$89,3,0)*0.475*44/12</f>
        <v>2.170996266366075E-5</v>
      </c>
      <c r="AC200" s="22">
        <f t="shared" si="163"/>
        <v>92.715291398496731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4.7884896048344674E-14</v>
      </c>
      <c r="AK200" s="13">
        <f t="shared" si="164"/>
        <v>7.8374629847779921E-13</v>
      </c>
      <c r="AL200" s="20">
        <f t="shared" si="165"/>
        <v>1.4484243304663672E-12</v>
      </c>
      <c r="AM200" s="59">
        <f t="shared" si="193"/>
        <v>293.33333333333474</v>
      </c>
      <c r="AN200" s="59">
        <f ca="1">AVERAGE(OFFSET($AM$3,0,0,'Données projet'!$E$10+1,1))-AVERAGE(OFFSET($H$3,0,0,'Données projet'!$E$10+1,1))</f>
        <v>424.81155998881928</v>
      </c>
      <c r="AO200" s="59">
        <f t="shared" si="205"/>
        <v>277.34430416544575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20.178831879929113</v>
      </c>
      <c r="AV200" s="21">
        <f>EXP(-LN(2)/25)*AV199+(1-EXP(-LN(2)/25))/(LN(2)/25)*Calculateur!AQ200*Calculateur!AS200*VLOOKUP('Données projet'!$B$10,Paramètres!$A$1:$I$89,3,0)*0.475*44/12</f>
        <v>2.2443765409709724</v>
      </c>
      <c r="AW200" s="21">
        <f>EXP(-LN(2)/2)*AW199+(1-EXP(-LN(2)/2))/(LN(2)/2)*AQ200*AT200*VLOOKUP('Données projet'!$B$10,Paramètres!$A$1:$I$89,3,0)*0.475*44/12</f>
        <v>1.4918186569182679E-13</v>
      </c>
      <c r="AX200" s="21">
        <f t="shared" si="166"/>
        <v>22.423208420900234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8.0694917414803056E-13</v>
      </c>
      <c r="BF200" s="13">
        <f t="shared" si="167"/>
        <v>9.5069530861628001E-12</v>
      </c>
      <c r="BG200" s="20">
        <f t="shared" si="168"/>
        <v>1.7963379770041364E-11</v>
      </c>
      <c r="BH200" s="59">
        <f t="shared" si="194"/>
        <v>293.33333333335128</v>
      </c>
      <c r="BI200" s="59">
        <f ca="1">AVERAGE(OFFSET($BH$3,0,0,'Données projet'!$E$11+1,1))-AVERAGE(OFFSET($H$3,0,0,'Données projet'!$E$11+1,1))</f>
        <v>706.69239849991595</v>
      </c>
      <c r="BJ200" s="59">
        <f t="shared" si="206"/>
        <v>310.59887275116529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130.90713741904347</v>
      </c>
      <c r="BQ200" s="21">
        <f>EXP(-LN(2)/25)*BQ199+(1-EXP(-LN(2)/25))/(LN(2)/25)*Calculateur!BL200*Calculateur!BN200*VLOOKUP('Données projet'!$B$11,Paramètres!$A$1:$I$89,3,0)*0.475*44/12</f>
        <v>19.567368004155892</v>
      </c>
      <c r="BR200" s="21">
        <f>EXP(-LN(2)/2)*BR199+(1-EXP(-LN(2)/2))/(LN(2)/2)*BL200*BO200*VLOOKUP('Données projet'!$B$11,Paramètres!$A$1:$I$89,3,0)*0.475*44/12</f>
        <v>9.3023036188040434E-2</v>
      </c>
      <c r="BS200" s="22">
        <f t="shared" si="169"/>
        <v>150.5675284593874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2.5579538487363607E-13</v>
      </c>
      <c r="BZ200" s="13">
        <f>BY200*VLOOKUP('Données projet'!$B$12,Paramètres!$A$1:$I$89,3,0)*VLOOKUP('Données projet'!$B$12,Paramètres!$A$1:$I$89,5,0)</f>
        <v>2.4341488824575211E-13</v>
      </c>
      <c r="CA200" s="13">
        <f t="shared" si="170"/>
        <v>3.2970717324875541E-12</v>
      </c>
      <c r="CB200" s="20">
        <f t="shared" si="171"/>
        <v>6.1663475311105072E-12</v>
      </c>
      <c r="CC200" s="59">
        <f t="shared" si="195"/>
        <v>293.33333333333945</v>
      </c>
      <c r="CD200" s="59">
        <f ca="1">AVERAGE(OFFSET($CC$3,0,0,'Données projet'!$E$12+1,1))-AVERAGE(OFFSET($H$3,0,0,'Données projet'!$E$12+1,1))</f>
        <v>449.28947235329758</v>
      </c>
      <c r="CE200" s="59">
        <f t="shared" si="207"/>
        <v>289.36994109443964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31.52060197194713</v>
      </c>
      <c r="CL200" s="21">
        <f>EXP(-LN(2)/25)*CL199+(1-EXP(-LN(2)/25))/(LN(2)/25)*Calculateur!CG200*Calculateur!CI200*VLOOKUP('Données projet'!$B$12,Paramètres!$A$1:$I$89,3,0)*0.475*44/12</f>
        <v>3.8633755482007075</v>
      </c>
      <c r="CM200" s="21">
        <f>EXP(-LN(2)/2)*CM199+(1-EXP(-LN(2)/2))/(LN(2)/2)*CG200*CJ200*VLOOKUP('Données projet'!$B$12,Paramètres!$A$1:$I$89,3,0)*0.475*44/12</f>
        <v>5.8951619977540245E-10</v>
      </c>
      <c r="CN200" s="22">
        <f t="shared" si="172"/>
        <v>35.383977520737353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2.4829205358400945E-14</v>
      </c>
      <c r="CV200" s="13">
        <f t="shared" si="173"/>
        <v>4.3867331143352915E-13</v>
      </c>
      <c r="CW200" s="20">
        <f t="shared" si="174"/>
        <v>8.0726688341261168E-13</v>
      </c>
      <c r="CX200" s="59">
        <f t="shared" si="196"/>
        <v>293.33333333333411</v>
      </c>
      <c r="CY200" s="59">
        <f ca="1">AVERAGE(OFFSET($CX$3,0,0,'Données projet'!$E$13+1,1))-AVERAGE(OFFSET($H$3,0,0,'Données projet'!$E$13+1,1))</f>
        <v>261.93797831021766</v>
      </c>
      <c r="CZ200" s="59">
        <f t="shared" si="208"/>
        <v>256.90876395053073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3.2511127505807091</v>
      </c>
      <c r="DG200" s="21">
        <f>EXP(-LN(2)/25)*DG199+(1-EXP(-LN(2)/25))/(LN(2)/25)*Calculateur!DB200*Calculateur!DD200*VLOOKUP('Données projet'!$B$13,Paramètres!$A$1:$I$89,3,0)*0.475*44/12</f>
        <v>1.4237198639797068</v>
      </c>
      <c r="DH200" s="21">
        <f>EXP(-LN(2)/2)*DH199+(1-EXP(-LN(2)/2))/(LN(2)/2)*DB200*DE200*VLOOKUP('Données projet'!$B$13,Paramètres!$A$1:$I$89,3,0)*0.475*44/12</f>
        <v>1.1149236764681641E-16</v>
      </c>
      <c r="DI200" s="22">
        <f t="shared" si="175"/>
        <v>4.6748326145604162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3.979039320256561E-13</v>
      </c>
      <c r="O201" s="13">
        <f>N201*VLOOKUP('Données projet'!$B$9,Paramètres!$A$1:$I$89,3,0)*VLOOKUP('Données projet'!$B$9,Paramètres!$A$1:$I$89,5,0)</f>
        <v>3.6002347769681362E-13</v>
      </c>
      <c r="P201" s="13">
        <f t="shared" si="203"/>
        <v>4.6593569189922594E-12</v>
      </c>
      <c r="Q201" s="20">
        <f t="shared" si="162"/>
        <v>8.7420875242334695E-12</v>
      </c>
      <c r="R201" s="59">
        <f t="shared" si="191"/>
        <v>293.33333333334207</v>
      </c>
      <c r="S201" s="59">
        <f ca="1">AVERAGE(OFFSET($R$3,0,0,'Données projet'!$E$9+1,1))-AVERAGE(OFFSET($H$3,0,0,'Données projet'!$E$9+1,1))</f>
        <v>695.0879239758051</v>
      </c>
      <c r="T201" s="59">
        <f t="shared" si="204"/>
        <v>226.22150997227476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80.499878436876941</v>
      </c>
      <c r="AA201" s="21">
        <f>EXP(-LN(2)/25)*AA200+(1-EXP(-LN(2)/25))/(LN(2)/25)*Calculateur!V201*Calculateur!X201*VLOOKUP('Données projet'!$B$9,Paramètres!$A$1:$I$89,3,0)*0.475*44/12</f>
        <v>10.315262619511932</v>
      </c>
      <c r="AB201" s="21">
        <f>EXP(-LN(2)/2)*AB200+(1-EXP(-LN(2)/2))/(LN(2)/2)*V201*Y201*VLOOKUP('Données projet'!$B$9,Paramètres!$A$1:$I$89,3,0)*0.475*44/12</f>
        <v>1.5351261818781278E-5</v>
      </c>
      <c r="AC201" s="22">
        <f t="shared" si="163"/>
        <v>90.81515640765069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4.7884896048344674E-14</v>
      </c>
      <c r="AK201" s="13">
        <f t="shared" si="164"/>
        <v>7.8374629847779921E-13</v>
      </c>
      <c r="AL201" s="20">
        <f t="shared" si="165"/>
        <v>1.4484243304663672E-12</v>
      </c>
      <c r="AM201" s="59">
        <f t="shared" si="193"/>
        <v>293.33333333333474</v>
      </c>
      <c r="AN201" s="59">
        <f ca="1">AVERAGE(OFFSET($AM$3,0,0,'Données projet'!$E$10+1,1))-AVERAGE(OFFSET($H$3,0,0,'Données projet'!$E$10+1,1))</f>
        <v>424.81155998881928</v>
      </c>
      <c r="AO201" s="59">
        <f t="shared" si="205"/>
        <v>277.34430416544575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19.78313729463585</v>
      </c>
      <c r="AV201" s="21">
        <f>EXP(-LN(2)/25)*AV200+(1-EXP(-LN(2)/25))/(LN(2)/25)*Calculateur!AQ201*Calculateur!AS201*VLOOKUP('Données projet'!$B$10,Paramètres!$A$1:$I$89,3,0)*0.475*44/12</f>
        <v>2.1830039464314885</v>
      </c>
      <c r="AW201" s="21">
        <f>EXP(-LN(2)/2)*AW200+(1-EXP(-LN(2)/2))/(LN(2)/2)*AQ201*AT201*VLOOKUP('Données projet'!$B$10,Paramètres!$A$1:$I$89,3,0)*0.475*44/12</f>
        <v>1.0548750886075149E-13</v>
      </c>
      <c r="AX201" s="21">
        <f t="shared" si="166"/>
        <v>21.966141241067444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8.0694917414803056E-13</v>
      </c>
      <c r="BF201" s="13">
        <f t="shared" si="167"/>
        <v>9.5069530861628001E-12</v>
      </c>
      <c r="BG201" s="20">
        <f t="shared" si="168"/>
        <v>1.7963379770041364E-11</v>
      </c>
      <c r="BH201" s="59">
        <f t="shared" si="194"/>
        <v>293.33333333335128</v>
      </c>
      <c r="BI201" s="59">
        <f ca="1">AVERAGE(OFFSET($BH$3,0,0,'Données projet'!$E$11+1,1))-AVERAGE(OFFSET($H$3,0,0,'Données projet'!$E$11+1,1))</f>
        <v>706.69239849991595</v>
      </c>
      <c r="BJ201" s="59">
        <f t="shared" si="206"/>
        <v>310.59887275116529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128.34012829972576</v>
      </c>
      <c r="BQ201" s="21">
        <f>EXP(-LN(2)/25)*BQ200+(1-EXP(-LN(2)/25))/(LN(2)/25)*Calculateur!BL201*Calculateur!BN201*VLOOKUP('Données projet'!$B$11,Paramètres!$A$1:$I$89,3,0)*0.475*44/12</f>
        <v>19.032297297079086</v>
      </c>
      <c r="BR201" s="21">
        <f>EXP(-LN(2)/2)*BR200+(1-EXP(-LN(2)/2))/(LN(2)/2)*BL201*BO201*VLOOKUP('Données projet'!$B$11,Paramètres!$A$1:$I$89,3,0)*0.475*44/12</f>
        <v>6.5777219695124997E-2</v>
      </c>
      <c r="BS201" s="22">
        <f t="shared" si="169"/>
        <v>147.43820281649997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2.5579538487363607E-13</v>
      </c>
      <c r="BZ201" s="13">
        <f>BY201*VLOOKUP('Données projet'!$B$12,Paramètres!$A$1:$I$89,3,0)*VLOOKUP('Données projet'!$B$12,Paramètres!$A$1:$I$89,5,0)</f>
        <v>2.4341488824575211E-13</v>
      </c>
      <c r="CA201" s="13">
        <f t="shared" si="170"/>
        <v>3.2970717324875541E-12</v>
      </c>
      <c r="CB201" s="20">
        <f t="shared" si="171"/>
        <v>6.1663475311105072E-12</v>
      </c>
      <c r="CC201" s="59">
        <f t="shared" si="195"/>
        <v>293.33333333333945</v>
      </c>
      <c r="CD201" s="59">
        <f ca="1">AVERAGE(OFFSET($CC$3,0,0,'Données projet'!$E$12+1,1))-AVERAGE(OFFSET($H$3,0,0,'Données projet'!$E$12+1,1))</f>
        <v>449.28947235329758</v>
      </c>
      <c r="CE201" s="59">
        <f t="shared" si="207"/>
        <v>289.36994109443964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30.902502192946073</v>
      </c>
      <c r="CL201" s="21">
        <f>EXP(-LN(2)/25)*CL200+(1-EXP(-LN(2)/25))/(LN(2)/25)*Calculateur!CG201*Calculateur!CI201*VLOOKUP('Données projet'!$B$12,Paramètres!$A$1:$I$89,3,0)*0.475*44/12</f>
        <v>3.7577313406690691</v>
      </c>
      <c r="CM201" s="21">
        <f>EXP(-LN(2)/2)*CM200+(1-EXP(-LN(2)/2))/(LN(2)/2)*CG201*CJ201*VLOOKUP('Données projet'!$B$12,Paramètres!$A$1:$I$89,3,0)*0.475*44/12</f>
        <v>4.1685090248051054E-10</v>
      </c>
      <c r="CN201" s="22">
        <f t="shared" si="172"/>
        <v>34.660233534031995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2.4829205358400945E-14</v>
      </c>
      <c r="CV201" s="13">
        <f t="shared" si="173"/>
        <v>4.3867331143352915E-13</v>
      </c>
      <c r="CW201" s="20">
        <f t="shared" si="174"/>
        <v>8.0726688341261168E-13</v>
      </c>
      <c r="CX201" s="59">
        <f t="shared" si="196"/>
        <v>293.33333333333411</v>
      </c>
      <c r="CY201" s="59">
        <f ca="1">AVERAGE(OFFSET($CX$3,0,0,'Données projet'!$E$13+1,1))-AVERAGE(OFFSET($H$3,0,0,'Données projet'!$E$13+1,1))</f>
        <v>261.93797831021766</v>
      </c>
      <c r="CZ201" s="59">
        <f t="shared" si="208"/>
        <v>256.90876395053073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3.1873604125247961</v>
      </c>
      <c r="DG201" s="21">
        <f>EXP(-LN(2)/25)*DG200+(1-EXP(-LN(2)/25))/(LN(2)/25)*Calculateur!DB201*Calculateur!DD201*VLOOKUP('Données projet'!$B$13,Paramètres!$A$1:$I$89,3,0)*0.475*44/12</f>
        <v>1.3847881694290081</v>
      </c>
      <c r="DH201" s="21">
        <f>EXP(-LN(2)/2)*DH200+(1-EXP(-LN(2)/2))/(LN(2)/2)*DB201*DE201*VLOOKUP('Données projet'!$B$13,Paramètres!$A$1:$I$89,3,0)*0.475*44/12</f>
        <v>7.8837009213607525E-17</v>
      </c>
      <c r="DI201" s="22">
        <f t="shared" si="175"/>
        <v>4.5721485819538046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3.979039320256561E-13</v>
      </c>
      <c r="O202" s="13">
        <f>N202*VLOOKUP('Données projet'!$B$9,Paramètres!$A$1:$I$89,3,0)*VLOOKUP('Données projet'!$B$9,Paramètres!$A$1:$I$89,5,0)</f>
        <v>3.6002347769681362E-13</v>
      </c>
      <c r="P202" s="13">
        <f t="shared" si="203"/>
        <v>4.6593569189922594E-12</v>
      </c>
      <c r="Q202" s="20">
        <f t="shared" si="162"/>
        <v>8.7420875242334695E-12</v>
      </c>
      <c r="R202" s="59">
        <f t="shared" si="191"/>
        <v>293.33333333334207</v>
      </c>
      <c r="S202" s="59">
        <f ca="1">AVERAGE(OFFSET($R$3,0,0,'Données projet'!$E$9+1,1))-AVERAGE(OFFSET($H$3,0,0,'Données projet'!$E$9+1,1))</f>
        <v>695.0879239758051</v>
      </c>
      <c r="T202" s="59">
        <f t="shared" si="204"/>
        <v>226.22150997227476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78.921324920807407</v>
      </c>
      <c r="AA202" s="21">
        <f>EXP(-LN(2)/25)*AA201+(1-EXP(-LN(2)/25))/(LN(2)/25)*Calculateur!V202*Calculateur!X202*VLOOKUP('Données projet'!$B$9,Paramètres!$A$1:$I$89,3,0)*0.475*44/12</f>
        <v>10.033191220725293</v>
      </c>
      <c r="AB202" s="21">
        <f>EXP(-LN(2)/2)*AB201+(1-EXP(-LN(2)/2))/(LN(2)/2)*V202*Y202*VLOOKUP('Données projet'!$B$9,Paramètres!$A$1:$I$89,3,0)*0.475*44/12</f>
        <v>1.0854981331830375E-5</v>
      </c>
      <c r="AC202" s="22">
        <f t="shared" si="163"/>
        <v>88.954526996514033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4.7884896048344674E-14</v>
      </c>
      <c r="AK202" s="13">
        <f t="shared" si="164"/>
        <v>7.8374629847779921E-13</v>
      </c>
      <c r="AL202" s="20">
        <f t="shared" si="165"/>
        <v>1.4484243304663672E-12</v>
      </c>
      <c r="AM202" s="59">
        <f t="shared" si="193"/>
        <v>293.33333333333474</v>
      </c>
      <c r="AN202" s="59">
        <f ca="1">AVERAGE(OFFSET($AM$3,0,0,'Données projet'!$E$10+1,1))-AVERAGE(OFFSET($H$3,0,0,'Données projet'!$E$10+1,1))</f>
        <v>424.81155998881928</v>
      </c>
      <c r="AO202" s="59">
        <f t="shared" si="205"/>
        <v>277.34430416544575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19.395202038810321</v>
      </c>
      <c r="AV202" s="21">
        <f>EXP(-LN(2)/25)*AV201+(1-EXP(-LN(2)/25))/(LN(2)/25)*Calculateur!AQ202*Calculateur!AS202*VLOOKUP('Données projet'!$B$10,Paramètres!$A$1:$I$89,3,0)*0.475*44/12</f>
        <v>2.1233095887171314</v>
      </c>
      <c r="AW202" s="21">
        <f>EXP(-LN(2)/2)*AW201+(1-EXP(-LN(2)/2))/(LN(2)/2)*AQ202*AT202*VLOOKUP('Données projet'!$B$10,Paramètres!$A$1:$I$89,3,0)*0.475*44/12</f>
        <v>7.4590932845913393E-14</v>
      </c>
      <c r="AX202" s="21">
        <f t="shared" si="166"/>
        <v>21.518511627527527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8.0694917414803056E-13</v>
      </c>
      <c r="BF202" s="13">
        <f t="shared" si="167"/>
        <v>9.5069530861628001E-12</v>
      </c>
      <c r="BG202" s="20">
        <f t="shared" si="168"/>
        <v>1.7963379770041364E-11</v>
      </c>
      <c r="BH202" s="59">
        <f t="shared" si="194"/>
        <v>293.33333333335128</v>
      </c>
      <c r="BI202" s="59">
        <f ca="1">AVERAGE(OFFSET($BH$3,0,0,'Données projet'!$E$11+1,1))-AVERAGE(OFFSET($H$3,0,0,'Données projet'!$E$11+1,1))</f>
        <v>706.69239849991595</v>
      </c>
      <c r="BJ202" s="59">
        <f t="shared" si="206"/>
        <v>310.59887275116529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125.82345666351692</v>
      </c>
      <c r="BQ202" s="21">
        <f>EXP(-LN(2)/25)*BQ201+(1-EXP(-LN(2)/25))/(LN(2)/25)*Calculateur!BL202*Calculateur!BN202*VLOOKUP('Données projet'!$B$11,Paramètres!$A$1:$I$89,3,0)*0.475*44/12</f>
        <v>18.511858126625444</v>
      </c>
      <c r="BR202" s="21">
        <f>EXP(-LN(2)/2)*BR201+(1-EXP(-LN(2)/2))/(LN(2)/2)*BL202*BO202*VLOOKUP('Données projet'!$B$11,Paramètres!$A$1:$I$89,3,0)*0.475*44/12</f>
        <v>4.6511518094020217E-2</v>
      </c>
      <c r="BS202" s="22">
        <f t="shared" si="169"/>
        <v>144.38182630823638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2.5579538487363607E-13</v>
      </c>
      <c r="BZ202" s="13">
        <f>BY202*VLOOKUP('Données projet'!$B$12,Paramètres!$A$1:$I$89,3,0)*VLOOKUP('Données projet'!$B$12,Paramètres!$A$1:$I$89,5,0)</f>
        <v>2.4341488824575211E-13</v>
      </c>
      <c r="CA202" s="13">
        <f t="shared" si="170"/>
        <v>3.2970717324875541E-12</v>
      </c>
      <c r="CB202" s="20">
        <f t="shared" si="171"/>
        <v>6.1663475311105072E-12</v>
      </c>
      <c r="CC202" s="59">
        <f t="shared" si="195"/>
        <v>293.33333333333945</v>
      </c>
      <c r="CD202" s="59">
        <f ca="1">AVERAGE(OFFSET($CC$3,0,0,'Données projet'!$E$12+1,1))-AVERAGE(OFFSET($H$3,0,0,'Données projet'!$E$12+1,1))</f>
        <v>449.28947235329758</v>
      </c>
      <c r="CE202" s="59">
        <f t="shared" si="207"/>
        <v>289.36994109443964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30.296522973607587</v>
      </c>
      <c r="CL202" s="21">
        <f>EXP(-LN(2)/25)*CL201+(1-EXP(-LN(2)/25))/(LN(2)/25)*Calculateur!CG202*Calculateur!CI202*VLOOKUP('Données projet'!$B$12,Paramètres!$A$1:$I$89,3,0)*0.475*44/12</f>
        <v>3.6549759795479706</v>
      </c>
      <c r="CM202" s="21">
        <f>EXP(-LN(2)/2)*CM201+(1-EXP(-LN(2)/2))/(LN(2)/2)*CG202*CJ202*VLOOKUP('Données projet'!$B$12,Paramètres!$A$1:$I$89,3,0)*0.475*44/12</f>
        <v>2.9475809988770122E-10</v>
      </c>
      <c r="CN202" s="22">
        <f t="shared" si="172"/>
        <v>33.951498953450319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2.4829205358400945E-14</v>
      </c>
      <c r="CV202" s="13">
        <f t="shared" si="173"/>
        <v>4.3867331143352915E-13</v>
      </c>
      <c r="CW202" s="20">
        <f t="shared" si="174"/>
        <v>8.0726688341261168E-13</v>
      </c>
      <c r="CX202" s="59">
        <f t="shared" si="196"/>
        <v>293.33333333333411</v>
      </c>
      <c r="CY202" s="59">
        <f ca="1">AVERAGE(OFFSET($CX$3,0,0,'Données projet'!$E$13+1,1))-AVERAGE(OFFSET($H$3,0,0,'Données projet'!$E$13+1,1))</f>
        <v>261.93797831021766</v>
      </c>
      <c r="CZ202" s="59">
        <f t="shared" si="208"/>
        <v>256.90876395053073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3.1248582189330727</v>
      </c>
      <c r="DG202" s="21">
        <f>EXP(-LN(2)/25)*DG201+(1-EXP(-LN(2)/25))/(LN(2)/25)*Calculateur!DB202*Calculateur!DD202*VLOOKUP('Données projet'!$B$13,Paramètres!$A$1:$I$89,3,0)*0.475*44/12</f>
        <v>1.3469210641131271</v>
      </c>
      <c r="DH202" s="21">
        <f>EXP(-LN(2)/2)*DH201+(1-EXP(-LN(2)/2))/(LN(2)/2)*DB202*DE202*VLOOKUP('Données projet'!$B$13,Paramètres!$A$1:$I$89,3,0)*0.475*44/12</f>
        <v>5.5746183823408206E-17</v>
      </c>
      <c r="DI202" s="22">
        <f t="shared" si="175"/>
        <v>4.4717792830461995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3.979039320256561E-13</v>
      </c>
      <c r="O203" s="13">
        <f>N203*VLOOKUP('Données projet'!$B$9,Paramètres!$A$1:$I$89,3,0)*VLOOKUP('Données projet'!$B$9,Paramètres!$A$1:$I$89,5,0)</f>
        <v>3.6002347769681362E-13</v>
      </c>
      <c r="P203" s="13">
        <f t="shared" si="203"/>
        <v>4.6593569189922594E-12</v>
      </c>
      <c r="Q203" s="20">
        <f t="shared" si="162"/>
        <v>8.7420875242334695E-12</v>
      </c>
      <c r="R203" s="59">
        <f t="shared" si="191"/>
        <v>293.33333333334207</v>
      </c>
      <c r="S203" s="59">
        <f ca="1">AVERAGE(OFFSET($R$3,0,0,'Données projet'!$E$9+1,1))-AVERAGE(OFFSET($H$3,0,0,'Données projet'!$E$9+1,1))</f>
        <v>695.0879239758051</v>
      </c>
      <c r="T203" s="59">
        <f t="shared" si="204"/>
        <v>226.22150997227476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77.373725876365413</v>
      </c>
      <c r="AA203" s="21">
        <f>EXP(-LN(2)/25)*AA202+(1-EXP(-LN(2)/25))/(LN(2)/25)*Calculateur!V203*Calculateur!X203*VLOOKUP('Données projet'!$B$9,Paramètres!$A$1:$I$89,3,0)*0.475*44/12</f>
        <v>9.7588330791719642</v>
      </c>
      <c r="AB203" s="21">
        <f>EXP(-LN(2)/2)*AB202+(1-EXP(-LN(2)/2))/(LN(2)/2)*V203*Y203*VLOOKUP('Données projet'!$B$9,Paramètres!$A$1:$I$89,3,0)*0.475*44/12</f>
        <v>7.6756309093906389E-6</v>
      </c>
      <c r="AC203" s="22">
        <f t="shared" si="163"/>
        <v>87.132566631168288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4.7884896048344674E-14</v>
      </c>
      <c r="AK203" s="13">
        <f t="shared" si="164"/>
        <v>7.8374629847779921E-13</v>
      </c>
      <c r="AL203" s="20">
        <f t="shared" si="165"/>
        <v>1.4484243304663672E-12</v>
      </c>
      <c r="AM203" s="59">
        <f t="shared" si="193"/>
        <v>293.33333333333474</v>
      </c>
      <c r="AN203" s="59">
        <f ca="1">AVERAGE(OFFSET($AM$3,0,0,'Données projet'!$E$10+1,1))-AVERAGE(OFFSET($H$3,0,0,'Données projet'!$E$10+1,1))</f>
        <v>424.81155998881928</v>
      </c>
      <c r="AO203" s="59">
        <f t="shared" si="205"/>
        <v>277.34430416544575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19.014873956734387</v>
      </c>
      <c r="AV203" s="21">
        <f>EXP(-LN(2)/25)*AV202+(1-EXP(-LN(2)/25))/(LN(2)/25)*Calculateur!AQ203*Calculateur!AS203*VLOOKUP('Données projet'!$B$10,Paramètres!$A$1:$I$89,3,0)*0.475*44/12</f>
        <v>2.0652475763536629</v>
      </c>
      <c r="AW203" s="21">
        <f>EXP(-LN(2)/2)*AW202+(1-EXP(-LN(2)/2))/(LN(2)/2)*AQ203*AT203*VLOOKUP('Données projet'!$B$10,Paramètres!$A$1:$I$89,3,0)*0.475*44/12</f>
        <v>5.2743754430375743E-14</v>
      </c>
      <c r="AX203" s="21">
        <f t="shared" si="166"/>
        <v>21.080121533088104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8.0694917414803056E-13</v>
      </c>
      <c r="BF203" s="13">
        <f t="shared" si="167"/>
        <v>9.5069530861628001E-12</v>
      </c>
      <c r="BG203" s="20">
        <f t="shared" si="168"/>
        <v>1.7963379770041364E-11</v>
      </c>
      <c r="BH203" s="59">
        <f t="shared" si="194"/>
        <v>293.33333333335128</v>
      </c>
      <c r="BI203" s="59">
        <f ca="1">AVERAGE(OFFSET($BH$3,0,0,'Données projet'!$E$11+1,1))-AVERAGE(OFFSET($H$3,0,0,'Données projet'!$E$11+1,1))</f>
        <v>706.69239849991595</v>
      </c>
      <c r="BJ203" s="59">
        <f t="shared" si="206"/>
        <v>310.59887275116529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123.35613542307601</v>
      </c>
      <c r="BQ203" s="21">
        <f>EXP(-LN(2)/25)*BQ202+(1-EXP(-LN(2)/25))/(LN(2)/25)*Calculateur!BL203*Calculateur!BN203*VLOOKUP('Données projet'!$B$11,Paramètres!$A$1:$I$89,3,0)*0.475*44/12</f>
        <v>18.005650392656563</v>
      </c>
      <c r="BR203" s="21">
        <f>EXP(-LN(2)/2)*BR202+(1-EXP(-LN(2)/2))/(LN(2)/2)*BL203*BO203*VLOOKUP('Données projet'!$B$11,Paramètres!$A$1:$I$89,3,0)*0.475*44/12</f>
        <v>3.2888609847562499E-2</v>
      </c>
      <c r="BS203" s="22">
        <f t="shared" si="169"/>
        <v>141.39467442558012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2.5579538487363607E-13</v>
      </c>
      <c r="BZ203" s="13">
        <f>BY203*VLOOKUP('Données projet'!$B$12,Paramètres!$A$1:$I$89,3,0)*VLOOKUP('Données projet'!$B$12,Paramètres!$A$1:$I$89,5,0)</f>
        <v>2.4341488824575211E-13</v>
      </c>
      <c r="CA203" s="13">
        <f t="shared" si="170"/>
        <v>3.2970717324875541E-12</v>
      </c>
      <c r="CB203" s="20">
        <f t="shared" si="171"/>
        <v>6.1663475311105072E-12</v>
      </c>
      <c r="CC203" s="59">
        <f t="shared" si="195"/>
        <v>293.33333333333945</v>
      </c>
      <c r="CD203" s="59">
        <f ca="1">AVERAGE(OFFSET($CC$3,0,0,'Données projet'!$E$12+1,1))-AVERAGE(OFFSET($H$3,0,0,'Données projet'!$E$12+1,1))</f>
        <v>449.28947235329758</v>
      </c>
      <c r="CE203" s="59">
        <f t="shared" si="207"/>
        <v>289.36994109443964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29.7024266371495</v>
      </c>
      <c r="CL203" s="21">
        <f>EXP(-LN(2)/25)*CL202+(1-EXP(-LN(2)/25))/(LN(2)/25)*Calculateur!CG203*Calculateur!CI203*VLOOKUP('Données projet'!$B$12,Paramètres!$A$1:$I$89,3,0)*0.475*44/12</f>
        <v>3.555030469180398</v>
      </c>
      <c r="CM203" s="21">
        <f>EXP(-LN(2)/2)*CM202+(1-EXP(-LN(2)/2))/(LN(2)/2)*CG203*CJ203*VLOOKUP('Données projet'!$B$12,Paramètres!$A$1:$I$89,3,0)*0.475*44/12</f>
        <v>2.0842545124025527E-10</v>
      </c>
      <c r="CN203" s="22">
        <f t="shared" si="172"/>
        <v>33.257457106538318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2.4829205358400945E-14</v>
      </c>
      <c r="CV203" s="13">
        <f t="shared" si="173"/>
        <v>4.3867331143352915E-13</v>
      </c>
      <c r="CW203" s="20">
        <f t="shared" si="174"/>
        <v>8.0726688341261168E-13</v>
      </c>
      <c r="CX203" s="59">
        <f t="shared" si="196"/>
        <v>293.33333333333411</v>
      </c>
      <c r="CY203" s="59">
        <f ca="1">AVERAGE(OFFSET($CX$3,0,0,'Données projet'!$E$13+1,1))-AVERAGE(OFFSET($H$3,0,0,'Données projet'!$E$13+1,1))</f>
        <v>261.93797831021766</v>
      </c>
      <c r="CZ203" s="59">
        <f t="shared" si="208"/>
        <v>256.90876395053073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3.0635816552351094</v>
      </c>
      <c r="DG203" s="21">
        <f>EXP(-LN(2)/25)*DG202+(1-EXP(-LN(2)/25))/(LN(2)/25)*Calculateur!DB203*Calculateur!DD203*VLOOKUP('Données projet'!$B$13,Paramètres!$A$1:$I$89,3,0)*0.475*44/12</f>
        <v>1.3100894367834532</v>
      </c>
      <c r="DH203" s="21">
        <f>EXP(-LN(2)/2)*DH202+(1-EXP(-LN(2)/2))/(LN(2)/2)*DB203*DE203*VLOOKUP('Données projet'!$B$13,Paramètres!$A$1:$I$89,3,0)*0.475*44/12</f>
        <v>3.9418504606803763E-17</v>
      </c>
      <c r="DI203" s="22">
        <f t="shared" si="175"/>
        <v>4.3736710920185624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1.1636646418946561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1.175998897105349</v>
      </c>
      <c r="BA205" s="82">
        <f>EXP(LN('Données projet'!B88)/'Données projet'!A88)</f>
        <v>1.1303799945549604</v>
      </c>
      <c r="BV205" s="82">
        <f>EXP(LN('Données projet'!B114)/'Données projet'!A114)</f>
        <v>1.141469227569226</v>
      </c>
      <c r="CQ205" s="82">
        <f>EXP(LN('Données projet'!B140)/'Données projet'!A140)</f>
        <v>1.1577536725165907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90" zoomScaleNormal="90" workbookViewId="0">
      <selection activeCell="F17" sqref="F17:L18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1.2023300970873785</v>
      </c>
      <c r="C6" s="147">
        <f ca="1">IF(OR('Données projet'!B9="",'Données projet'!C9="",'Données projet'!C9=0%),0,Calculateur!S3)</f>
        <v>695.0879239758051</v>
      </c>
      <c r="D6" s="147">
        <f>IF(OR('Données projet'!B9="",'Données projet'!C9="",'Données projet'!C9=0%),0,Calculateur!T3)</f>
        <v>226.22150997227476</v>
      </c>
      <c r="E6" s="147">
        <f ca="1">MIN(C6,D6)</f>
        <v>226.22150997227476</v>
      </c>
      <c r="F6" s="147">
        <f ca="1">E6*B6</f>
        <v>271.99293004821845</v>
      </c>
      <c r="G6" s="147">
        <f ca="1">F6*(100%-'Données projet'!$C$24)*(100%-'Données projet'!$C$25)*(100%-'Données projet'!$C$26)*(100%-'Données projet'!$C$27)</f>
        <v>220.31427333905697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220.31427333905697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pédonculé</v>
      </c>
      <c r="B7" s="154">
        <f>'Données projet'!D10</f>
        <v>1.2023300970873785</v>
      </c>
      <c r="C7" s="147">
        <f ca="1">IF(OR('Données projet'!B10="",'Données projet'!C10="",'Données projet'!C10=0%),0,Calculateur!AN3)</f>
        <v>424.81155998881928</v>
      </c>
      <c r="D7" s="147">
        <f>IF(OR('Données projet'!B10="",'Données projet'!C10="",'Données projet'!C10=0%),0,Calculateur!AO3)</f>
        <v>277.34430416544575</v>
      </c>
      <c r="E7" s="147">
        <f t="shared" ref="E7:E15" ca="1" si="0">MIN(C7,D7)</f>
        <v>277.34430416544575</v>
      </c>
      <c r="F7" s="147">
        <f t="shared" ref="F7:F15" ca="1" si="1">E7*B7</f>
        <v>333.45940415387179</v>
      </c>
      <c r="G7" s="147">
        <f ca="1">F7*(100%-'Données projet'!$C$24)*(100%-'Données projet'!$C$25)*(100%-'Données projet'!$C$26)*(100%-'Données projet'!$C$27)</f>
        <v>270.10211736463617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270.10211736463617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pubescent</v>
      </c>
      <c r="B8" s="154">
        <f>'Données projet'!D11</f>
        <v>1.2023300970873785</v>
      </c>
      <c r="C8" s="147">
        <f ca="1">IF(OR('Données projet'!B11="",'Données projet'!C11="",'Données projet'!C11=0%),0,Calculateur!BI3)</f>
        <v>706.69239849991595</v>
      </c>
      <c r="D8" s="147">
        <f>IF(OR('Données projet'!B11="",'Données projet'!C11="",'Données projet'!C11=0%),0,Calculateur!BJ3)</f>
        <v>310.59887275116529</v>
      </c>
      <c r="E8" s="147">
        <f t="shared" ca="1" si="0"/>
        <v>310.59887275116529</v>
      </c>
      <c r="F8" s="147">
        <f t="shared" ca="1" si="1"/>
        <v>373.44237283013888</v>
      </c>
      <c r="G8" s="147">
        <f ca="1">F8*(100%-'Données projet'!$C$24)*(100%-'Données projet'!$C$25)*(100%-'Données projet'!$C$26)*(100%-'Données projet'!$C$27)</f>
        <v>302.48832199241252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302.48832199241252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Charme</v>
      </c>
      <c r="B9" s="154">
        <f>'Données projet'!D12</f>
        <v>0.13150485436893203</v>
      </c>
      <c r="C9" s="147">
        <f ca="1">IF(OR('Données projet'!B12="",'Données projet'!C12="",'Données projet'!C12=0%),0,Calculateur!CD3)</f>
        <v>449.28947235329758</v>
      </c>
      <c r="D9" s="147">
        <f>IF(OR('Données projet'!B12="",'Données projet'!C12="",'Données projet'!C12=0%),0,Calculateur!CE3)</f>
        <v>289.36994109443964</v>
      </c>
      <c r="E9" s="147">
        <f t="shared" ca="1" si="0"/>
        <v>289.36994109443964</v>
      </c>
      <c r="F9" s="147">
        <f t="shared" ca="1" si="1"/>
        <v>38.053551962370726</v>
      </c>
      <c r="G9" s="147">
        <f ca="1">F9*(100%-'Données projet'!$C$24)*(100%-'Données projet'!$C$25)*(100%-'Données projet'!$C$26)*(100%-'Données projet'!$C$27)</f>
        <v>30.823377089520289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30.823377089520289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Erable champêtre</v>
      </c>
      <c r="B10" s="154">
        <f>'Données projet'!D13</f>
        <v>0.13150485436893203</v>
      </c>
      <c r="C10" s="147">
        <f ca="1">IF(OR('Données projet'!B13="",'Données projet'!C13="",'Données projet'!C13=0%),0,Calculateur!CY3)</f>
        <v>261.93797831021766</v>
      </c>
      <c r="D10" s="147">
        <f>IF(OR('Données projet'!B13="",'Données projet'!C13="",'Données projet'!C13=0%),0,Calculateur!CZ3)</f>
        <v>256.90876395053073</v>
      </c>
      <c r="E10" s="147">
        <f t="shared" ca="1" si="0"/>
        <v>256.90876395053073</v>
      </c>
      <c r="F10" s="147">
        <f t="shared" ca="1" si="1"/>
        <v>33.784749589416876</v>
      </c>
      <c r="G10" s="147">
        <f ca="1">F10*(100%-'Données projet'!$C$24)*(100%-'Données projet'!$C$25)*(100%-'Données projet'!$C$26)*(100%-'Données projet'!$C$27)</f>
        <v>27.365647167427671</v>
      </c>
      <c r="H10" s="155">
        <f>IF(OR('Données projet'!B13="",'Données projet'!C13="",'Données projet'!C13=0%),0,AVERAGE(Calculateur!$DI$3:$DI$33)*B10)</f>
        <v>0.31862614261830496</v>
      </c>
      <c r="I10" s="149">
        <f>H10*(100%-'Données projet'!$C$24)*(100%-'Données projet'!$C$25)*(100%-'Données projet'!$C$26)*(100%-'Données projet'!$C$27)</f>
        <v>0.25808717552082699</v>
      </c>
      <c r="J10" s="150">
        <f>IF(OR('Données projet'!B13="",'Données projet'!C13="",'Données projet'!C13=0%),0,SUM(Calculateur!$DB$3:$DB$33)*VLOOKUP('Données projet'!$B$13,Paramètres!$A$1:$I$89,9,0)*B10)</f>
        <v>2.0712014563106793</v>
      </c>
      <c r="K10" s="151">
        <f>J10*(100%-'Données projet'!$C$24)*(100%-'Données projet'!$C$25)*(100%-'Données projet'!$C$26)*(100%-'Données projet'!$C$27)</f>
        <v>1.6776731796116504</v>
      </c>
      <c r="L10" s="152">
        <f t="shared" ca="1" si="2"/>
        <v>29.301407522560147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1050.7330085840167</v>
      </c>
      <c r="G16" s="166">
        <f t="shared" ca="1" si="3"/>
        <v>851.09373695305362</v>
      </c>
      <c r="H16" s="167">
        <f t="shared" si="3"/>
        <v>0.31862614261830496</v>
      </c>
      <c r="I16" s="167">
        <f t="shared" si="3"/>
        <v>0.25808717552082699</v>
      </c>
      <c r="J16" s="168">
        <f t="shared" si="3"/>
        <v>2.0712014563106793</v>
      </c>
      <c r="K16" s="168">
        <f t="shared" si="3"/>
        <v>1.6776731796116504</v>
      </c>
      <c r="L16" s="169">
        <f t="shared" ca="1" si="3"/>
        <v>853.02949730818602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7" zoomScale="80" zoomScaleNormal="80" workbookViewId="0">
      <selection activeCell="J23" sqref="J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1871.5356930073738</v>
      </c>
      <c r="U10" s="178">
        <f>'Données projet'!D9</f>
        <v>1.2023300970873785</v>
      </c>
      <c r="V10" s="177">
        <f>U10*T10</f>
        <v>2250.2036914760497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3748.4407283516339</v>
      </c>
      <c r="U11" s="178">
        <f>'Données projet'!D10</f>
        <v>1.2023300970873785</v>
      </c>
      <c r="V11" s="177">
        <f t="shared" ref="V11" si="0">U11*T11</f>
        <v>4506.8631048453035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543.56666481173215</v>
      </c>
      <c r="U12" s="178">
        <f>'Données projet'!D11</f>
        <v>1.2023300970873785</v>
      </c>
      <c r="V12" s="177">
        <f t="shared" ref="V12:V19" si="1">U12*T12</f>
        <v>653.54656087655246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690.67042080926876</v>
      </c>
      <c r="U13" s="178">
        <f>'Données projet'!D12</f>
        <v>0.13150485436893203</v>
      </c>
      <c r="V13" s="177">
        <f t="shared" si="1"/>
        <v>90.826513105451895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571.91518057530845</v>
      </c>
      <c r="U14" s="178">
        <f>'Données projet'!D13</f>
        <v>0.13150485436893203</v>
      </c>
      <c r="V14" s="177">
        <f t="shared" si="1"/>
        <v>75.209622532937402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f>18383/'Données projet'!C5</f>
        <v>4750.1291989664078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4446/'Données projet'!C5</f>
        <v>1148.8372093023256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4446/'Données projet'!C5</f>
        <v>1148.8372093023256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34</v>
      </c>
      <c r="B23" s="181">
        <f>'Données projet'!D36</f>
        <v>36.679999999999978</v>
      </c>
      <c r="C23" s="193">
        <v>15</v>
      </c>
      <c r="D23" s="182">
        <f>B23*C23</f>
        <v>550.1999999999997</v>
      </c>
      <c r="E23" s="193">
        <v>60</v>
      </c>
      <c r="F23" s="230"/>
      <c r="H23" s="190">
        <v>5</v>
      </c>
      <c r="I23" s="191">
        <f>2880/'Données projet'!C5</f>
        <v>744.18604651162786</v>
      </c>
      <c r="J23" s="257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-20293.147145723808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42</v>
      </c>
      <c r="B24" s="181">
        <f>'Données projet'!D37</f>
        <v>58.099999999999994</v>
      </c>
      <c r="C24" s="193">
        <v>15</v>
      </c>
      <c r="D24" s="182">
        <f t="shared" ref="D24:D42" si="2">B24*C24</f>
        <v>871.49999999999989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6986.2307895877029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50</v>
      </c>
      <c r="B25" s="181">
        <f>'Données projet'!D38</f>
        <v>70.730000000000018</v>
      </c>
      <c r="C25" s="193">
        <v>15</v>
      </c>
      <c r="D25" s="182">
        <f t="shared" si="2"/>
        <v>1060.9500000000003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4">
        <f ca="1">T23-T24</f>
        <v>-27279.37793531151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58</v>
      </c>
      <c r="B26" s="181">
        <f>'Données projet'!D39</f>
        <v>65.819999999999993</v>
      </c>
      <c r="C26" s="193">
        <v>59.875</v>
      </c>
      <c r="D26" s="182">
        <f t="shared" si="2"/>
        <v>3940.9724999999994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66</v>
      </c>
      <c r="B27" s="181">
        <f>'Données projet'!D40</f>
        <v>76.480000000000018</v>
      </c>
      <c r="C27" s="193">
        <v>59.875</v>
      </c>
      <c r="D27" s="182">
        <f t="shared" si="2"/>
        <v>4579.2400000000007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74</v>
      </c>
      <c r="B28" s="181">
        <f>'Données projet'!D41</f>
        <v>75.29000000000002</v>
      </c>
      <c r="C28" s="193">
        <v>59.875</v>
      </c>
      <c r="D28" s="182">
        <f t="shared" si="2"/>
        <v>4507.9887500000013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82</v>
      </c>
      <c r="B29" s="181">
        <f>'Données projet'!D42</f>
        <v>58.140000000000043</v>
      </c>
      <c r="C29" s="193">
        <v>59.875</v>
      </c>
      <c r="D29" s="182">
        <f t="shared" si="2"/>
        <v>3481.1325000000024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90</v>
      </c>
      <c r="B30" s="181">
        <f>'Données projet'!D43</f>
        <v>68.54000000000002</v>
      </c>
      <c r="C30" s="193">
        <v>59.875</v>
      </c>
      <c r="D30" s="182">
        <f t="shared" si="2"/>
        <v>4103.8325000000013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1805.2275942087088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100</v>
      </c>
      <c r="B31" s="181">
        <f>'Données projet'!D44</f>
        <v>93.039999999999964</v>
      </c>
      <c r="C31" s="193">
        <v>179.75</v>
      </c>
      <c r="D31" s="182">
        <f t="shared" si="2"/>
        <v>16723.939999999995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110</v>
      </c>
      <c r="B32" s="181">
        <f>'Données projet'!D45</f>
        <v>73.299999999999955</v>
      </c>
      <c r="C32" s="193">
        <v>179.75</v>
      </c>
      <c r="D32" s="182">
        <f t="shared" si="2"/>
        <v>13175.674999999992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120</v>
      </c>
      <c r="B33" s="181">
        <f>'Données projet'!D46</f>
        <v>66.050000000000011</v>
      </c>
      <c r="C33" s="193">
        <v>179.75</v>
      </c>
      <c r="D33" s="182">
        <f t="shared" si="2"/>
        <v>11872.487500000003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130</v>
      </c>
      <c r="B34" s="181">
        <f>'Données projet'!D47</f>
        <v>75.799999999999955</v>
      </c>
      <c r="C34" s="193">
        <v>179.75</v>
      </c>
      <c r="D34" s="182">
        <f t="shared" si="2"/>
        <v>13625.049999999992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140</v>
      </c>
      <c r="B35" s="181">
        <f>'Données projet'!D48</f>
        <v>74.669999999999959</v>
      </c>
      <c r="C35" s="193">
        <v>179.75</v>
      </c>
      <c r="D35" s="182">
        <f t="shared" si="2"/>
        <v>13421.932499999994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150</v>
      </c>
      <c r="B36" s="181">
        <f>'Données projet'!D49</f>
        <v>259.52</v>
      </c>
      <c r="C36" s="193">
        <v>234.375</v>
      </c>
      <c r="D36" s="182">
        <f t="shared" si="2"/>
        <v>60824.999999999993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153</v>
      </c>
      <c r="B37" s="181">
        <f>'Données projet'!D50</f>
        <v>156.29000000000002</v>
      </c>
      <c r="C37" s="193">
        <v>234.375</v>
      </c>
      <c r="D37" s="182">
        <f t="shared" si="2"/>
        <v>36630.468750000007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156</v>
      </c>
      <c r="B38" s="181">
        <f>'Données projet'!D51</f>
        <v>96.65</v>
      </c>
      <c r="C38" s="193">
        <v>234.375</v>
      </c>
      <c r="D38" s="182">
        <f t="shared" si="2"/>
        <v>22652.34375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159</v>
      </c>
      <c r="B39" s="181">
        <f>'Données projet'!D52</f>
        <v>201.48</v>
      </c>
      <c r="C39" s="193">
        <v>234.375</v>
      </c>
      <c r="D39" s="182">
        <f t="shared" si="2"/>
        <v>47221.875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31</v>
      </c>
      <c r="B54" s="181">
        <f>'Données projet'!D62</f>
        <v>65.77000000000001</v>
      </c>
      <c r="C54" s="191">
        <v>15</v>
      </c>
      <c r="D54" s="179">
        <f>B54*C54</f>
        <v>986.55000000000018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37</v>
      </c>
      <c r="B55" s="181">
        <f>'Données projet'!D63</f>
        <v>43.890000000000015</v>
      </c>
      <c r="C55" s="191">
        <v>15</v>
      </c>
      <c r="D55" s="179">
        <f t="shared" ref="D55:D73" si="4">B55*C55</f>
        <v>658.35000000000025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44</v>
      </c>
      <c r="B56" s="181">
        <f>'Données projet'!D64</f>
        <v>56.45999999999998</v>
      </c>
      <c r="C56" s="191">
        <v>59.875</v>
      </c>
      <c r="D56" s="179">
        <f t="shared" si="4"/>
        <v>3380.5424999999987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51</v>
      </c>
      <c r="B57" s="181">
        <f>'Données projet'!D65</f>
        <v>55.400000000000006</v>
      </c>
      <c r="C57" s="191">
        <v>59.875</v>
      </c>
      <c r="D57" s="179">
        <f t="shared" si="4"/>
        <v>3317.0750000000003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58</v>
      </c>
      <c r="B58" s="181">
        <f>'Données projet'!D66</f>
        <v>53.97</v>
      </c>
      <c r="C58" s="191">
        <v>59.875</v>
      </c>
      <c r="D58" s="179">
        <f t="shared" si="4"/>
        <v>3231.4537500000001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65</v>
      </c>
      <c r="B59" s="181">
        <f>'Données projet'!D67</f>
        <v>56.629999999999995</v>
      </c>
      <c r="C59" s="191">
        <v>59.875</v>
      </c>
      <c r="D59" s="179">
        <f t="shared" si="4"/>
        <v>3390.7212499999996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72</v>
      </c>
      <c r="B60" s="181">
        <f>'Données projet'!D68</f>
        <v>66.109999999999957</v>
      </c>
      <c r="C60" s="191">
        <v>59.875</v>
      </c>
      <c r="D60" s="179">
        <f t="shared" si="4"/>
        <v>3958.3362499999976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81</v>
      </c>
      <c r="B61" s="181">
        <f>'Données projet'!D69</f>
        <v>87.399999999999977</v>
      </c>
      <c r="C61" s="191">
        <v>179.75</v>
      </c>
      <c r="D61" s="179">
        <f t="shared" si="4"/>
        <v>15710.149999999996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90</v>
      </c>
      <c r="B62" s="181">
        <f>'Données projet'!D70</f>
        <v>88.75</v>
      </c>
      <c r="C62" s="191">
        <v>179.75</v>
      </c>
      <c r="D62" s="179">
        <f t="shared" si="4"/>
        <v>15952.8125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99</v>
      </c>
      <c r="B63" s="181">
        <f>'Données projet'!D71</f>
        <v>226.42000000000002</v>
      </c>
      <c r="C63" s="191">
        <v>234.375</v>
      </c>
      <c r="D63" s="179">
        <f t="shared" si="4"/>
        <v>53067.187500000007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101</v>
      </c>
      <c r="B64" s="181">
        <f>'Données projet'!D72</f>
        <v>82.539999999999992</v>
      </c>
      <c r="C64" s="191">
        <v>234.375</v>
      </c>
      <c r="D64" s="179">
        <f t="shared" si="4"/>
        <v>19345.312499999996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103</v>
      </c>
      <c r="B65" s="181">
        <f>'Données projet'!D73</f>
        <v>58.600000000000009</v>
      </c>
      <c r="C65" s="191">
        <v>234.375</v>
      </c>
      <c r="D65" s="179">
        <f t="shared" si="4"/>
        <v>13734.375000000002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106</v>
      </c>
      <c r="B66" s="181">
        <f>'Données projet'!D74</f>
        <v>131.46</v>
      </c>
      <c r="C66" s="191">
        <v>234.375</v>
      </c>
      <c r="D66" s="179">
        <f t="shared" si="4"/>
        <v>30810.937500000004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42</v>
      </c>
      <c r="B85" s="181">
        <f>'Données projet'!D88</f>
        <v>44.510000000000005</v>
      </c>
      <c r="C85" s="191">
        <v>15</v>
      </c>
      <c r="D85" s="179">
        <f>B85*C85</f>
        <v>667.65000000000009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50</v>
      </c>
      <c r="B86" s="181">
        <f>'Données projet'!D89</f>
        <v>37.54000000000002</v>
      </c>
      <c r="C86" s="191">
        <v>15</v>
      </c>
      <c r="D86" s="179">
        <f t="shared" ref="D86:D104" si="6">B86*C86</f>
        <v>563.10000000000036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58</v>
      </c>
      <c r="B87" s="181">
        <f>'Données projet'!D90</f>
        <v>47.789999999999992</v>
      </c>
      <c r="C87" s="191">
        <v>15</v>
      </c>
      <c r="D87" s="179">
        <f t="shared" si="6"/>
        <v>716.84999999999991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66</v>
      </c>
      <c r="B88" s="181">
        <f>'Données projet'!D91</f>
        <v>53.679999999999978</v>
      </c>
      <c r="C88" s="191">
        <v>34</v>
      </c>
      <c r="D88" s="179">
        <f t="shared" si="6"/>
        <v>1825.1199999999992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7.1071259578129595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74</v>
      </c>
      <c r="B89" s="181">
        <f>'Données projet'!D92</f>
        <v>51.339999999999975</v>
      </c>
      <c r="C89" s="191">
        <v>34</v>
      </c>
      <c r="D89" s="179">
        <f t="shared" si="6"/>
        <v>1745.559999999999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6.8010774715913502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84</v>
      </c>
      <c r="B90" s="181">
        <f>'Données projet'!D93</f>
        <v>66.69</v>
      </c>
      <c r="C90" s="191">
        <v>34</v>
      </c>
      <c r="D90" s="179">
        <f t="shared" si="6"/>
        <v>2267.46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6.5082081067859825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94</v>
      </c>
      <c r="B91" s="181">
        <f>'Données projet'!D94</f>
        <v>67.350000000000023</v>
      </c>
      <c r="C91" s="191">
        <v>34</v>
      </c>
      <c r="D91" s="179">
        <f t="shared" si="6"/>
        <v>2289.9000000000005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6.2279503414219937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104</v>
      </c>
      <c r="B92" s="181">
        <f>'Données projet'!D95</f>
        <v>66.089999999999975</v>
      </c>
      <c r="C92" s="191">
        <v>34</v>
      </c>
      <c r="D92" s="179">
        <f t="shared" si="6"/>
        <v>2247.059999999999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5.9597610922698507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114</v>
      </c>
      <c r="B93" s="181">
        <f>'Données projet'!D96</f>
        <v>61.860000000000014</v>
      </c>
      <c r="C93" s="191">
        <v>34</v>
      </c>
      <c r="D93" s="179">
        <f t="shared" si="6"/>
        <v>2103.2400000000007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5.7031206624591881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124</v>
      </c>
      <c r="B94" s="181">
        <f>'Données projet'!D97</f>
        <v>57.81</v>
      </c>
      <c r="C94" s="191">
        <v>34</v>
      </c>
      <c r="D94" s="179">
        <f t="shared" si="6"/>
        <v>1965.54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5.457531734410705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134</v>
      </c>
      <c r="B95" s="181">
        <f>'Données projet'!D98</f>
        <v>60.779999999999973</v>
      </c>
      <c r="C95" s="191">
        <v>56</v>
      </c>
      <c r="D95" s="179">
        <f t="shared" si="6"/>
        <v>3403.6799999999985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5.2225184061346486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144</v>
      </c>
      <c r="B96" s="181">
        <f>'Données projet'!D99</f>
        <v>61.800000000000068</v>
      </c>
      <c r="C96" s="191">
        <v>56</v>
      </c>
      <c r="D96" s="179">
        <f t="shared" si="6"/>
        <v>3460.8000000000038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4.9976252690283705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154</v>
      </c>
      <c r="B97" s="181">
        <f>'Données projet'!D100</f>
        <v>61.050000000000011</v>
      </c>
      <c r="C97" s="191">
        <v>56</v>
      </c>
      <c r="D97" s="179">
        <f t="shared" si="6"/>
        <v>3418.8000000000006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4.7824165253860036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164</v>
      </c>
      <c r="B98" s="181">
        <f>'Données projet'!D101</f>
        <v>66.020000000000095</v>
      </c>
      <c r="C98" s="191">
        <v>56</v>
      </c>
      <c r="D98" s="179">
        <f t="shared" si="6"/>
        <v>3697.1200000000053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4.5764751439100513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174</v>
      </c>
      <c r="B99" s="181">
        <f>'Données projet'!D102</f>
        <v>240</v>
      </c>
      <c r="C99" s="191">
        <v>91</v>
      </c>
      <c r="D99" s="179">
        <f t="shared" si="6"/>
        <v>21840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4.379402051588567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177</v>
      </c>
      <c r="B100" s="181">
        <f>'Données projet'!D103</f>
        <v>128.66000000000003</v>
      </c>
      <c r="C100" s="191">
        <v>91</v>
      </c>
      <c r="D100" s="179">
        <f t="shared" si="6"/>
        <v>11708.060000000003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4.1908153603718343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180</v>
      </c>
      <c r="B101" s="181">
        <f>'Données projet'!D104</f>
        <v>86.97</v>
      </c>
      <c r="C101" s="191">
        <v>91</v>
      </c>
      <c r="D101" s="179">
        <f t="shared" si="6"/>
        <v>7914.2699999999995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4.0103496271500809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183</v>
      </c>
      <c r="B102" s="181">
        <f>'Données projet'!D105</f>
        <v>191.47</v>
      </c>
      <c r="C102" s="191">
        <v>91</v>
      </c>
      <c r="D102" s="179">
        <f t="shared" si="6"/>
        <v>17423.77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3.837655145598164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3.6723972685149904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3.5142557593444885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3.362924171621521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3.2181092551402117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3.0795303876939828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2.9469190312861078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2.8200182117570418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2.6985820208201354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2.5823751395408001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2.4711723823356939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2.3647582606083204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38</v>
      </c>
      <c r="B116" s="181">
        <f>'Données projet'!D114</f>
        <v>71.569999999999993</v>
      </c>
      <c r="C116" s="191">
        <v>15</v>
      </c>
      <c r="D116" s="179">
        <f>B116*C116</f>
        <v>1073.55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45</v>
      </c>
      <c r="B117" s="181">
        <f>'Données projet'!D115</f>
        <v>41.69</v>
      </c>
      <c r="C117" s="191">
        <v>15</v>
      </c>
      <c r="D117" s="179">
        <f t="shared" ref="D117:D135" si="8">B117*C117</f>
        <v>625.34999999999991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52</v>
      </c>
      <c r="B118" s="181">
        <f>'Données projet'!D116</f>
        <v>44.400000000000006</v>
      </c>
      <c r="C118" s="191">
        <v>24</v>
      </c>
      <c r="D118" s="179">
        <f t="shared" si="8"/>
        <v>1065.6000000000001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59</v>
      </c>
      <c r="B119" s="181">
        <f>'Données projet'!D117</f>
        <v>41.81</v>
      </c>
      <c r="C119" s="191">
        <v>24</v>
      </c>
      <c r="D119" s="179">
        <f t="shared" si="8"/>
        <v>1003.44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67</v>
      </c>
      <c r="B120" s="181">
        <f>'Données projet'!D118</f>
        <v>42.550000000000011</v>
      </c>
      <c r="C120" s="191">
        <v>24</v>
      </c>
      <c r="D120" s="179">
        <f t="shared" si="8"/>
        <v>1021.2000000000003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75</v>
      </c>
      <c r="B121" s="181">
        <f>'Données projet'!D119</f>
        <v>43.519999999999982</v>
      </c>
      <c r="C121" s="191">
        <v>24</v>
      </c>
      <c r="D121" s="179">
        <f t="shared" si="8"/>
        <v>1044.4799999999996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83</v>
      </c>
      <c r="B122" s="181">
        <f>'Données projet'!D120</f>
        <v>49.980000000000018</v>
      </c>
      <c r="C122" s="191">
        <v>24</v>
      </c>
      <c r="D122" s="179">
        <f t="shared" si="8"/>
        <v>1199.5200000000004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93</v>
      </c>
      <c r="B123" s="181">
        <f>'Données projet'!D121</f>
        <v>67.45999999999998</v>
      </c>
      <c r="C123" s="191">
        <v>32</v>
      </c>
      <c r="D123" s="179">
        <f t="shared" si="8"/>
        <v>2158.7199999999993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103</v>
      </c>
      <c r="B124" s="181">
        <f>'Données projet'!D122</f>
        <v>67.759999999999991</v>
      </c>
      <c r="C124" s="191">
        <v>32</v>
      </c>
      <c r="D124" s="179">
        <f t="shared" si="8"/>
        <v>2168.3199999999997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113</v>
      </c>
      <c r="B125" s="181">
        <f>'Données projet'!D123</f>
        <v>68.670000000000016</v>
      </c>
      <c r="C125" s="191">
        <v>32</v>
      </c>
      <c r="D125" s="179">
        <f t="shared" si="8"/>
        <v>2197.4400000000005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123</v>
      </c>
      <c r="B126" s="181">
        <f>'Données projet'!D124</f>
        <v>203.78999999999996</v>
      </c>
      <c r="C126" s="191">
        <v>36</v>
      </c>
      <c r="D126" s="179">
        <f t="shared" si="8"/>
        <v>7336.4399999999987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125</v>
      </c>
      <c r="B127" s="181">
        <f>'Données projet'!D125</f>
        <v>70.609999999999985</v>
      </c>
      <c r="C127" s="191">
        <v>36</v>
      </c>
      <c r="D127" s="179">
        <f t="shared" si="8"/>
        <v>2541.9599999999996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127</v>
      </c>
      <c r="B128" s="181">
        <f>'Données projet'!D126</f>
        <v>46.039999999999992</v>
      </c>
      <c r="C128" s="191">
        <v>36</v>
      </c>
      <c r="D128" s="179">
        <f t="shared" si="8"/>
        <v>1657.4399999999996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130</v>
      </c>
      <c r="B129" s="181">
        <f>'Données projet'!D127</f>
        <v>112.75</v>
      </c>
      <c r="C129" s="191">
        <v>36</v>
      </c>
      <c r="D129" s="179">
        <f t="shared" si="8"/>
        <v>4059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15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20</v>
      </c>
      <c r="B148" s="175">
        <f>'Données projet'!D141</f>
        <v>21</v>
      </c>
      <c r="C148" s="191">
        <v>13.75</v>
      </c>
      <c r="D148" s="182">
        <f t="shared" ref="D148:D166" si="10">B148*C148</f>
        <v>288.75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25</v>
      </c>
      <c r="B149" s="175">
        <f>'Données projet'!D142</f>
        <v>21</v>
      </c>
      <c r="C149" s="191">
        <v>13.75</v>
      </c>
      <c r="D149" s="182">
        <f t="shared" si="10"/>
        <v>288.75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30</v>
      </c>
      <c r="B150" s="175">
        <f>'Données projet'!D143</f>
        <v>21</v>
      </c>
      <c r="C150" s="191">
        <v>13.75</v>
      </c>
      <c r="D150" s="182">
        <f t="shared" si="10"/>
        <v>288.75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35</v>
      </c>
      <c r="B151" s="175">
        <f>'Données projet'!D144</f>
        <v>21</v>
      </c>
      <c r="C151" s="191">
        <v>13.75</v>
      </c>
      <c r="D151" s="182">
        <f t="shared" si="10"/>
        <v>288.75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40</v>
      </c>
      <c r="B152" s="175">
        <f>'Données projet'!D145</f>
        <v>21</v>
      </c>
      <c r="C152" s="191">
        <v>13.75</v>
      </c>
      <c r="D152" s="182">
        <f t="shared" si="10"/>
        <v>288.75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45</v>
      </c>
      <c r="B153" s="175">
        <f>'Données projet'!D146</f>
        <v>18</v>
      </c>
      <c r="C153" s="191">
        <v>13.75</v>
      </c>
      <c r="D153" s="182">
        <f t="shared" si="10"/>
        <v>247.5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50</v>
      </c>
      <c r="B154" s="175">
        <f>'Données projet'!D147</f>
        <v>13</v>
      </c>
      <c r="C154" s="191">
        <v>23.75</v>
      </c>
      <c r="D154" s="182">
        <f t="shared" si="10"/>
        <v>308.75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55</v>
      </c>
      <c r="B155" s="175">
        <f>'Données projet'!D148</f>
        <v>11</v>
      </c>
      <c r="C155" s="191">
        <v>23.75</v>
      </c>
      <c r="D155" s="182">
        <f t="shared" si="10"/>
        <v>261.25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60</v>
      </c>
      <c r="B156" s="175">
        <f>'Données projet'!D149</f>
        <v>9</v>
      </c>
      <c r="C156" s="191">
        <v>23.75</v>
      </c>
      <c r="D156" s="182">
        <f t="shared" si="10"/>
        <v>213.75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65</v>
      </c>
      <c r="B157" s="175">
        <f>'Données projet'!D150</f>
        <v>8</v>
      </c>
      <c r="C157" s="191">
        <v>23.75</v>
      </c>
      <c r="D157" s="182">
        <f t="shared" si="10"/>
        <v>190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70</v>
      </c>
      <c r="B158" s="175">
        <f>'Données projet'!D151</f>
        <v>8</v>
      </c>
      <c r="C158" s="191">
        <v>23.75</v>
      </c>
      <c r="D158" s="182">
        <f t="shared" si="10"/>
        <v>190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75</v>
      </c>
      <c r="B159" s="175">
        <f>'Données projet'!D152</f>
        <v>7</v>
      </c>
      <c r="C159" s="191">
        <v>23.75</v>
      </c>
      <c r="D159" s="182">
        <f t="shared" si="10"/>
        <v>166.25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80</v>
      </c>
      <c r="B160" s="175">
        <f>'Données projet'!D153</f>
        <v>219</v>
      </c>
      <c r="C160" s="191">
        <v>23.75</v>
      </c>
      <c r="D160" s="182">
        <f t="shared" si="10"/>
        <v>5201.25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ée un document." ma:contentTypeScope="" ma:versionID="b883bbb9b25661e8aceedaa63a758fe7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5578e133cdb16f0cf7c306f20050c564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3B22D18B-CD53-4896-A23F-D8EF79A86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2024-11-18T14:17:49Z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